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" sheetId="1" r:id="rId1"/>
    <sheet name="Out" sheetId="2" r:id="rId2"/>
    <sheet name="Summary" sheetId="3" r:id="rId3"/>
  </sheets>
  <calcPr calcId="124519" fullCalcOnLoad="1"/>
</workbook>
</file>

<file path=xl/sharedStrings.xml><?xml version="1.0" encoding="utf-8"?>
<sst xmlns="http://schemas.openxmlformats.org/spreadsheetml/2006/main" count="7308" uniqueCount="906">
  <si>
    <t>组装物料跟进表</t>
  </si>
  <si>
    <t>类</t>
  </si>
  <si>
    <t>ERP编码</t>
  </si>
  <si>
    <t>名称</t>
  </si>
  <si>
    <t>模号</t>
  </si>
  <si>
    <t>用量</t>
  </si>
  <si>
    <t>单位</t>
  </si>
  <si>
    <t>备注</t>
  </si>
  <si>
    <t>盘点</t>
  </si>
  <si>
    <t>合计</t>
  </si>
  <si>
    <t>总成</t>
  </si>
  <si>
    <t>927-050000-200</t>
  </si>
  <si>
    <t>储物盒本体总成</t>
  </si>
  <si>
    <t>PC</t>
  </si>
  <si>
    <t>计划生产</t>
  </si>
  <si>
    <t>计划出货</t>
  </si>
  <si>
    <t>库存</t>
  </si>
  <si>
    <t>半成品</t>
  </si>
  <si>
    <t>827-050000-201</t>
  </si>
  <si>
    <t>4940-D2-6501扶手储物盒(植绒后)</t>
  </si>
  <si>
    <t>927-068000-100</t>
  </si>
  <si>
    <t>4940-1D1-6504置杯盒总成</t>
  </si>
  <si>
    <t>辅材</t>
  </si>
  <si>
    <t>827-051000-201</t>
  </si>
  <si>
    <t>置杯盒外盖/木纹4940-1D2-6502</t>
  </si>
  <si>
    <t>827-069000-101</t>
  </si>
  <si>
    <t>4940-1D1-6507按钮(电镀后)</t>
  </si>
  <si>
    <t>827-070000-100</t>
  </si>
  <si>
    <t>4940-1D1-6508置杯盒内盖M10</t>
  </si>
  <si>
    <t>263-000000-065</t>
  </si>
  <si>
    <t>4940-1D0-6114-C扭转弹簧A</t>
  </si>
  <si>
    <t>827-071000-100</t>
  </si>
  <si>
    <t>4940-1D1-6016垫圈A</t>
  </si>
  <si>
    <t>263-000000-013</t>
  </si>
  <si>
    <t>GB_T 818.4十字槽盘头螺钉3*8</t>
  </si>
  <si>
    <t>263-000000-029</t>
  </si>
  <si>
    <t>4940-1D1-6018弹簧片</t>
  </si>
  <si>
    <t>262-000000-086</t>
  </si>
  <si>
    <t>CA3F095-R0阻尼齿轮</t>
  </si>
  <si>
    <t>262-000000-087</t>
  </si>
  <si>
    <t>A-005锁止机构</t>
  </si>
  <si>
    <t>包材</t>
  </si>
  <si>
    <t>瓶</t>
  </si>
  <si>
    <t>现品票</t>
  </si>
  <si>
    <t>927-050000-100</t>
  </si>
  <si>
    <t>827-050000-101</t>
  </si>
  <si>
    <t>4940-1D1-6501扶手储物盒(植绒后)</t>
  </si>
  <si>
    <t>827-051000-101</t>
  </si>
  <si>
    <t>4940-1D1-6502置杯盒外盖/拉丝</t>
  </si>
  <si>
    <t>242-001300-000</t>
  </si>
  <si>
    <t>中空箱\GAE-C-001\720*590*380mm</t>
  </si>
  <si>
    <t>927-054000-200</t>
  </si>
  <si>
    <t>中央通道总成(雅米色)</t>
  </si>
  <si>
    <t>827-054000-200</t>
  </si>
  <si>
    <t>4940-1D2-2503后档板固定板</t>
  </si>
  <si>
    <t>262-000000-105</t>
  </si>
  <si>
    <t>减震垫B/4905-1D9-6018-1/M32</t>
  </si>
  <si>
    <t>927-005000-200</t>
  </si>
  <si>
    <t>4905-1D8-2512-2翻盖</t>
  </si>
  <si>
    <t>263-000000-032</t>
  </si>
  <si>
    <t>4940-1D1-2502旋转轴Φ4*257</t>
  </si>
  <si>
    <t>弹簧4905-1D0-2514-1</t>
  </si>
  <si>
    <t>204-01499</t>
  </si>
  <si>
    <t>AL现品票/4940-1D2-2501-1/中央通道总成/黄色</t>
  </si>
  <si>
    <t>925-076888-100</t>
  </si>
  <si>
    <t>发动机上护板总成</t>
  </si>
  <si>
    <t>825-076888-102</t>
  </si>
  <si>
    <t>发动机上护板（喷涂件）</t>
  </si>
  <si>
    <t>825-077000-101</t>
  </si>
  <si>
    <t>发动机上护板主标（电镀后）</t>
  </si>
  <si>
    <t>825-078000-101</t>
  </si>
  <si>
    <t>发动机上护板标牌（电镀后）</t>
  </si>
  <si>
    <t>825-079000-100</t>
  </si>
  <si>
    <t>机油口装饰盖</t>
  </si>
  <si>
    <t>262-000000-077</t>
  </si>
  <si>
    <t>球头安装座</t>
  </si>
  <si>
    <t>261-000000-154</t>
  </si>
  <si>
    <t>隔音棉</t>
  </si>
  <si>
    <t>包装</t>
  </si>
  <si>
    <t>61#台车</t>
  </si>
  <si>
    <t>927-054000-100</t>
  </si>
  <si>
    <t>中央通道总成(素黑色)</t>
  </si>
  <si>
    <t>827-054000-100</t>
  </si>
  <si>
    <t>4940-1D1-2503后档板固定板</t>
  </si>
  <si>
    <t>927-005000-100</t>
  </si>
  <si>
    <t>4905-1D4-2511-1翻转机构总成</t>
  </si>
  <si>
    <t>中/GAE-C-001/GAE054</t>
  </si>
  <si>
    <t>204-01500</t>
  </si>
  <si>
    <t>AL现品票/4940-1D1-2501-1/中央通道总成/白色</t>
  </si>
  <si>
    <t>927-007000-500</t>
  </si>
  <si>
    <t>置杯盒总成(黑色)</t>
  </si>
  <si>
    <t>827-007000-200</t>
  </si>
  <si>
    <t>置杯盒/4905-1D4-6012-1/GAE007/黑</t>
  </si>
  <si>
    <t>263-000000-010</t>
  </si>
  <si>
    <t>弹簧/4905-1D0-6014-1</t>
  </si>
  <si>
    <t>262-000000-036</t>
  </si>
  <si>
    <t>减震垫B/4905-1D4-6018-1/黑</t>
  </si>
  <si>
    <t>827-015000-100</t>
  </si>
  <si>
    <t>翻盖(C01)/4905-1D4-6013-1/优利得/GAE015/外购</t>
  </si>
  <si>
    <t>827-009000-120</t>
  </si>
  <si>
    <t>垫圈B(新模具B、孔小￠8.5*10)/4905-1D1-6016-2-B/</t>
  </si>
  <si>
    <t>242-101200-000</t>
  </si>
  <si>
    <t>中空箱/12#/GAE007/680*530*520mm/优利得/AC</t>
  </si>
  <si>
    <t>251-030007-003</t>
  </si>
  <si>
    <t>包装袋/PE/300*700*2C</t>
  </si>
  <si>
    <t>204-01208</t>
  </si>
  <si>
    <t>优利得A68现品票4932-1D1-6011-1置杯盒总成/白色</t>
  </si>
  <si>
    <t>927-004856-300</t>
  </si>
  <si>
    <t>置杯盒总成(米色)</t>
  </si>
  <si>
    <t>827-015000-800</t>
  </si>
  <si>
    <t>翻盖（喷涂正面CX5+背面CF8）/4906-1D7-6013-1/优利得</t>
  </si>
  <si>
    <t>827-007000-300</t>
  </si>
  <si>
    <t>置杯盒/4906-1D7-6012-1/优利得/GAE007/A68</t>
  </si>
  <si>
    <t>垫圈B(新模具B、孔小￠8.5*10)/4905-1D1-6016-2-B</t>
  </si>
  <si>
    <t>弹簧/4905-1D0-6014-1/优利得/AC/力佳</t>
  </si>
  <si>
    <t>十字槽盘头螺钉/GB_T 818.4/M3×8(自攻螺丝）/贤信</t>
  </si>
  <si>
    <t>204-01193</t>
  </si>
  <si>
    <t>优利得A68现品票/4906-1D7-6011-1/置杯盒总成/黄色</t>
  </si>
  <si>
    <t>927-007000-600</t>
  </si>
  <si>
    <t>置杯盒总成(A05)</t>
  </si>
  <si>
    <t>827-007000-100</t>
  </si>
  <si>
    <t>置杯盒M01/4905-1D1-6012-1/优利得/GAE007</t>
  </si>
  <si>
    <t>827-015000-600</t>
  </si>
  <si>
    <t>翻盖(奶油米色亚光-A05)/4907-1D5-6013/优利得/GAE015</t>
  </si>
  <si>
    <t>827-009000-110</t>
  </si>
  <si>
    <t>垫圈A(旧模具A、孔大￠8.6*9）/4905-1D1-6016-2-A/</t>
  </si>
  <si>
    <t>927-004000-200</t>
  </si>
  <si>
    <t>扶手后档板总成/黑</t>
  </si>
  <si>
    <t>827-004000-200</t>
  </si>
  <si>
    <t>后档板固定板/4905-1D4-2510-1/优利得/GAE004/黑色</t>
  </si>
  <si>
    <t>827-005000-200</t>
  </si>
  <si>
    <t>翻盖/4905-1D4-2512-2/优利得/GAE005/黑色</t>
  </si>
  <si>
    <t>827-006000-200</t>
  </si>
  <si>
    <t>解锁手把/4905-1D4-2513-1/优利得/GAE006/黑色</t>
  </si>
  <si>
    <t>263-000000-005</t>
  </si>
  <si>
    <t>旋转轴/4905-1D0-2516-1/￠4*237mm/优利得/AC/贤信</t>
  </si>
  <si>
    <t>263-000000-009</t>
  </si>
  <si>
    <t>弹簧/4905-1D0-2514-1/￠3.2*22mm/线径￠0.6mm/</t>
  </si>
  <si>
    <t>242-101000-000</t>
  </si>
  <si>
    <t>中空箱/10#/GAE004/730*590*390mm/优利得/AC</t>
  </si>
  <si>
    <t>927-004000-100</t>
  </si>
  <si>
    <t>扶手后挡板总成(M68)</t>
  </si>
  <si>
    <t>827-004856-300</t>
  </si>
  <si>
    <t>后档板固定板\\4905-1D7-2510-1\优利得\GAE004\A68</t>
  </si>
  <si>
    <t>旋转轴\4905-1D0-2516-1\￠4*237mm\优利得\AC\贤信</t>
  </si>
  <si>
    <t>827-005856-300</t>
  </si>
  <si>
    <t>翻盖\4905-1D7-2512-1\优利得\GAE005\A68</t>
  </si>
  <si>
    <t>827-006856-300</t>
  </si>
  <si>
    <t>解锁手把\4905-1D7-2513-1\优利得\GAE006\A68</t>
  </si>
  <si>
    <t>弹簧\4905-1D0-2514-1\￠3.2*22mm\线径￠0.6mm\</t>
  </si>
  <si>
    <t>M</t>
  </si>
  <si>
    <t>262-000000-081</t>
  </si>
  <si>
    <t>减震垫B\4905-1D2-6018-1\灰色(M68)\优利得\A68\信强</t>
  </si>
  <si>
    <t>中空箱\10#\GAE004\730*590*390mm\优利得\AC</t>
  </si>
  <si>
    <t>扶手后挡板总成(米色)</t>
  </si>
  <si>
    <t>827-004000-100</t>
  </si>
  <si>
    <t>后档板固定板/4905-1D1-2510-1/优利得/GAE004/000</t>
  </si>
  <si>
    <t>827-005000-100</t>
  </si>
  <si>
    <t>翻盖/4905-1D1-2512-2/优利得/GAE005/000</t>
  </si>
  <si>
    <t>827-006000-100</t>
  </si>
  <si>
    <t>解锁手把/4905-1D1-2513-1/优利得/GAE006/000</t>
  </si>
  <si>
    <t>924-718897-100</t>
  </si>
  <si>
    <t>GARN ASSY FR PLR RH               右前立柱总成</t>
  </si>
  <si>
    <t>824-718897-100</t>
  </si>
  <si>
    <t>FR PLR RH 
右前立柱</t>
  </si>
  <si>
    <t>263-000000-004</t>
  </si>
  <si>
    <t>STEEL CLIP     铁卡扣</t>
  </si>
  <si>
    <t>262-000000-037</t>
  </si>
  <si>
    <t>TRIM CLIP      白色塑料卡扣</t>
  </si>
  <si>
    <t>261-000000-139</t>
  </si>
  <si>
    <t>NON-WOVEN TAPE不织布       20*45mm</t>
  </si>
  <si>
    <t>261-000000-140</t>
  </si>
  <si>
    <t>NON-WOVEN TAPE不织布       20*70mm</t>
  </si>
  <si>
    <t>261-000000-141</t>
  </si>
  <si>
    <t>FOAM RUBBER TAPE（海棉条）10*10*110mm</t>
  </si>
  <si>
    <t>924-718897-200</t>
  </si>
  <si>
    <t>GARN ASSY FR PLR LH        左前立柱总成</t>
  </si>
  <si>
    <t>824-718897-200</t>
  </si>
  <si>
    <t>FR PLR LH
左前立柱</t>
  </si>
  <si>
    <t>924-718057-100</t>
  </si>
  <si>
    <t>824-718057-100</t>
  </si>
  <si>
    <t>262-000000-114</t>
  </si>
  <si>
    <t>(ID标签)  26.5*40mm</t>
  </si>
  <si>
    <t>924-718057-200</t>
  </si>
  <si>
    <t>824-718057-200</t>
  </si>
  <si>
    <t>924-700000-100</t>
  </si>
  <si>
    <t>GARN R,TAIL GATE SIDE
背门侧右柱总成</t>
  </si>
  <si>
    <t>824-700000-200</t>
  </si>
  <si>
    <t>/GARNL TAIL GATE SIDE/河西</t>
  </si>
  <si>
    <t>824-707000-200</t>
  </si>
  <si>
    <t>/BASE L CLIP/河西/HX-707/2NY</t>
  </si>
  <si>
    <t>263-000000-015</t>
  </si>
  <si>
    <t>螺钉/M4*12/河西/2NX、2NY/上海大桥</t>
  </si>
  <si>
    <t>262-000000-034</t>
  </si>
  <si>
    <t>卡扣/河西/2NX、2NY/利富高</t>
  </si>
  <si>
    <t>262-000000-017</t>
  </si>
  <si>
    <t>挂钩销子/河西/2NX、2NY/本田贸易</t>
  </si>
  <si>
    <t>263-000000-016</t>
  </si>
  <si>
    <t>螺钉/M3*12/河西/2NX、2NY/</t>
  </si>
  <si>
    <t>262-000000-018</t>
  </si>
  <si>
    <t>HOOK RR SHELF/河西/2NX/百乐仕</t>
  </si>
  <si>
    <t>262-000000-019</t>
  </si>
  <si>
    <t>拉干卡座/河西/2NX、2NY/利富高</t>
  </si>
  <si>
    <t>261-000000-029</t>
  </si>
  <si>
    <t>吸音棉/河西/2NX、2NY/三木</t>
  </si>
  <si>
    <t>261-000000-009</t>
  </si>
  <si>
    <t>不织布/20*20mm（110g/m2）/河西</t>
  </si>
  <si>
    <t>924-700000-200</t>
  </si>
  <si>
    <t>GARN L,TAIL GATE SIDE
背门侧左柱总成</t>
  </si>
  <si>
    <t>GARNL TAIL GATE SIDE/河西</t>
  </si>
  <si>
    <t>BASE L CLIP/河西/HX-707/2NY</t>
  </si>
  <si>
    <t>824-701000-100</t>
  </si>
  <si>
    <t>LNG SAAY,TAIL GATE LWR</t>
  </si>
  <si>
    <t>LNG SAAY TAIL GATE LWR/河西</t>
  </si>
  <si>
    <t>824-708000-100</t>
  </si>
  <si>
    <t>盖子/河西/HX-708/2NY</t>
  </si>
  <si>
    <t>262-000000-027</t>
  </si>
  <si>
    <t>尾门拉手总成/河西/2NY/广汽本田</t>
  </si>
  <si>
    <t>262-000000-033</t>
  </si>
  <si>
    <t>盖子</t>
  </si>
  <si>
    <t>262-000000-021</t>
  </si>
  <si>
    <t>橡胶环/清化</t>
  </si>
  <si>
    <t>262-000000-007</t>
  </si>
  <si>
    <t>卡扣/2NX/</t>
  </si>
  <si>
    <t>262-000000-022</t>
  </si>
  <si>
    <t>卡扣/河西/2NX、2NY/百乐仕</t>
  </si>
  <si>
    <t>263-000000-017</t>
  </si>
  <si>
    <t>销铨/河西/2NX、2NY/本田</t>
  </si>
  <si>
    <t>263-000000-018</t>
  </si>
  <si>
    <t>螺钉/M6*30/河西/2NX、2NY/利港达</t>
  </si>
  <si>
    <t>262-000000-045</t>
  </si>
  <si>
    <t>A1001-N ID编号贴/河西/2NY/槌屋</t>
  </si>
  <si>
    <t>924-701000-100</t>
  </si>
  <si>
    <t>84432-TP6-A010-M1/盖子</t>
  </si>
  <si>
    <t>84440-STK-0030尾门拉手</t>
  </si>
  <si>
    <t>84435-TP6-A010-23/不织布CLOTH/20*20</t>
  </si>
  <si>
    <t>84436-TP6-A020-M1/橡胶环RUBBER PIVOT</t>
  </si>
  <si>
    <t>卡扣/2NX/91560-SAA-0031</t>
  </si>
  <si>
    <t>91562-SOX-A011-M1/卡扣CLIP,ROOF,LINING</t>
  </si>
  <si>
    <t>94301-10120销铨</t>
  </si>
  <si>
    <t>84441-TP6-A010-M1螺钉BOLT,FLANGE,6×30</t>
  </si>
  <si>
    <t>21-000000-007</t>
  </si>
  <si>
    <t>修补漆</t>
  </si>
  <si>
    <t>262-000000-109</t>
  </si>
  <si>
    <t>ID号贴/B1001-N</t>
  </si>
  <si>
    <t>吸音棉</t>
  </si>
  <si>
    <t>204-00725</t>
  </si>
  <si>
    <t>不干胶条码 84431-TW1W-H011-22广州河西/2NC</t>
  </si>
  <si>
    <t>924-702000-200</t>
  </si>
  <si>
    <t>BOX ASSY,UNDER CARGO FLOOF</t>
  </si>
  <si>
    <t>824-702000-100</t>
  </si>
  <si>
    <t>BOX ASSY UNDER CARGO FLOOF/河西</t>
  </si>
  <si>
    <t>824-709000-100</t>
  </si>
  <si>
    <t>盖子/河西/HX-709/2NY</t>
  </si>
  <si>
    <t>824-709000-300</t>
  </si>
  <si>
    <t>824-709000-200</t>
  </si>
  <si>
    <t>824-709000-400</t>
  </si>
  <si>
    <t>824-710000-100</t>
  </si>
  <si>
    <t>隔板/河西/HX-710/2NY</t>
  </si>
  <si>
    <t>261-000000-030</t>
  </si>
  <si>
    <t>不织布/河西/2NX、2NY/台钜亚</t>
  </si>
  <si>
    <t>262-000000-028</t>
  </si>
  <si>
    <t>把手/河西/2NX、2NY/清化</t>
  </si>
  <si>
    <t>924-011808-100</t>
  </si>
  <si>
    <t>GARN-FR PLR RH</t>
  </si>
  <si>
    <t>261-000000-069</t>
  </si>
  <si>
    <t>THINSULATE/70*260*T13/广州三木</t>
  </si>
  <si>
    <t>261-000000-070</t>
  </si>
  <si>
    <t>NONWOVEN FABRIC TAPE/30*60(110g/㎡</t>
  </si>
  <si>
    <t>262-000000-013</t>
  </si>
  <si>
    <t>卡扣/河西/X12D/利富高</t>
  </si>
  <si>
    <t>卡夹/河西/X02A/百乐仕</t>
  </si>
  <si>
    <t>261-000000-071</t>
  </si>
  <si>
    <t>EPT SEALER-A/T30*20*140/广州三木</t>
  </si>
  <si>
    <t>261-000000-072</t>
  </si>
  <si>
    <t>EPT SEALER-B/T15*10*230/广州三木</t>
  </si>
  <si>
    <t>261-000000-090</t>
  </si>
  <si>
    <t>不织布/L25mm*W18mm(50g/㎡)/河西/</t>
  </si>
  <si>
    <t xml:space="preserve"> 包装</t>
  </si>
  <si>
    <t>242-107000-000</t>
  </si>
  <si>
    <t>中空箱/70/1050*600*495mm/河西/HX011/X1</t>
  </si>
  <si>
    <t>924-011808-200</t>
  </si>
  <si>
    <t>GARN-FR PLR LH</t>
  </si>
  <si>
    <t>242-110500-000</t>
  </si>
  <si>
    <t>中空箱/105/1050*600*495mm/河西/HX011/</t>
  </si>
  <si>
    <t>924-007000-100</t>
  </si>
  <si>
    <t>FIN-DASH SIDE RH</t>
  </si>
  <si>
    <t>924-007000-200</t>
  </si>
  <si>
    <t>FIN-DASH SIDE LH</t>
  </si>
  <si>
    <t>924-025056-100</t>
  </si>
  <si>
    <t xml:space="preserve"> 后右立柱</t>
  </si>
  <si>
    <t>后右立柱总成FIN ASSY-RR PLR,RH</t>
  </si>
  <si>
    <t>海绵条/JDDV150100720XF/EV-1010 T15*10*720/河西</t>
  </si>
  <si>
    <t>卡扣/TRIM CLIP/15-54 00291</t>
  </si>
  <si>
    <t>不织布/THG0150015230B/15*15</t>
  </si>
  <si>
    <t>河台50#R/76934 HX025/B12L</t>
  </si>
  <si>
    <t>现品票76934 4DW0A</t>
  </si>
  <si>
    <t>924-025056-200</t>
  </si>
  <si>
    <t xml:space="preserve"> 后左立柱</t>
  </si>
  <si>
    <t>后左立柱总成FIN ASSY-RR PLR,LH</t>
  </si>
  <si>
    <t>河台49#L/76935 HX025/B12L</t>
  </si>
  <si>
    <t>现品票76935 4DW0A</t>
  </si>
  <si>
    <t>924-025056-300</t>
  </si>
  <si>
    <t>后右立柱总成铝箔款FIN ASSY-RR PLR,RH</t>
  </si>
  <si>
    <t>铝箔胶带A/363+BETA-TAPE 5077/20*60mm/B12L</t>
  </si>
  <si>
    <t>铝箔胶带 B/363+BETA-TAPE 5077/10*26mm/B12L</t>
  </si>
  <si>
    <t>K-520胶水/3M/1L/X12D/槌屋贸易</t>
  </si>
  <si>
    <t>现品票76934 4DW1A</t>
  </si>
  <si>
    <t>924-025056-400</t>
  </si>
  <si>
    <t>后左立柱总成铝箔款FIN ASSY-RR PLR,LH</t>
  </si>
  <si>
    <t>现品票76935 4DW1A</t>
  </si>
  <si>
    <t>261-000000-083</t>
  </si>
  <si>
    <t>前挡风玻璃右通风栅</t>
  </si>
  <si>
    <t>934-024000-200</t>
  </si>
  <si>
    <t>左右侧饰件组合件</t>
  </si>
  <si>
    <t>934-024000-100</t>
  </si>
  <si>
    <t>934-012000-200</t>
  </si>
  <si>
    <t>523备胎盖板把手组合件</t>
  </si>
  <si>
    <t>834-012000-200</t>
  </si>
  <si>
    <t>532-U黑/把手上饰盖/林骏LJ012/523</t>
  </si>
  <si>
    <t>834-013000-200</t>
  </si>
  <si>
    <t>532-M黑/把手上饰盖/林骏LJ013/523</t>
  </si>
  <si>
    <t>263-000000-036</t>
  </si>
  <si>
    <t>减震垫DAMPER/53298971-10</t>
  </si>
  <si>
    <t>263-000000-037</t>
  </si>
  <si>
    <t>弹簧SPRING/53298971-8</t>
  </si>
  <si>
    <t>263-000000-038</t>
  </si>
  <si>
    <t>旋转轴AXE/53298971-9</t>
  </si>
  <si>
    <t>242-116700-000</t>
  </si>
  <si>
    <t>中/167/林骏523/LJ012/</t>
  </si>
  <si>
    <t>204-01620</t>
  </si>
  <si>
    <t>现品票532A+532L/黑 (总成)</t>
  </si>
  <si>
    <t>934-012000-100</t>
  </si>
  <si>
    <t>834-012000-100</t>
  </si>
  <si>
    <t>532-U褐/把手上饰盖/林骏LJ012/523</t>
  </si>
  <si>
    <t>834-013000-100</t>
  </si>
  <si>
    <t>532-M褐/把手上饰盖/林骏LJ013/523</t>
  </si>
  <si>
    <t>204-01621</t>
  </si>
  <si>
    <t>现品票532A+532L/褐 (总成)</t>
  </si>
  <si>
    <t>921-060000-200</t>
  </si>
  <si>
    <t>左车颈罩</t>
  </si>
  <si>
    <t>821-060000-200</t>
  </si>
  <si>
    <t>74210-S0L-H000-50/HD060/GB1</t>
  </si>
  <si>
    <t>821-062000-100</t>
  </si>
  <si>
    <t>74212-SEL-P002/广本/HD062/</t>
  </si>
  <si>
    <t>262-000000-006</t>
  </si>
  <si>
    <t>90602-SAA-0031卡扣-黄色</t>
  </si>
  <si>
    <t>261-019008-008</t>
  </si>
  <si>
    <t>74210-SEL-T000-51/SEAL RR DR</t>
  </si>
  <si>
    <t>261-016800-110</t>
  </si>
  <si>
    <t>74210-SAA-0000-53/SEAL SIDE</t>
  </si>
  <si>
    <t>261-010507-703</t>
  </si>
  <si>
    <t>74210-SEL-T000-52/SEAL END</t>
  </si>
  <si>
    <t>261-019501-005</t>
  </si>
  <si>
    <t>74210-SEL-T000-53/SEAL CTR DR</t>
  </si>
  <si>
    <t>261-004800-508</t>
  </si>
  <si>
    <t>74210-SEL-T000-54/SEAL CTR SIDE</t>
  </si>
  <si>
    <t>261-026500-805</t>
  </si>
  <si>
    <t>74210-SAA-0000-57/SEAL FR SIDE DR</t>
  </si>
  <si>
    <t>204-00372</t>
  </si>
  <si>
    <t>现品票 74210-SOL-H000</t>
  </si>
  <si>
    <t>921-059000-200</t>
  </si>
  <si>
    <t>右车颈罩</t>
  </si>
  <si>
    <t>821-059000-200</t>
  </si>
  <si>
    <t>74220-SOL-H000-50/广本/HD059/GB1</t>
  </si>
  <si>
    <t>821-061000-300</t>
  </si>
  <si>
    <t>74223-SOL-H000/广本/HD061/GB1</t>
  </si>
  <si>
    <t>821-061000-400</t>
  </si>
  <si>
    <t>74221-SOL-H000/广本/HD061/GB1</t>
  </si>
  <si>
    <t>821-062000-200</t>
  </si>
  <si>
    <t>74222-SEL-P002/广本/HD062/</t>
  </si>
  <si>
    <t>261-003600-153</t>
  </si>
  <si>
    <t>74213-SAA-0000-51/SEAL COWL LID*2</t>
  </si>
  <si>
    <t>261-023000-055</t>
  </si>
  <si>
    <t>74220-SAA-0000-55/SEAL DEFRECTER</t>
  </si>
  <si>
    <t>262-000000-001</t>
  </si>
  <si>
    <t>76831-SEN-H010-M1喷嘴软管 右</t>
  </si>
  <si>
    <t>262-000000-002</t>
  </si>
  <si>
    <t>76836-SEN-H010-M1喷嘴软管左</t>
  </si>
  <si>
    <t>262-000000-003</t>
  </si>
  <si>
    <t>76811-SEN-H010-M1/Y管</t>
  </si>
  <si>
    <t>262-000000-014</t>
  </si>
  <si>
    <t>软胶/74144-SOL-H000</t>
  </si>
  <si>
    <t>262-000000-005</t>
  </si>
  <si>
    <t>90602-SX0-0030/CLIP COWL TOP*5</t>
  </si>
  <si>
    <t>261-138001-010</t>
  </si>
  <si>
    <t>74220-SEL-T000-51/SEAL FR AS</t>
  </si>
  <si>
    <t>261-111000-088</t>
  </si>
  <si>
    <t>74220-SEL-T000-52/SEAL RR AS</t>
  </si>
  <si>
    <t>261-013001-010</t>
  </si>
  <si>
    <t>74220-SAA-0000-53/SEAL SIDE</t>
  </si>
  <si>
    <t>261-010500-073</t>
  </si>
  <si>
    <t>74220-SEL-T000-53/SEAL END</t>
  </si>
  <si>
    <t>261-031500-053</t>
  </si>
  <si>
    <t>74220-SEL-T000-54/SEAL LID</t>
  </si>
  <si>
    <t>921-000000-100</t>
  </si>
  <si>
    <t>821-060000-100</t>
  </si>
  <si>
    <t>74210-SEN-H000-50/广本/HD060/2ST</t>
  </si>
  <si>
    <t>921-000000-200</t>
  </si>
  <si>
    <t>821-059000-100</t>
  </si>
  <si>
    <t>74220-SEN-H000-50/广本/HD059/2ST</t>
  </si>
  <si>
    <t>821-061000-100</t>
  </si>
  <si>
    <t>74223-SEN-H001/广本/HD061/2ST</t>
  </si>
  <si>
    <t>821-061000-200</t>
  </si>
  <si>
    <t>74221-SEL-P001/广本/HD061/2ST</t>
  </si>
  <si>
    <t>262-000000-004</t>
  </si>
  <si>
    <t>软胶/74144-SEL-T011</t>
  </si>
  <si>
    <t>926-044000-100</t>
  </si>
  <si>
    <t>83200-SLEA-Z011-25</t>
  </si>
  <si>
    <t>261-001500-061</t>
  </si>
  <si>
    <t>261-001500-061 布织布/1*6*15mm/佛山新明产品用</t>
  </si>
  <si>
    <t>166#纸箱</t>
  </si>
  <si>
    <t>922-096465-100</t>
  </si>
  <si>
    <t>KNOB COMP R,RECLINING</t>
  </si>
  <si>
    <t>822-096465-100</t>
  </si>
  <si>
    <t>81315-T6A4-J010-20-400/提爱思/TS096/2NM/YR-400L</t>
  </si>
  <si>
    <t>262-000000-053</t>
  </si>
  <si>
    <t>标签8131521-T6A4-J1H2</t>
  </si>
  <si>
    <t>204-00922</t>
  </si>
  <si>
    <t>2NM现品票81315M1-T6A4-J1H2/黄色</t>
  </si>
  <si>
    <t>922-096465-200</t>
  </si>
  <si>
    <t>KNOB COMP L,RECLINING</t>
  </si>
  <si>
    <t>822-096465-200</t>
  </si>
  <si>
    <t>81715-T6A4-J010-20-400/TS096/2NM/YR-400L</t>
  </si>
  <si>
    <t>262-000000-054</t>
  </si>
  <si>
    <t>标签8171521-T6A4-J1H2</t>
  </si>
  <si>
    <t>204-00923</t>
  </si>
  <si>
    <t>2NM现品票81715M1-T6A4-J1H2/黄色</t>
  </si>
  <si>
    <t>922-096465-300</t>
  </si>
  <si>
    <t>KNOB COMP R,LONG SLIDE</t>
  </si>
  <si>
    <t>262-000000-049</t>
  </si>
  <si>
    <t>标签8131521-T6A4-J2H2</t>
  </si>
  <si>
    <t>204-00920</t>
  </si>
  <si>
    <t>2NM现品票81315M1-T6A4-J2H2/黄色</t>
  </si>
  <si>
    <t>922-096465-400</t>
  </si>
  <si>
    <t>KNOB COMP L,LONG SLIDE</t>
  </si>
  <si>
    <t>262-000000-050</t>
  </si>
  <si>
    <t>标签8171521-T6A4-J2H2</t>
  </si>
  <si>
    <t>204-00921</t>
  </si>
  <si>
    <t>2NM现品票81715M1-T6A4-J2H2/黄色</t>
  </si>
  <si>
    <t>922-096465-500</t>
  </si>
  <si>
    <t>KNOB COMP R,REC BACK UPR</t>
  </si>
  <si>
    <t>262-000000-052</t>
  </si>
  <si>
    <t>标签81715-T6A4-J310-21-0000</t>
  </si>
  <si>
    <t>204-00924</t>
  </si>
  <si>
    <t>2NM现品票81315M1-T6A4-J3H2/黄色</t>
  </si>
  <si>
    <t>922-096465-600</t>
  </si>
  <si>
    <t>KNOB COMP L,REC BACK UPR</t>
  </si>
  <si>
    <t>262-000000-051</t>
  </si>
  <si>
    <t>标签81315-T6A4-J310-21-0000</t>
  </si>
  <si>
    <t>204-00925</t>
  </si>
  <si>
    <t>2NM现品票81715M1-T6A4-J3H2/黄色</t>
  </si>
  <si>
    <t>922-096517-100</t>
  </si>
  <si>
    <t>822-096517-100</t>
  </si>
  <si>
    <t>81315-T6A4-J010-20-900/TS096/2NM/NH-900L</t>
  </si>
  <si>
    <t>262-000000-059</t>
  </si>
  <si>
    <t>标签8131521-T6A4-J1L4</t>
  </si>
  <si>
    <t>243-100600-000</t>
  </si>
  <si>
    <t>6#胶箱</t>
  </si>
  <si>
    <t>204-00935</t>
  </si>
  <si>
    <t>2NM现品票81315M1-T6A4-J1L4/白色</t>
  </si>
  <si>
    <t>922-096517-200</t>
  </si>
  <si>
    <t>822-096517-200</t>
  </si>
  <si>
    <t>81715-T6A4-J010-20-900/TS096/2NM/NH-900L</t>
  </si>
  <si>
    <t>262-000000-060</t>
  </si>
  <si>
    <t>标签8171521-T6A4-J1L4</t>
  </si>
  <si>
    <t>204-00936</t>
  </si>
  <si>
    <t>2NM现品票81715M1-T6A4-J1L4/白色</t>
  </si>
  <si>
    <t>922-096517-300</t>
  </si>
  <si>
    <t>262-000000-055</t>
  </si>
  <si>
    <t>标签8131521-T6A4-J2L4</t>
  </si>
  <si>
    <t>204-00937</t>
  </si>
  <si>
    <t>2NM现品票81315M1-T6A4-J2L4/白色</t>
  </si>
  <si>
    <t>922-096517-400</t>
  </si>
  <si>
    <t>262-000000-056</t>
  </si>
  <si>
    <t>标签8171521-T6A4-J2L4</t>
  </si>
  <si>
    <t>204-00938</t>
  </si>
  <si>
    <t>2NM现品票81715M1-T6A4-J2L4/白色</t>
  </si>
  <si>
    <t>922-096517-500</t>
  </si>
  <si>
    <t>262-000000-058</t>
  </si>
  <si>
    <t>204-00933</t>
  </si>
  <si>
    <t>2NM现品票81315M1-T6A4-J3L4/白色</t>
  </si>
  <si>
    <t>922-096517-600</t>
  </si>
  <si>
    <t>262-000000-057</t>
  </si>
  <si>
    <t>204-00934</t>
  </si>
  <si>
    <t>2NM现品票81715M1-T6A4-J3L4/白色</t>
  </si>
  <si>
    <t>906-286000-110</t>
  </si>
  <si>
    <t>D EVA PAN(组立)</t>
  </si>
  <si>
    <t>806-286000-110</t>
  </si>
  <si>
    <t>/D EVA PAN/东芝/GLC</t>
  </si>
  <si>
    <t>906-229000-110</t>
  </si>
  <si>
    <t>/D E PAN SCR CAP/东芝</t>
  </si>
  <si>
    <t>261-000000-044</t>
  </si>
  <si>
    <t>海绵条/H11RG/F系列/8*245*10mm/海氏</t>
  </si>
  <si>
    <t>261-000000-054</t>
  </si>
  <si>
    <t>海绵条/H11RG/265*8*10mm/6-286组装/海氏</t>
  </si>
  <si>
    <t>261-000000-012</t>
  </si>
  <si>
    <t>海绵条/KLSER/东芝/E43N/3*210*10mm/海氏</t>
  </si>
  <si>
    <t>241-014700-000</t>
  </si>
  <si>
    <t>包装箱/147/74*46*43/BD3DB</t>
  </si>
  <si>
    <t>241-014700-100</t>
  </si>
  <si>
    <t>147#隔板/73.5*45.5*0.3/BD3DB</t>
  </si>
  <si>
    <t>906-376348-210</t>
  </si>
  <si>
    <t>F PATI COVER AS/G0BWA93250组装</t>
  </si>
  <si>
    <t>806-376348-210</t>
  </si>
  <si>
    <t>F PATI COVER</t>
  </si>
  <si>
    <t>906-390348-210</t>
  </si>
  <si>
    <t>F PATI COVER R</t>
  </si>
  <si>
    <t>261-000000-000</t>
  </si>
  <si>
    <t>隔板密封/海氏</t>
  </si>
  <si>
    <t>263-000000-024</t>
  </si>
  <si>
    <t>螺钉/STS2STRS/桥亿</t>
  </si>
  <si>
    <t>261-002500-255</t>
  </si>
  <si>
    <t>海绵条/5*25*25mm/B48 50 55/海氏</t>
  </si>
  <si>
    <t>261-149500-103</t>
  </si>
  <si>
    <t>海绵条/H11RG/3*1495*10mm/海氏</t>
  </si>
  <si>
    <t>261-002500-155</t>
  </si>
  <si>
    <t>海绵条/H11RG/5*25*15/海氏</t>
  </si>
  <si>
    <t>261-000000-108</t>
  </si>
  <si>
    <t>SOFT TYPE A/G0001/30倍AEPE白+19PU灰/80*20*(2+5)/</t>
  </si>
  <si>
    <t>261-000000-109</t>
  </si>
  <si>
    <t>SOFT TYPE A/G0002/30倍AEPE白+19PU灰/150*25*(2+5)/</t>
  </si>
  <si>
    <t>261-000000-110</t>
  </si>
  <si>
    <t>SOFT TYPE A/G0003/30倍AEPE白+19PU灰/50*25*(2+5)/</t>
  </si>
  <si>
    <t>261-000000-111</t>
  </si>
  <si>
    <t>SOFT TYPE A/G0004/30倍AEPE白+19PU灰/195*25*(2+5)/</t>
  </si>
  <si>
    <t>261-000000-112</t>
  </si>
  <si>
    <t>SOFT TYPE A/G0005/30倍AEPE白+19PU灰/120*25*(2+5)/</t>
  </si>
  <si>
    <t>241-014600-000</t>
  </si>
  <si>
    <t>包装箱/146/69*53*44.5/BD3DB</t>
  </si>
  <si>
    <t>241-014600-001</t>
  </si>
  <si>
    <t>146#隔板/68.5*52.5*0.3/BD3DB</t>
  </si>
  <si>
    <t>906-377348-110</t>
  </si>
  <si>
    <t>F PATI COVER/G0ZWA93250组装</t>
  </si>
  <si>
    <t>806-377348-110</t>
  </si>
  <si>
    <t>906-401348-110</t>
  </si>
  <si>
    <t>261-012000-205</t>
  </si>
  <si>
    <t>海绵条/H11RG/5*120*20mm/海氏</t>
  </si>
  <si>
    <t>261-022000-205</t>
  </si>
  <si>
    <t>海绵条/H11RG/5*220*20mm/海氏</t>
  </si>
  <si>
    <t>261-156500-103</t>
  </si>
  <si>
    <t>海绵条/H11RG/3*1565*10mm/海氏</t>
  </si>
  <si>
    <t>906-793000-100</t>
  </si>
  <si>
    <t>上内箱补强板P组件</t>
  </si>
  <si>
    <t>906-091000-110</t>
  </si>
  <si>
    <t>SLIDE SHELF AS 棚架组立</t>
  </si>
  <si>
    <t>806-091000-110</t>
  </si>
  <si>
    <t>棚架A/SHELF-A/G34/38</t>
  </si>
  <si>
    <t>806-092000-110</t>
  </si>
  <si>
    <t>棚架B/SHELF-B/G34/38</t>
  </si>
  <si>
    <t>253-025006-507</t>
  </si>
  <si>
    <t>包装袋/平面珍珠棉/两边开口/250*650*0.75C</t>
  </si>
  <si>
    <t>264-200001-250</t>
  </si>
  <si>
    <t>静电保护膜/125mm*200m/6-91用</t>
  </si>
  <si>
    <t>906-288000-110</t>
  </si>
  <si>
    <t>SMALL CASE AS</t>
  </si>
  <si>
    <t>906-288348-110</t>
  </si>
  <si>
    <t>HANDLE B/GLC</t>
  </si>
  <si>
    <t>906-289348-110</t>
  </si>
  <si>
    <t>SMALL POCKET A/GLC</t>
  </si>
  <si>
    <t>906-290500-110</t>
  </si>
  <si>
    <t>SMALL POCKET LID/东芝/GLC</t>
  </si>
  <si>
    <t>906-352348-110</t>
  </si>
  <si>
    <t>V PATI COVER AS/成品</t>
  </si>
  <si>
    <t>806-352000-110</t>
  </si>
  <si>
    <t>V PATI COVER</t>
  </si>
  <si>
    <t>261-000000-115</t>
  </si>
  <si>
    <t>V PAIT INSU/湘福</t>
  </si>
  <si>
    <t>261-000000-098</t>
  </si>
  <si>
    <t>海绵条/H16DB/5*60*10mm/海氏</t>
  </si>
  <si>
    <t>261-000550-155</t>
  </si>
  <si>
    <t>海绵条/H16DB/5*52*15mm/海氏</t>
  </si>
  <si>
    <t>261-000000-099</t>
  </si>
  <si>
    <t>海绵条/H16DB/5*635*10mm/海氏</t>
  </si>
  <si>
    <t>261-000000-100</t>
  </si>
  <si>
    <t>海绵条/H16DB/5*30*10mm/海氏</t>
  </si>
  <si>
    <t>906-353348-210</t>
  </si>
  <si>
    <t>806-353000-110</t>
  </si>
  <si>
    <t>261-067000-105</t>
  </si>
  <si>
    <t>海绵条/H16DB/5*665*10/海氏</t>
  </si>
  <si>
    <t>252-130010-008</t>
  </si>
  <si>
    <t>包装袋/PO/1300*1000*1.5C</t>
  </si>
  <si>
    <t>241-001400-100</t>
  </si>
  <si>
    <t>14#隔板/62*44*0.3/BD3DB</t>
  </si>
  <si>
    <t>241-006900-000</t>
  </si>
  <si>
    <t>包装箱/69/69*46*36/BD3DB</t>
  </si>
  <si>
    <t>906-961000-110</t>
  </si>
  <si>
    <t>V PATI COVER AS</t>
  </si>
  <si>
    <t>806-961000-110</t>
  </si>
  <si>
    <t>/V PATI COVER/东芝(科智移模)</t>
  </si>
  <si>
    <t>261-000000-126</t>
  </si>
  <si>
    <t>V PATI INSU/湘福</t>
  </si>
  <si>
    <t>261-006000-108</t>
  </si>
  <si>
    <t>海绵条/H11RG/8*60*10/海氏</t>
  </si>
  <si>
    <t>261-006800-108</t>
  </si>
  <si>
    <t>海绵条/H16DB/8*680*10mm/海氏</t>
  </si>
  <si>
    <t>261-000300-108</t>
  </si>
  <si>
    <t>海绵条/H16DB/8*30*10mm/海氏</t>
  </si>
  <si>
    <t>261-006300-108</t>
  </si>
  <si>
    <t>海绵条/H16DB/8*630*10mm/海氏</t>
  </si>
  <si>
    <t>906-424348-110</t>
  </si>
  <si>
    <t>F PATI COVER AS</t>
  </si>
  <si>
    <t>806-424348-110</t>
  </si>
  <si>
    <t>806-425348-110</t>
  </si>
  <si>
    <t>F PATI COVER *R</t>
  </si>
  <si>
    <t>261-167000-103</t>
  </si>
  <si>
    <t>海绵条/H11RG/3*1670*10/海氏</t>
  </si>
  <si>
    <t>261-005000-254</t>
  </si>
  <si>
    <t>海绵条/H21DW/3*50*25/海氏</t>
  </si>
  <si>
    <t>261-015000-254</t>
  </si>
  <si>
    <t>海绵条/H21DW/3*150*25/海氏</t>
  </si>
  <si>
    <t>261-008000-204</t>
  </si>
  <si>
    <t>海绵条/H21DW/3*80*20/海氏</t>
  </si>
  <si>
    <t>261-019500-254</t>
  </si>
  <si>
    <t>海绵条/H21DW/3*195*25/海氏</t>
  </si>
  <si>
    <t>261-012000-254</t>
  </si>
  <si>
    <t>海绵条/H21DW/120*25*（t3+t5+铝箔）</t>
  </si>
  <si>
    <t>906-423348-110</t>
  </si>
  <si>
    <t>806-422348-110</t>
  </si>
  <si>
    <t>806-423348-110</t>
  </si>
  <si>
    <t>261-173000-103</t>
  </si>
  <si>
    <t>海绵条/H11RG/3*1730*10/海氏</t>
  </si>
  <si>
    <t>海绵条/H21DW/3*50*25/东芝/海氏</t>
  </si>
  <si>
    <t>海绵条/H21DW/3*150*25/东芝/海氏</t>
  </si>
  <si>
    <t>海绵条/H21DW/3*80*20/东芝/海氏</t>
  </si>
  <si>
    <t>261-023000-254</t>
  </si>
  <si>
    <t>海绵条/H21DW/3*230*25/东芝/海氏</t>
  </si>
  <si>
    <t>隔板密封/东芝用/海氏</t>
  </si>
  <si>
    <t>906-161000-110</t>
  </si>
  <si>
    <t xml:space="preserve">内胆加强板总成/I LIN REINF </t>
  </si>
  <si>
    <t>806-161000-110</t>
  </si>
  <si>
    <t>内胆加强板/东芝/000</t>
  </si>
  <si>
    <t>海绵条/5*25*25mm/东芝/B48 50 55/海氏</t>
  </si>
  <si>
    <t>261-078000-105</t>
  </si>
  <si>
    <t>海绵条/5*780*10/东芝/B48 50 55/海氏</t>
  </si>
  <si>
    <t>906-222000-100</t>
  </si>
  <si>
    <t>内胆加强板组件</t>
  </si>
  <si>
    <t>906-222000-110</t>
  </si>
  <si>
    <t>内箱加强板/I LIN REINF *U</t>
  </si>
  <si>
    <t>261-000000-016</t>
  </si>
  <si>
    <t>美纹胶纸/18MM*18M/东芝/E43N/致盟</t>
  </si>
  <si>
    <t>261-000000-013</t>
  </si>
  <si>
    <t>海绵条/H11RG/东芝/E43N/T5*230*10mm/</t>
  </si>
  <si>
    <t>261-000000-014</t>
  </si>
  <si>
    <t>海绵条/H11RG/东芝/E43N/T5*370*10mm/</t>
  </si>
  <si>
    <t>261-000000-015</t>
  </si>
  <si>
    <t>海绵条/H11RG/东芝/E43N/T5*50*30mm/</t>
  </si>
  <si>
    <t>241-000300-000</t>
  </si>
  <si>
    <t>包装箱/3/54.5*37*26.5/BD3DB</t>
  </si>
  <si>
    <t>241-000300-102</t>
  </si>
  <si>
    <t>3#隔板/54*36.5*0.3/BD3DB</t>
  </si>
  <si>
    <t>SOFT TP TYPE-A</t>
  </si>
  <si>
    <t>SOFT TAPE-A</t>
  </si>
  <si>
    <t>隔板密封?</t>
  </si>
  <si>
    <t>261-000000-168</t>
  </si>
  <si>
    <t>海绵条/G007/H21DW/50*25/(t3+t5+铝箔)/海氏</t>
  </si>
  <si>
    <t>H21DW海绵</t>
  </si>
  <si>
    <t>复合棉</t>
  </si>
  <si>
    <t>H21DW海绵/H21DW  t3×0150×025</t>
  </si>
  <si>
    <t>906-460000-310</t>
  </si>
  <si>
    <t xml:space="preserve">HSG PATI SPA AS </t>
  </si>
  <si>
    <t>906-460348-110</t>
  </si>
  <si>
    <t>METPN SHAD FIX</t>
  </si>
  <si>
    <t>906-461000-110</t>
  </si>
  <si>
    <t>MEAT PAN SHADE</t>
  </si>
  <si>
    <t>211-020900-000</t>
  </si>
  <si>
    <t>AL TP(AF2515) 25X50            铝箔胶带</t>
  </si>
  <si>
    <t>211-028500-053</t>
  </si>
  <si>
    <t>海绵条\G999967833\H16W\3*285*5\东芝\海氏</t>
  </si>
  <si>
    <t>PE胶袋/1300*1000*1.5C</t>
  </si>
  <si>
    <t>906-394000-210</t>
  </si>
  <si>
    <t>906-394000-110</t>
  </si>
  <si>
    <t>SHADE FIXER</t>
  </si>
  <si>
    <t>211-020000-000</t>
  </si>
  <si>
    <t>密封材料(D)SEALER-D</t>
  </si>
  <si>
    <t>211-020100-000</t>
  </si>
  <si>
    <t>双面胶带BPT 5487</t>
  </si>
  <si>
    <t>211-020200-000</t>
  </si>
  <si>
    <t>皱纹纸               NO4033B</t>
  </si>
  <si>
    <t>立柱</t>
  </si>
  <si>
    <t>胶袋\塑料袋\1200*1400*1800（厚度0.5mm)</t>
  </si>
  <si>
    <t>906-094000-210</t>
  </si>
  <si>
    <t>Water Receiver Pan AS  接水盘</t>
  </si>
  <si>
    <t>906-094000-100</t>
  </si>
  <si>
    <t>Water Receiver Pan   接水盘</t>
  </si>
  <si>
    <t>221-020400-000</t>
  </si>
  <si>
    <t>HOSE-B</t>
  </si>
  <si>
    <t>221-020500-000</t>
  </si>
  <si>
    <t>SK BAND</t>
  </si>
  <si>
    <t>906-257000-210</t>
  </si>
  <si>
    <t>I HUSNG COVR AS</t>
  </si>
  <si>
    <t>906-257000-110</t>
  </si>
  <si>
    <t>I HOUSING COVER</t>
  </si>
  <si>
    <t>211-019900-000</t>
  </si>
  <si>
    <t>密封材-I             SEALER-I</t>
  </si>
  <si>
    <t>906-246000-210</t>
  </si>
  <si>
    <t>SHADE  FIXER AS  灯罩固定器部件</t>
  </si>
  <si>
    <t>906-246458-110</t>
  </si>
  <si>
    <t>SHADE  FIXER</t>
  </si>
  <si>
    <t>211-020300-000</t>
  </si>
  <si>
    <t>皱纹纸 NO4033B</t>
  </si>
  <si>
    <t>211-020400-000</t>
  </si>
  <si>
    <t>皱纹纸NO4033B</t>
  </si>
  <si>
    <t>211-020500-000</t>
  </si>
  <si>
    <t>发泡密封材料 URETAN SEALER</t>
  </si>
  <si>
    <t>211-020600-000</t>
  </si>
  <si>
    <t>密封胶带 SEAL TAPE</t>
  </si>
  <si>
    <t>906-488000-110</t>
  </si>
  <si>
    <t>I LIN REINF U AS</t>
  </si>
  <si>
    <t>806-488000-110</t>
  </si>
  <si>
    <t>I LIN REINF U</t>
  </si>
  <si>
    <t>211-026000-105</t>
  </si>
  <si>
    <t>海绵条规格：H11RG 05*0260*010</t>
  </si>
  <si>
    <t>211-001500-105</t>
  </si>
  <si>
    <t>海绵条规格：H11RG 05*0150*010</t>
  </si>
  <si>
    <t>211-000300-105</t>
  </si>
  <si>
    <t>海绵条规格：KLSER 05*030*010</t>
  </si>
  <si>
    <t>906-495000-110</t>
  </si>
  <si>
    <t>806-495000-110</t>
  </si>
  <si>
    <t>211-009500-000</t>
  </si>
  <si>
    <t>海绵条规格：H16DB 05*0060*010</t>
  </si>
  <si>
    <t>211-000550-155</t>
  </si>
  <si>
    <t>海绵条规格：H16DB 05X0055X015</t>
  </si>
  <si>
    <t>211-009700-000</t>
  </si>
  <si>
    <t>海绵条规格：H16DB 05*0030*010</t>
  </si>
  <si>
    <t>211-058500-105</t>
  </si>
  <si>
    <t>海绵条规格：H16DB 05*0585*010</t>
  </si>
  <si>
    <t>906-496000-110</t>
  </si>
  <si>
    <t>806-496000-110</t>
  </si>
  <si>
    <t>906-497000-110</t>
  </si>
  <si>
    <t>211-002500-255</t>
  </si>
  <si>
    <t>海绵条规格：H11RG 05X0025X025</t>
  </si>
  <si>
    <t>211-159000-103</t>
  </si>
  <si>
    <t>海绵条规格：H11RG　03×1590×010</t>
  </si>
  <si>
    <t>211-000100-000</t>
  </si>
  <si>
    <t>211-005000-254</t>
  </si>
  <si>
    <t xml:space="preserve">海绵条规格：H21DW 03×0050×025 </t>
  </si>
  <si>
    <t>211-016400-000</t>
  </si>
  <si>
    <t>50*25*（t3+t5+铝箔）</t>
  </si>
  <si>
    <t>211-010000-253</t>
  </si>
  <si>
    <t>海绵条规格：H21DW 03×0100×025</t>
  </si>
  <si>
    <t>211-008000-204</t>
  </si>
  <si>
    <t>海绵条规格：H21DW  03×0080×020</t>
  </si>
  <si>
    <t>211-019500-254</t>
  </si>
  <si>
    <t>海绵条规格：H21DW  03×0195×025</t>
  </si>
  <si>
    <t>211-012000-254</t>
  </si>
  <si>
    <t>120*25*（t3+t5+铝箔）</t>
  </si>
  <si>
    <t>906-958000-100</t>
  </si>
  <si>
    <t>\V PATI COVER AS\G0AMW24670\东芝\科智移模\6-958</t>
  </si>
  <si>
    <t>806-958000-110</t>
  </si>
  <si>
    <t>\V PATI COVER\G0AMW24220\东芝\科智移模\6-958</t>
  </si>
  <si>
    <t>211-011900-000</t>
  </si>
  <si>
    <t>V PATI INSU\G0AMW24240\湘福</t>
  </si>
  <si>
    <t>211-006000-108</t>
  </si>
  <si>
    <t>海绵条\\H11RG\8*60*10\海氏</t>
  </si>
  <si>
    <t>海绵条\G999966146\H16DB\5*52*15mm\海氏</t>
  </si>
  <si>
    <t>211-074500-108</t>
  </si>
  <si>
    <t>海绵条\G999966315\H16DB\8*745*10\海氏</t>
  </si>
  <si>
    <t>211-000300-108</t>
  </si>
  <si>
    <t>海绵条\G999966961\H16DB\8*30*10mm\海氏</t>
  </si>
  <si>
    <t>211-006950-108</t>
  </si>
  <si>
    <t>海绵条\G999966991\H16DB\8*695*10mm\海氏</t>
  </si>
  <si>
    <t>上内箱补强板P组件G0PMW27080   6-793</t>
  </si>
  <si>
    <t>806-793000-110</t>
  </si>
  <si>
    <t>/I LIN REINF*U/东芝(华达移模)G0PMW27590   6-793</t>
  </si>
  <si>
    <t>海绵条/H11RG/E43N/T5*230*10mm/G999964924FQ</t>
  </si>
  <si>
    <t>261-008000-305</t>
  </si>
  <si>
    <t>海绵条/H11RG/5*80*30/海氏G999965261</t>
  </si>
  <si>
    <t>906-959000-110</t>
  </si>
  <si>
    <t>\V PATI COVER AS\G0AMW96691\东芝\科智移模\6-959</t>
  </si>
  <si>
    <t>806-959000-110</t>
  </si>
  <si>
    <t>\F PATI COVER\G0AMW93271\东芝\科智移模\6-959</t>
  </si>
  <si>
    <t>211-012000-000</t>
  </si>
  <si>
    <t>F PATI INSU\G0AMW34121\湘福</t>
  </si>
  <si>
    <t>211-008400-000</t>
  </si>
  <si>
    <t>PATI SEALER-C\G0PVU24630\海氏</t>
  </si>
  <si>
    <t>211-008500-000</t>
  </si>
  <si>
    <t>PATI SEALER-D\G0PVU24640\海氏</t>
  </si>
  <si>
    <t>906-721000-310</t>
  </si>
  <si>
    <t>\F CEIL PLATE\G0PMW33791\东芝\6-721</t>
  </si>
  <si>
    <t>906-722000-210</t>
  </si>
  <si>
    <t>\F CEIL DUCT\G0PMW39091\东芝\6-722</t>
  </si>
  <si>
    <t>906-721000-410</t>
  </si>
  <si>
    <t>\F CEIL PLATE\G0PMW39101\东芝\6-721</t>
  </si>
  <si>
    <t>906-738000-310</t>
  </si>
  <si>
    <t>\F CEIL PLATE AS\G0LMW33791\东芝\6-738</t>
  </si>
  <si>
    <t>906-739000-210</t>
  </si>
  <si>
    <t>\F CEIL DUCT\G0LMW39091\东芝\6-739</t>
  </si>
  <si>
    <t>906-738000-410</t>
  </si>
  <si>
    <t>\F CEIL PLATE\G0LMW39101\东芝\6-738</t>
  </si>
  <si>
    <t>906-487000-110</t>
  </si>
  <si>
    <t>D EVA PAN AS</t>
  </si>
  <si>
    <t>806-487000-110</t>
  </si>
  <si>
    <t>D EVA PAN</t>
  </si>
  <si>
    <t xml:space="preserve">D E PAN SCR CAP                蒸发盘螺帽      </t>
  </si>
  <si>
    <t>211-004001-515</t>
  </si>
  <si>
    <t>规格：KLSER 15*40*15mm</t>
  </si>
  <si>
    <t>906-442000-110</t>
  </si>
  <si>
    <t>806-442000-110</t>
  </si>
  <si>
    <t>261-000000-113</t>
  </si>
  <si>
    <t>906-442000-210</t>
  </si>
  <si>
    <t>806-442000-210</t>
  </si>
  <si>
    <t>906-443000-210</t>
  </si>
  <si>
    <t>DR SHAD FX-A AS             门内灯罩固定器（A）部件</t>
  </si>
  <si>
    <t>/</t>
  </si>
  <si>
    <t>906-443000-110</t>
  </si>
  <si>
    <t>DR SHADE FIX  A门内灯罩固定器（A）</t>
  </si>
  <si>
    <t>211-025600-000</t>
  </si>
  <si>
    <t>AL TAPE-B             铝箔胶带(B)</t>
  </si>
  <si>
    <t>211-070000-105</t>
  </si>
  <si>
    <t>SOFT TP TYPE-A 软质胶带-A</t>
  </si>
  <si>
    <t>DR SHAD FX-A AS门内灯罩固定器（A）部件</t>
  </si>
  <si>
    <t>906-444000-110</t>
  </si>
  <si>
    <t>211-025700-000</t>
  </si>
  <si>
    <t>906-337348-110</t>
  </si>
  <si>
    <t>ICE BOX AS 制冰盒部件</t>
  </si>
  <si>
    <t>ICE BOX</t>
  </si>
  <si>
    <t>221-025800-000</t>
  </si>
  <si>
    <t>ICE SERVER             冰铲</t>
  </si>
  <si>
    <t>271-002000-000</t>
  </si>
  <si>
    <t>ICE BOX CAU LAB     制冰盒警示标签</t>
  </si>
  <si>
    <t>241-007400-000</t>
  </si>
  <si>
    <t>MOPP-Ta64283 25X50         固定胶带</t>
  </si>
  <si>
    <t>906-338348-110</t>
  </si>
  <si>
    <t>MOPP-Ta64283 25X50               固定胶带</t>
  </si>
  <si>
    <t>906-339000-210</t>
  </si>
  <si>
    <t>906-339348-110</t>
  </si>
  <si>
    <t>906-340000-210</t>
  </si>
  <si>
    <t>906-340348-110</t>
  </si>
  <si>
    <t>271-002100-000</t>
  </si>
  <si>
    <t>906-475000-210</t>
  </si>
  <si>
    <t>906-475348-110</t>
  </si>
  <si>
    <t>ICE BOX              制冰盒</t>
  </si>
  <si>
    <t>906-476000-210</t>
  </si>
  <si>
    <t>906-476348-110</t>
  </si>
  <si>
    <t>906-477000-210</t>
  </si>
  <si>
    <t>906-477348-110</t>
  </si>
  <si>
    <t>CP MOUNT PLATE SAS</t>
  </si>
  <si>
    <t>906-749000-100</t>
  </si>
  <si>
    <t>CP MOUNT PLATE</t>
  </si>
  <si>
    <t>NO4033B 24*50           粘纸胶带</t>
  </si>
  <si>
    <t>211-027000-000</t>
  </si>
  <si>
    <t>CONT PANE SEAL                 控制面板密封</t>
  </si>
  <si>
    <t>HUM CON CAST AS          调湿盒部件</t>
  </si>
  <si>
    <t>906-412477-110</t>
  </si>
  <si>
    <t>HUM COND CASSET</t>
  </si>
  <si>
    <t>906-412477-210</t>
  </si>
  <si>
    <t>HUM CON CAS COV</t>
  </si>
  <si>
    <t xml:space="preserve">HUM COND SHEET                      调湿片    </t>
  </si>
  <si>
    <t>906-471000-210</t>
  </si>
  <si>
    <t>MOS THRO CAS AS           调湿盒部件</t>
  </si>
  <si>
    <t>-</t>
  </si>
  <si>
    <t>906-471348-110</t>
  </si>
  <si>
    <t>MOIST THRO CAS</t>
  </si>
  <si>
    <t>906-473348-110</t>
  </si>
  <si>
    <t>MOS THRO CAS CV</t>
  </si>
  <si>
    <t>271-000800-000</t>
  </si>
  <si>
    <t>MOIST THRO SHT              调湿片</t>
  </si>
  <si>
    <t>SMALL CASE AS 小盒部件</t>
  </si>
  <si>
    <t>906-908000-110</t>
  </si>
  <si>
    <t>V盒</t>
  </si>
  <si>
    <t>623-000000-002</t>
  </si>
  <si>
    <t>PROTEC        SHEET</t>
  </si>
  <si>
    <t>R PATI COVER         冷藏室(R)隔板罩部件</t>
  </si>
  <si>
    <t>906-417348-110</t>
  </si>
  <si>
    <t>R PATI COVER             冷藏室(R)隔板罩</t>
  </si>
  <si>
    <t>221-027100-000</t>
  </si>
  <si>
    <t>R PATI INSU MAT   冷藏室(R)隔板隔热材</t>
  </si>
  <si>
    <t>231-009900-000</t>
  </si>
  <si>
    <t>HEAT TRN PLT-A         传热板(A)</t>
  </si>
  <si>
    <t>231-010000-000</t>
  </si>
  <si>
    <t>HEAT TRN PLT-B              传热板(B)</t>
  </si>
  <si>
    <t>231-010100-000</t>
  </si>
  <si>
    <t>HINGE PATCH                  铰链挡板</t>
  </si>
  <si>
    <t>231-010200-000</t>
  </si>
  <si>
    <t>STS2SFLT +   平头带切口十字自攻螺钉S2型</t>
  </si>
  <si>
    <t>232-002300-000</t>
  </si>
  <si>
    <t>STS2STRS +   圆头带切口十字自攻螺钉S2型</t>
  </si>
  <si>
    <t>231-010500-000</t>
  </si>
  <si>
    <t>HINGE PATCH L                  铰链挡板(左)</t>
  </si>
  <si>
    <t>R PATI COVER AS</t>
  </si>
  <si>
    <t>906-716458-100</t>
  </si>
  <si>
    <t>R PATI COVER</t>
  </si>
  <si>
    <t>圆头带切口十字自攻螺钉S2型</t>
  </si>
  <si>
    <t>221-027200-000</t>
  </si>
  <si>
    <t>隔板加强板</t>
  </si>
  <si>
    <t>铰链挡板</t>
  </si>
  <si>
    <t>铰链挡板(左)</t>
  </si>
  <si>
    <t>传热板(B)</t>
  </si>
  <si>
    <t>211-027100-000</t>
  </si>
  <si>
    <t>隔离密封    PATI SEALER</t>
  </si>
  <si>
    <t>平头带切口十字自攻螺钉S2型</t>
  </si>
  <si>
    <t>221-027300-000</t>
  </si>
  <si>
    <t>冷藏室(R)隔板隔热材</t>
  </si>
  <si>
    <t>P.C.B SUPPORT  AS</t>
  </si>
  <si>
    <t>906-484000-000</t>
  </si>
  <si>
    <t>P.C.B SUPPORT</t>
  </si>
  <si>
    <t>211-027400-000</t>
  </si>
  <si>
    <t>211-078000-105</t>
  </si>
  <si>
    <t>211-027500-000</t>
  </si>
  <si>
    <t>211-002500-155</t>
  </si>
  <si>
    <t>241-007900-000</t>
  </si>
  <si>
    <t>M856 25X50           粘纸胶带</t>
  </si>
  <si>
    <t>出货明细</t>
  </si>
  <si>
    <t>本工作表只能对“计划生产”项进行操作</t>
  </si>
  <si>
    <t>零件明细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</si>
</sst>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90"/>
  <sheetViews>
    <sheetView tabSelected="1" workbookViewId="0"/>
  </sheetViews>
  <sheetFormatPr defaultRowHeight="15"/>
  <sheetData>
    <row r="1" spans="1:41">
      <c r="A1" t="s">
        <v>0</v>
      </c>
    </row>
    <row r="2" spans="1:4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28</v>
      </c>
      <c r="AL2">
        <v>29</v>
      </c>
      <c r="AM2">
        <v>30</v>
      </c>
      <c r="AN2">
        <v>31</v>
      </c>
      <c r="AO2" t="s">
        <v>9</v>
      </c>
    </row>
    <row r="3" spans="1:41">
      <c r="A3" t="s">
        <v>10</v>
      </c>
      <c r="B3" t="s">
        <v>11</v>
      </c>
      <c r="C3" t="s">
        <v>12</v>
      </c>
      <c r="E3">
        <v>1</v>
      </c>
      <c r="F3" t="s">
        <v>13</v>
      </c>
      <c r="I3" t="s">
        <v>14</v>
      </c>
      <c r="AO3">
        <f>sum(j3:an3)</f>
        <v>0</v>
      </c>
    </row>
    <row r="4" spans="1:41">
      <c r="I4" t="s">
        <v>15</v>
      </c>
      <c r="J4">
        <f>vlookup("927-050000-200",Out!B:AZ,column(i1),0)</f>
        <v>0</v>
      </c>
      <c r="K4">
        <f>vlookup("927-050000-200",Out!B:AZ,column(j1),0)</f>
        <v>0</v>
      </c>
      <c r="L4">
        <f>vlookup("927-050000-200",Out!B:AZ,column(k1),0)</f>
        <v>0</v>
      </c>
      <c r="M4">
        <f>vlookup("927-050000-200",Out!B:AZ,column(l1),0)</f>
        <v>0</v>
      </c>
      <c r="N4">
        <f>vlookup("927-050000-200",Out!B:AZ,column(m1),0)</f>
        <v>0</v>
      </c>
      <c r="O4">
        <f>vlookup("927-050000-200",Out!B:AZ,column(n1),0)</f>
        <v>0</v>
      </c>
      <c r="P4">
        <f>vlookup("927-050000-200",Out!B:AZ,column(o1),0)</f>
        <v>0</v>
      </c>
      <c r="Q4">
        <f>vlookup("927-050000-200",Out!B:AZ,column(p1),0)</f>
        <v>0</v>
      </c>
      <c r="R4">
        <f>vlookup("927-050000-200",Out!B:AZ,column(q1),0)</f>
        <v>0</v>
      </c>
      <c r="S4">
        <f>vlookup("927-050000-200",Out!B:AZ,column(r1),0)</f>
        <v>0</v>
      </c>
      <c r="T4">
        <f>vlookup("927-050000-200",Out!B:AZ,column(s1),0)</f>
        <v>0</v>
      </c>
      <c r="U4">
        <f>vlookup("927-050000-200",Out!B:AZ,column(t1),0)</f>
        <v>0</v>
      </c>
      <c r="V4">
        <f>vlookup("927-050000-200",Out!B:AZ,column(u1),0)</f>
        <v>0</v>
      </c>
      <c r="W4">
        <f>vlookup("927-050000-200",Out!B:AZ,column(v1),0)</f>
        <v>0</v>
      </c>
      <c r="X4">
        <f>vlookup("927-050000-200",Out!B:AZ,column(w1),0)</f>
        <v>0</v>
      </c>
      <c r="Y4">
        <f>vlookup("927-050000-200",Out!B:AZ,column(x1),0)</f>
        <v>0</v>
      </c>
      <c r="Z4">
        <f>vlookup("927-050000-200",Out!B:AZ,column(y1),0)</f>
        <v>0</v>
      </c>
      <c r="AA4">
        <f>vlookup("927-050000-200",Out!B:AZ,column(z1),0)</f>
        <v>0</v>
      </c>
      <c r="AB4">
        <f>vlookup("927-050000-200",Out!B:AZ,column(aa1),0)</f>
        <v>0</v>
      </c>
      <c r="AC4">
        <f>vlookup("927-050000-200",Out!B:AZ,column(ab1),0)</f>
        <v>0</v>
      </c>
      <c r="AD4">
        <f>vlookup("927-050000-200",Out!B:AZ,column(ac1),0)</f>
        <v>0</v>
      </c>
      <c r="AE4">
        <f>vlookup("927-050000-200",Out!B:AZ,column(ad1),0)</f>
        <v>0</v>
      </c>
      <c r="AF4">
        <f>vlookup("927-050000-200",Out!B:AZ,column(ae1),0)</f>
        <v>0</v>
      </c>
      <c r="AG4">
        <f>vlookup("927-050000-200",Out!B:AZ,column(af1),0)</f>
        <v>0</v>
      </c>
      <c r="AH4">
        <f>vlookup("927-050000-200",Out!B:AZ,column(ag1),0)</f>
        <v>0</v>
      </c>
      <c r="AI4">
        <f>vlookup("927-050000-200",Out!B:AZ,column(ah1),0)</f>
        <v>0</v>
      </c>
      <c r="AJ4">
        <f>vlookup("927-050000-200",Out!B:AZ,column(ai1),0)</f>
        <v>0</v>
      </c>
      <c r="AK4">
        <f>vlookup("927-050000-200",Out!B:AZ,column(aj1),0)</f>
        <v>0</v>
      </c>
      <c r="AL4">
        <f>vlookup("927-050000-200",Out!B:AZ,column(ak1),0)</f>
        <v>0</v>
      </c>
      <c r="AM4">
        <f>vlookup("927-050000-200",Out!B:AZ,column(al1),0)</f>
        <v>0</v>
      </c>
      <c r="AN4">
        <f>vlookup("927-050000-200",Out!B:AZ,column(am1),0)</f>
        <v>0</v>
      </c>
      <c r="AO4">
        <f>vlookup("927-050000-200",Out!B:AZ,column(an1),0)</f>
        <v>0</v>
      </c>
    </row>
    <row r="5" spans="1:41">
      <c r="H5" t="s">
        <v>16</v>
      </c>
      <c r="J5">
        <f>indirect(address(5,9))+indirect(address(3,10))-indirect(address(4,10))</f>
        <v>0</v>
      </c>
      <c r="K5">
        <f>indirect(address(5,10))+indirect(address(3,11))-indirect(address(4,11))</f>
        <v>0</v>
      </c>
      <c r="L5">
        <f>indirect(address(5,11))+indirect(address(3,12))-indirect(address(4,12))</f>
        <v>0</v>
      </c>
      <c r="M5">
        <f>indirect(address(5,12))+indirect(address(3,13))-indirect(address(4,13))</f>
        <v>0</v>
      </c>
      <c r="N5">
        <f>indirect(address(5,13))+indirect(address(3,14))-indirect(address(4,14))</f>
        <v>0</v>
      </c>
      <c r="O5">
        <f>indirect(address(5,14))+indirect(address(3,15))-indirect(address(4,15))</f>
        <v>0</v>
      </c>
      <c r="P5">
        <f>indirect(address(5,15))+indirect(address(3,16))-indirect(address(4,16))</f>
        <v>0</v>
      </c>
      <c r="Q5">
        <f>indirect(address(5,16))+indirect(address(3,17))-indirect(address(4,17))</f>
        <v>0</v>
      </c>
      <c r="R5">
        <f>indirect(address(5,17))+indirect(address(3,18))-indirect(address(4,18))</f>
        <v>0</v>
      </c>
      <c r="S5">
        <f>indirect(address(5,18))+indirect(address(3,19))-indirect(address(4,19))</f>
        <v>0</v>
      </c>
      <c r="T5">
        <f>indirect(address(5,19))+indirect(address(3,20))-indirect(address(4,20))</f>
        <v>0</v>
      </c>
      <c r="U5">
        <f>indirect(address(5,20))+indirect(address(3,21))-indirect(address(4,21))</f>
        <v>0</v>
      </c>
      <c r="V5">
        <f>indirect(address(5,21))+indirect(address(3,22))-indirect(address(4,22))</f>
        <v>0</v>
      </c>
      <c r="W5">
        <f>indirect(address(5,22))+indirect(address(3,23))-indirect(address(4,23))</f>
        <v>0</v>
      </c>
      <c r="X5">
        <f>indirect(address(5,23))+indirect(address(3,24))-indirect(address(4,24))</f>
        <v>0</v>
      </c>
      <c r="Y5">
        <f>indirect(address(5,24))+indirect(address(3,25))-indirect(address(4,25))</f>
        <v>0</v>
      </c>
      <c r="Z5">
        <f>indirect(address(5,25))+indirect(address(3,26))-indirect(address(4,26))</f>
        <v>0</v>
      </c>
      <c r="AA5">
        <f>indirect(address(5,26))+indirect(address(3,27))-indirect(address(4,27))</f>
        <v>0</v>
      </c>
      <c r="AB5">
        <f>indirect(address(5,27))+indirect(address(3,28))-indirect(address(4,28))</f>
        <v>0</v>
      </c>
      <c r="AC5">
        <f>indirect(address(5,28))+indirect(address(3,29))-indirect(address(4,29))</f>
        <v>0</v>
      </c>
      <c r="AD5">
        <f>indirect(address(5,29))+indirect(address(3,30))-indirect(address(4,30))</f>
        <v>0</v>
      </c>
      <c r="AE5">
        <f>indirect(address(5,30))+indirect(address(3,31))-indirect(address(4,31))</f>
        <v>0</v>
      </c>
      <c r="AF5">
        <f>indirect(address(5,31))+indirect(address(3,32))-indirect(address(4,32))</f>
        <v>0</v>
      </c>
      <c r="AG5">
        <f>indirect(address(5,32))+indirect(address(3,33))-indirect(address(4,33))</f>
        <v>0</v>
      </c>
      <c r="AH5">
        <f>indirect(address(5,33))+indirect(address(3,34))-indirect(address(4,34))</f>
        <v>0</v>
      </c>
      <c r="AI5">
        <f>indirect(address(5,34))+indirect(address(3,35))-indirect(address(4,35))</f>
        <v>0</v>
      </c>
      <c r="AJ5">
        <f>indirect(address(5,35))+indirect(address(3,36))-indirect(address(4,36))</f>
        <v>0</v>
      </c>
      <c r="AK5">
        <f>indirect(address(5,36))+indirect(address(3,37))-indirect(address(4,37))</f>
        <v>0</v>
      </c>
      <c r="AL5">
        <f>indirect(address(5,37))+indirect(address(3,38))-indirect(address(4,38))</f>
        <v>0</v>
      </c>
      <c r="AM5">
        <f>indirect(address(5,38))+indirect(address(3,39))-indirect(address(4,39))</f>
        <v>0</v>
      </c>
      <c r="AN5">
        <f>indirect(address(5,39))+indirect(address(3,40))-indirect(address(4,40))</f>
        <v>0</v>
      </c>
      <c r="AO5">
        <f>indirect(address(5,40))</f>
        <v>0</v>
      </c>
    </row>
    <row r="6" spans="1:41">
      <c r="A6" t="s">
        <v>17</v>
      </c>
      <c r="B6" t="s">
        <v>18</v>
      </c>
      <c r="C6" t="s">
        <v>19</v>
      </c>
      <c r="E6">
        <v>1</v>
      </c>
      <c r="F6" t="s">
        <v>13</v>
      </c>
      <c r="I6" t="s">
        <v>15</v>
      </c>
      <c r="J6">
        <f>vlookup("927-050000-200",B:AZ,column(i1),0)*e6</f>
        <v>0</v>
      </c>
      <c r="K6">
        <f>vlookup("927-050000-200",B:AZ,column(j1),0)*e6</f>
        <v>0</v>
      </c>
      <c r="L6">
        <f>vlookup("927-050000-200",B:AZ,column(k1),0)*e6</f>
        <v>0</v>
      </c>
      <c r="M6">
        <f>vlookup("927-050000-200",B:AZ,column(l1),0)*e6</f>
        <v>0</v>
      </c>
      <c r="N6">
        <f>vlookup("927-050000-200",B:AZ,column(m1),0)*e6</f>
        <v>0</v>
      </c>
      <c r="O6">
        <f>vlookup("927-050000-200",B:AZ,column(n1),0)*e6</f>
        <v>0</v>
      </c>
      <c r="P6">
        <f>vlookup("927-050000-200",B:AZ,column(o1),0)*e6</f>
        <v>0</v>
      </c>
      <c r="Q6">
        <f>vlookup("927-050000-200",B:AZ,column(p1),0)*e6</f>
        <v>0</v>
      </c>
      <c r="R6">
        <f>vlookup("927-050000-200",B:AZ,column(q1),0)*e6</f>
        <v>0</v>
      </c>
      <c r="S6">
        <f>vlookup("927-050000-200",B:AZ,column(r1),0)*e6</f>
        <v>0</v>
      </c>
      <c r="T6">
        <f>vlookup("927-050000-200",B:AZ,column(s1),0)*e6</f>
        <v>0</v>
      </c>
      <c r="U6">
        <f>vlookup("927-050000-200",B:AZ,column(t1),0)*e6</f>
        <v>0</v>
      </c>
      <c r="V6">
        <f>vlookup("927-050000-200",B:AZ,column(u1),0)*e6</f>
        <v>0</v>
      </c>
      <c r="W6">
        <f>vlookup("927-050000-200",B:AZ,column(v1),0)*e6</f>
        <v>0</v>
      </c>
      <c r="X6">
        <f>vlookup("927-050000-200",B:AZ,column(w1),0)*e6</f>
        <v>0</v>
      </c>
      <c r="Y6">
        <f>vlookup("927-050000-200",B:AZ,column(x1),0)*e6</f>
        <v>0</v>
      </c>
      <c r="Z6">
        <f>vlookup("927-050000-200",B:AZ,column(y1),0)*e6</f>
        <v>0</v>
      </c>
      <c r="AA6">
        <f>vlookup("927-050000-200",B:AZ,column(z1),0)*e6</f>
        <v>0</v>
      </c>
      <c r="AB6">
        <f>vlookup("927-050000-200",B:AZ,column(aa1),0)*e6</f>
        <v>0</v>
      </c>
      <c r="AC6">
        <f>vlookup("927-050000-200",B:AZ,column(ab1),0)*e6</f>
        <v>0</v>
      </c>
      <c r="AD6">
        <f>vlookup("927-050000-200",B:AZ,column(ac1),0)*e6</f>
        <v>0</v>
      </c>
      <c r="AE6">
        <f>vlookup("927-050000-200",B:AZ,column(ad1),0)*e6</f>
        <v>0</v>
      </c>
      <c r="AF6">
        <f>vlookup("927-050000-200",B:AZ,column(ae1),0)*e6</f>
        <v>0</v>
      </c>
      <c r="AG6">
        <f>vlookup("927-050000-200",B:AZ,column(af1),0)*e6</f>
        <v>0</v>
      </c>
      <c r="AH6">
        <f>vlookup("927-050000-200",B:AZ,column(ag1),0)*e6</f>
        <v>0</v>
      </c>
      <c r="AI6">
        <f>vlookup("927-050000-200",B:AZ,column(ah1),0)*e6</f>
        <v>0</v>
      </c>
      <c r="AJ6">
        <f>vlookup("927-050000-200",B:AZ,column(ai1),0)*e6</f>
        <v>0</v>
      </c>
      <c r="AK6">
        <f>vlookup("927-050000-200",B:AZ,column(aj1),0)*e6</f>
        <v>0</v>
      </c>
      <c r="AL6">
        <f>vlookup("927-050000-200",B:AZ,column(ak1),0)*e6</f>
        <v>0</v>
      </c>
      <c r="AM6">
        <f>vlookup("927-050000-200",B:AZ,column(al1),0)*e6</f>
        <v>0</v>
      </c>
      <c r="AN6">
        <f>vlookup("927-050000-200",B:AZ,column(am1),0)*e6</f>
        <v>0</v>
      </c>
      <c r="AO6">
        <f>vlookup("927-050000-200",B:AZ,column(an1),0)*e6</f>
        <v>0</v>
      </c>
    </row>
    <row r="7" spans="1:41">
      <c r="A7" t="s">
        <v>17</v>
      </c>
      <c r="B7" t="s">
        <v>20</v>
      </c>
      <c r="C7" t="s">
        <v>21</v>
      </c>
      <c r="E7">
        <v>1</v>
      </c>
      <c r="F7" t="s">
        <v>13</v>
      </c>
      <c r="I7" t="s">
        <v>15</v>
      </c>
      <c r="J7">
        <f>vlookup("927-050000-200",B:AZ,column(i1),0)*e7</f>
        <v>0</v>
      </c>
      <c r="K7">
        <f>vlookup("927-050000-200",B:AZ,column(j1),0)*e7</f>
        <v>0</v>
      </c>
      <c r="L7">
        <f>vlookup("927-050000-200",B:AZ,column(k1),0)*e7</f>
        <v>0</v>
      </c>
      <c r="M7">
        <f>vlookup("927-050000-200",B:AZ,column(l1),0)*e7</f>
        <v>0</v>
      </c>
      <c r="N7">
        <f>vlookup("927-050000-200",B:AZ,column(m1),0)*e7</f>
        <v>0</v>
      </c>
      <c r="O7">
        <f>vlookup("927-050000-200",B:AZ,column(n1),0)*e7</f>
        <v>0</v>
      </c>
      <c r="P7">
        <f>vlookup("927-050000-200",B:AZ,column(o1),0)*e7</f>
        <v>0</v>
      </c>
      <c r="Q7">
        <f>vlookup("927-050000-200",B:AZ,column(p1),0)*e7</f>
        <v>0</v>
      </c>
      <c r="R7">
        <f>vlookup("927-050000-200",B:AZ,column(q1),0)*e7</f>
        <v>0</v>
      </c>
      <c r="S7">
        <f>vlookup("927-050000-200",B:AZ,column(r1),0)*e7</f>
        <v>0</v>
      </c>
      <c r="T7">
        <f>vlookup("927-050000-200",B:AZ,column(s1),0)*e7</f>
        <v>0</v>
      </c>
      <c r="U7">
        <f>vlookup("927-050000-200",B:AZ,column(t1),0)*e7</f>
        <v>0</v>
      </c>
      <c r="V7">
        <f>vlookup("927-050000-200",B:AZ,column(u1),0)*e7</f>
        <v>0</v>
      </c>
      <c r="W7">
        <f>vlookup("927-050000-200",B:AZ,column(v1),0)*e7</f>
        <v>0</v>
      </c>
      <c r="X7">
        <f>vlookup("927-050000-200",B:AZ,column(w1),0)*e7</f>
        <v>0</v>
      </c>
      <c r="Y7">
        <f>vlookup("927-050000-200",B:AZ,column(x1),0)*e7</f>
        <v>0</v>
      </c>
      <c r="Z7">
        <f>vlookup("927-050000-200",B:AZ,column(y1),0)*e7</f>
        <v>0</v>
      </c>
      <c r="AA7">
        <f>vlookup("927-050000-200",B:AZ,column(z1),0)*e7</f>
        <v>0</v>
      </c>
      <c r="AB7">
        <f>vlookup("927-050000-200",B:AZ,column(aa1),0)*e7</f>
        <v>0</v>
      </c>
      <c r="AC7">
        <f>vlookup("927-050000-200",B:AZ,column(ab1),0)*e7</f>
        <v>0</v>
      </c>
      <c r="AD7">
        <f>vlookup("927-050000-200",B:AZ,column(ac1),0)*e7</f>
        <v>0</v>
      </c>
      <c r="AE7">
        <f>vlookup("927-050000-200",B:AZ,column(ad1),0)*e7</f>
        <v>0</v>
      </c>
      <c r="AF7">
        <f>vlookup("927-050000-200",B:AZ,column(ae1),0)*e7</f>
        <v>0</v>
      </c>
      <c r="AG7">
        <f>vlookup("927-050000-200",B:AZ,column(af1),0)*e7</f>
        <v>0</v>
      </c>
      <c r="AH7">
        <f>vlookup("927-050000-200",B:AZ,column(ag1),0)*e7</f>
        <v>0</v>
      </c>
      <c r="AI7">
        <f>vlookup("927-050000-200",B:AZ,column(ah1),0)*e7</f>
        <v>0</v>
      </c>
      <c r="AJ7">
        <f>vlookup("927-050000-200",B:AZ,column(ai1),0)*e7</f>
        <v>0</v>
      </c>
      <c r="AK7">
        <f>vlookup("927-050000-200",B:AZ,column(aj1),0)*e7</f>
        <v>0</v>
      </c>
      <c r="AL7">
        <f>vlookup("927-050000-200",B:AZ,column(ak1),0)*e7</f>
        <v>0</v>
      </c>
      <c r="AM7">
        <f>vlookup("927-050000-200",B:AZ,column(al1),0)*e7</f>
        <v>0</v>
      </c>
      <c r="AN7">
        <f>vlookup("927-050000-200",B:AZ,column(am1),0)*e7</f>
        <v>0</v>
      </c>
      <c r="AO7">
        <f>vlookup("927-050000-200",B:AZ,column(an1),0)*e7</f>
        <v>0</v>
      </c>
    </row>
    <row r="8" spans="1:41">
      <c r="A8" t="s">
        <v>22</v>
      </c>
      <c r="B8" t="s">
        <v>23</v>
      </c>
      <c r="C8" t="s">
        <v>24</v>
      </c>
      <c r="E8">
        <v>1</v>
      </c>
      <c r="F8" t="s">
        <v>13</v>
      </c>
      <c r="I8" t="s">
        <v>15</v>
      </c>
      <c r="J8">
        <f>vlookup("927-050000-200",B:AZ,column(i1),0)*e8</f>
        <v>0</v>
      </c>
      <c r="K8">
        <f>vlookup("927-050000-200",B:AZ,column(j1),0)*e8</f>
        <v>0</v>
      </c>
      <c r="L8">
        <f>vlookup("927-050000-200",B:AZ,column(k1),0)*e8</f>
        <v>0</v>
      </c>
      <c r="M8">
        <f>vlookup("927-050000-200",B:AZ,column(l1),0)*e8</f>
        <v>0</v>
      </c>
      <c r="N8">
        <f>vlookup("927-050000-200",B:AZ,column(m1),0)*e8</f>
        <v>0</v>
      </c>
      <c r="O8">
        <f>vlookup("927-050000-200",B:AZ,column(n1),0)*e8</f>
        <v>0</v>
      </c>
      <c r="P8">
        <f>vlookup("927-050000-200",B:AZ,column(o1),0)*e8</f>
        <v>0</v>
      </c>
      <c r="Q8">
        <f>vlookup("927-050000-200",B:AZ,column(p1),0)*e8</f>
        <v>0</v>
      </c>
      <c r="R8">
        <f>vlookup("927-050000-200",B:AZ,column(q1),0)*e8</f>
        <v>0</v>
      </c>
      <c r="S8">
        <f>vlookup("927-050000-200",B:AZ,column(r1),0)*e8</f>
        <v>0</v>
      </c>
      <c r="T8">
        <f>vlookup("927-050000-200",B:AZ,column(s1),0)*e8</f>
        <v>0</v>
      </c>
      <c r="U8">
        <f>vlookup("927-050000-200",B:AZ,column(t1),0)*e8</f>
        <v>0</v>
      </c>
      <c r="V8">
        <f>vlookup("927-050000-200",B:AZ,column(u1),0)*e8</f>
        <v>0</v>
      </c>
      <c r="W8">
        <f>vlookup("927-050000-200",B:AZ,column(v1),0)*e8</f>
        <v>0</v>
      </c>
      <c r="X8">
        <f>vlookup("927-050000-200",B:AZ,column(w1),0)*e8</f>
        <v>0</v>
      </c>
      <c r="Y8">
        <f>vlookup("927-050000-200",B:AZ,column(x1),0)*e8</f>
        <v>0</v>
      </c>
      <c r="Z8">
        <f>vlookup("927-050000-200",B:AZ,column(y1),0)*e8</f>
        <v>0</v>
      </c>
      <c r="AA8">
        <f>vlookup("927-050000-200",B:AZ,column(z1),0)*e8</f>
        <v>0</v>
      </c>
      <c r="AB8">
        <f>vlookup("927-050000-200",B:AZ,column(aa1),0)*e8</f>
        <v>0</v>
      </c>
      <c r="AC8">
        <f>vlookup("927-050000-200",B:AZ,column(ab1),0)*e8</f>
        <v>0</v>
      </c>
      <c r="AD8">
        <f>vlookup("927-050000-200",B:AZ,column(ac1),0)*e8</f>
        <v>0</v>
      </c>
      <c r="AE8">
        <f>vlookup("927-050000-200",B:AZ,column(ad1),0)*e8</f>
        <v>0</v>
      </c>
      <c r="AF8">
        <f>vlookup("927-050000-200",B:AZ,column(ae1),0)*e8</f>
        <v>0</v>
      </c>
      <c r="AG8">
        <f>vlookup("927-050000-200",B:AZ,column(af1),0)*e8</f>
        <v>0</v>
      </c>
      <c r="AH8">
        <f>vlookup("927-050000-200",B:AZ,column(ag1),0)*e8</f>
        <v>0</v>
      </c>
      <c r="AI8">
        <f>vlookup("927-050000-200",B:AZ,column(ah1),0)*e8</f>
        <v>0</v>
      </c>
      <c r="AJ8">
        <f>vlookup("927-050000-200",B:AZ,column(ai1),0)*e8</f>
        <v>0</v>
      </c>
      <c r="AK8">
        <f>vlookup("927-050000-200",B:AZ,column(aj1),0)*e8</f>
        <v>0</v>
      </c>
      <c r="AL8">
        <f>vlookup("927-050000-200",B:AZ,column(ak1),0)*e8</f>
        <v>0</v>
      </c>
      <c r="AM8">
        <f>vlookup("927-050000-200",B:AZ,column(al1),0)*e8</f>
        <v>0</v>
      </c>
      <c r="AN8">
        <f>vlookup("927-050000-200",B:AZ,column(am1),0)*e8</f>
        <v>0</v>
      </c>
      <c r="AO8">
        <f>vlookup("927-050000-200",B:AZ,column(an1),0)*e8</f>
        <v>0</v>
      </c>
    </row>
    <row r="9" spans="1:41">
      <c r="A9" t="s">
        <v>17</v>
      </c>
      <c r="B9" t="s">
        <v>25</v>
      </c>
      <c r="C9" t="s">
        <v>26</v>
      </c>
      <c r="E9">
        <v>1</v>
      </c>
      <c r="F9" t="s">
        <v>13</v>
      </c>
      <c r="I9" t="s">
        <v>15</v>
      </c>
      <c r="J9">
        <f>vlookup("927-050000-200",B:AZ,column(i1),0)*e9</f>
        <v>0</v>
      </c>
      <c r="K9">
        <f>vlookup("927-050000-200",B:AZ,column(j1),0)*e9</f>
        <v>0</v>
      </c>
      <c r="L9">
        <f>vlookup("927-050000-200",B:AZ,column(k1),0)*e9</f>
        <v>0</v>
      </c>
      <c r="M9">
        <f>vlookup("927-050000-200",B:AZ,column(l1),0)*e9</f>
        <v>0</v>
      </c>
      <c r="N9">
        <f>vlookup("927-050000-200",B:AZ,column(m1),0)*e9</f>
        <v>0</v>
      </c>
      <c r="O9">
        <f>vlookup("927-050000-200",B:AZ,column(n1),0)*e9</f>
        <v>0</v>
      </c>
      <c r="P9">
        <f>vlookup("927-050000-200",B:AZ,column(o1),0)*e9</f>
        <v>0</v>
      </c>
      <c r="Q9">
        <f>vlookup("927-050000-200",B:AZ,column(p1),0)*e9</f>
        <v>0</v>
      </c>
      <c r="R9">
        <f>vlookup("927-050000-200",B:AZ,column(q1),0)*e9</f>
        <v>0</v>
      </c>
      <c r="S9">
        <f>vlookup("927-050000-200",B:AZ,column(r1),0)*e9</f>
        <v>0</v>
      </c>
      <c r="T9">
        <f>vlookup("927-050000-200",B:AZ,column(s1),0)*e9</f>
        <v>0</v>
      </c>
      <c r="U9">
        <f>vlookup("927-050000-200",B:AZ,column(t1),0)*e9</f>
        <v>0</v>
      </c>
      <c r="V9">
        <f>vlookup("927-050000-200",B:AZ,column(u1),0)*e9</f>
        <v>0</v>
      </c>
      <c r="W9">
        <f>vlookup("927-050000-200",B:AZ,column(v1),0)*e9</f>
        <v>0</v>
      </c>
      <c r="X9">
        <f>vlookup("927-050000-200",B:AZ,column(w1),0)*e9</f>
        <v>0</v>
      </c>
      <c r="Y9">
        <f>vlookup("927-050000-200",B:AZ,column(x1),0)*e9</f>
        <v>0</v>
      </c>
      <c r="Z9">
        <f>vlookup("927-050000-200",B:AZ,column(y1),0)*e9</f>
        <v>0</v>
      </c>
      <c r="AA9">
        <f>vlookup("927-050000-200",B:AZ,column(z1),0)*e9</f>
        <v>0</v>
      </c>
      <c r="AB9">
        <f>vlookup("927-050000-200",B:AZ,column(aa1),0)*e9</f>
        <v>0</v>
      </c>
      <c r="AC9">
        <f>vlookup("927-050000-200",B:AZ,column(ab1),0)*e9</f>
        <v>0</v>
      </c>
      <c r="AD9">
        <f>vlookup("927-050000-200",B:AZ,column(ac1),0)*e9</f>
        <v>0</v>
      </c>
      <c r="AE9">
        <f>vlookup("927-050000-200",B:AZ,column(ad1),0)*e9</f>
        <v>0</v>
      </c>
      <c r="AF9">
        <f>vlookup("927-050000-200",B:AZ,column(ae1),0)*e9</f>
        <v>0</v>
      </c>
      <c r="AG9">
        <f>vlookup("927-050000-200",B:AZ,column(af1),0)*e9</f>
        <v>0</v>
      </c>
      <c r="AH9">
        <f>vlookup("927-050000-200",B:AZ,column(ag1),0)*e9</f>
        <v>0</v>
      </c>
      <c r="AI9">
        <f>vlookup("927-050000-200",B:AZ,column(ah1),0)*e9</f>
        <v>0</v>
      </c>
      <c r="AJ9">
        <f>vlookup("927-050000-200",B:AZ,column(ai1),0)*e9</f>
        <v>0</v>
      </c>
      <c r="AK9">
        <f>vlookup("927-050000-200",B:AZ,column(aj1),0)*e9</f>
        <v>0</v>
      </c>
      <c r="AL9">
        <f>vlookup("927-050000-200",B:AZ,column(ak1),0)*e9</f>
        <v>0</v>
      </c>
      <c r="AM9">
        <f>vlookup("927-050000-200",B:AZ,column(al1),0)*e9</f>
        <v>0</v>
      </c>
      <c r="AN9">
        <f>vlookup("927-050000-200",B:AZ,column(am1),0)*e9</f>
        <v>0</v>
      </c>
      <c r="AO9">
        <f>vlookup("927-050000-200",B:AZ,column(an1),0)*e9</f>
        <v>0</v>
      </c>
    </row>
    <row r="10" spans="1:41">
      <c r="A10" t="s">
        <v>17</v>
      </c>
      <c r="B10" t="s">
        <v>27</v>
      </c>
      <c r="C10" t="s">
        <v>28</v>
      </c>
      <c r="E10">
        <v>1</v>
      </c>
      <c r="F10" t="s">
        <v>13</v>
      </c>
      <c r="I10" t="s">
        <v>15</v>
      </c>
      <c r="J10">
        <f>vlookup("927-050000-200",B:AZ,column(i1),0)*e10</f>
        <v>0</v>
      </c>
      <c r="K10">
        <f>vlookup("927-050000-200",B:AZ,column(j1),0)*e10</f>
        <v>0</v>
      </c>
      <c r="L10">
        <f>vlookup("927-050000-200",B:AZ,column(k1),0)*e10</f>
        <v>0</v>
      </c>
      <c r="M10">
        <f>vlookup("927-050000-200",B:AZ,column(l1),0)*e10</f>
        <v>0</v>
      </c>
      <c r="N10">
        <f>vlookup("927-050000-200",B:AZ,column(m1),0)*e10</f>
        <v>0</v>
      </c>
      <c r="O10">
        <f>vlookup("927-050000-200",B:AZ,column(n1),0)*e10</f>
        <v>0</v>
      </c>
      <c r="P10">
        <f>vlookup("927-050000-200",B:AZ,column(o1),0)*e10</f>
        <v>0</v>
      </c>
      <c r="Q10">
        <f>vlookup("927-050000-200",B:AZ,column(p1),0)*e10</f>
        <v>0</v>
      </c>
      <c r="R10">
        <f>vlookup("927-050000-200",B:AZ,column(q1),0)*e10</f>
        <v>0</v>
      </c>
      <c r="S10">
        <f>vlookup("927-050000-200",B:AZ,column(r1),0)*e10</f>
        <v>0</v>
      </c>
      <c r="T10">
        <f>vlookup("927-050000-200",B:AZ,column(s1),0)*e10</f>
        <v>0</v>
      </c>
      <c r="U10">
        <f>vlookup("927-050000-200",B:AZ,column(t1),0)*e10</f>
        <v>0</v>
      </c>
      <c r="V10">
        <f>vlookup("927-050000-200",B:AZ,column(u1),0)*e10</f>
        <v>0</v>
      </c>
      <c r="W10">
        <f>vlookup("927-050000-200",B:AZ,column(v1),0)*e10</f>
        <v>0</v>
      </c>
      <c r="X10">
        <f>vlookup("927-050000-200",B:AZ,column(w1),0)*e10</f>
        <v>0</v>
      </c>
      <c r="Y10">
        <f>vlookup("927-050000-200",B:AZ,column(x1),0)*e10</f>
        <v>0</v>
      </c>
      <c r="Z10">
        <f>vlookup("927-050000-200",B:AZ,column(y1),0)*e10</f>
        <v>0</v>
      </c>
      <c r="AA10">
        <f>vlookup("927-050000-200",B:AZ,column(z1),0)*e10</f>
        <v>0</v>
      </c>
      <c r="AB10">
        <f>vlookup("927-050000-200",B:AZ,column(aa1),0)*e10</f>
        <v>0</v>
      </c>
      <c r="AC10">
        <f>vlookup("927-050000-200",B:AZ,column(ab1),0)*e10</f>
        <v>0</v>
      </c>
      <c r="AD10">
        <f>vlookup("927-050000-200",B:AZ,column(ac1),0)*e10</f>
        <v>0</v>
      </c>
      <c r="AE10">
        <f>vlookup("927-050000-200",B:AZ,column(ad1),0)*e10</f>
        <v>0</v>
      </c>
      <c r="AF10">
        <f>vlookup("927-050000-200",B:AZ,column(ae1),0)*e10</f>
        <v>0</v>
      </c>
      <c r="AG10">
        <f>vlookup("927-050000-200",B:AZ,column(af1),0)*e10</f>
        <v>0</v>
      </c>
      <c r="AH10">
        <f>vlookup("927-050000-200",B:AZ,column(ag1),0)*e10</f>
        <v>0</v>
      </c>
      <c r="AI10">
        <f>vlookup("927-050000-200",B:AZ,column(ah1),0)*e10</f>
        <v>0</v>
      </c>
      <c r="AJ10">
        <f>vlookup("927-050000-200",B:AZ,column(ai1),0)*e10</f>
        <v>0</v>
      </c>
      <c r="AK10">
        <f>vlookup("927-050000-200",B:AZ,column(aj1),0)*e10</f>
        <v>0</v>
      </c>
      <c r="AL10">
        <f>vlookup("927-050000-200",B:AZ,column(ak1),0)*e10</f>
        <v>0</v>
      </c>
      <c r="AM10">
        <f>vlookup("927-050000-200",B:AZ,column(al1),0)*e10</f>
        <v>0</v>
      </c>
      <c r="AN10">
        <f>vlookup("927-050000-200",B:AZ,column(am1),0)*e10</f>
        <v>0</v>
      </c>
      <c r="AO10">
        <f>vlookup("927-050000-200",B:AZ,column(an1),0)*e10</f>
        <v>0</v>
      </c>
    </row>
    <row r="11" spans="1:41">
      <c r="A11" t="s">
        <v>22</v>
      </c>
      <c r="B11" t="s">
        <v>29</v>
      </c>
      <c r="C11" t="s">
        <v>30</v>
      </c>
      <c r="E11">
        <v>1</v>
      </c>
      <c r="F11" t="s">
        <v>13</v>
      </c>
      <c r="I11" t="s">
        <v>15</v>
      </c>
      <c r="J11">
        <f>vlookup("927-050000-200",B:AZ,column(i1),0)*e11</f>
        <v>0</v>
      </c>
      <c r="K11">
        <f>vlookup("927-050000-200",B:AZ,column(j1),0)*e11</f>
        <v>0</v>
      </c>
      <c r="L11">
        <f>vlookup("927-050000-200",B:AZ,column(k1),0)*e11</f>
        <v>0</v>
      </c>
      <c r="M11">
        <f>vlookup("927-050000-200",B:AZ,column(l1),0)*e11</f>
        <v>0</v>
      </c>
      <c r="N11">
        <f>vlookup("927-050000-200",B:AZ,column(m1),0)*e11</f>
        <v>0</v>
      </c>
      <c r="O11">
        <f>vlookup("927-050000-200",B:AZ,column(n1),0)*e11</f>
        <v>0</v>
      </c>
      <c r="P11">
        <f>vlookup("927-050000-200",B:AZ,column(o1),0)*e11</f>
        <v>0</v>
      </c>
      <c r="Q11">
        <f>vlookup("927-050000-200",B:AZ,column(p1),0)*e11</f>
        <v>0</v>
      </c>
      <c r="R11">
        <f>vlookup("927-050000-200",B:AZ,column(q1),0)*e11</f>
        <v>0</v>
      </c>
      <c r="S11">
        <f>vlookup("927-050000-200",B:AZ,column(r1),0)*e11</f>
        <v>0</v>
      </c>
      <c r="T11">
        <f>vlookup("927-050000-200",B:AZ,column(s1),0)*e11</f>
        <v>0</v>
      </c>
      <c r="U11">
        <f>vlookup("927-050000-200",B:AZ,column(t1),0)*e11</f>
        <v>0</v>
      </c>
      <c r="V11">
        <f>vlookup("927-050000-200",B:AZ,column(u1),0)*e11</f>
        <v>0</v>
      </c>
      <c r="W11">
        <f>vlookup("927-050000-200",B:AZ,column(v1),0)*e11</f>
        <v>0</v>
      </c>
      <c r="X11">
        <f>vlookup("927-050000-200",B:AZ,column(w1),0)*e11</f>
        <v>0</v>
      </c>
      <c r="Y11">
        <f>vlookup("927-050000-200",B:AZ,column(x1),0)*e11</f>
        <v>0</v>
      </c>
      <c r="Z11">
        <f>vlookup("927-050000-200",B:AZ,column(y1),0)*e11</f>
        <v>0</v>
      </c>
      <c r="AA11">
        <f>vlookup("927-050000-200",B:AZ,column(z1),0)*e11</f>
        <v>0</v>
      </c>
      <c r="AB11">
        <f>vlookup("927-050000-200",B:AZ,column(aa1),0)*e11</f>
        <v>0</v>
      </c>
      <c r="AC11">
        <f>vlookup("927-050000-200",B:AZ,column(ab1),0)*e11</f>
        <v>0</v>
      </c>
      <c r="AD11">
        <f>vlookup("927-050000-200",B:AZ,column(ac1),0)*e11</f>
        <v>0</v>
      </c>
      <c r="AE11">
        <f>vlookup("927-050000-200",B:AZ,column(ad1),0)*e11</f>
        <v>0</v>
      </c>
      <c r="AF11">
        <f>vlookup("927-050000-200",B:AZ,column(ae1),0)*e11</f>
        <v>0</v>
      </c>
      <c r="AG11">
        <f>vlookup("927-050000-200",B:AZ,column(af1),0)*e11</f>
        <v>0</v>
      </c>
      <c r="AH11">
        <f>vlookup("927-050000-200",B:AZ,column(ag1),0)*e11</f>
        <v>0</v>
      </c>
      <c r="AI11">
        <f>vlookup("927-050000-200",B:AZ,column(ah1),0)*e11</f>
        <v>0</v>
      </c>
      <c r="AJ11">
        <f>vlookup("927-050000-200",B:AZ,column(ai1),0)*e11</f>
        <v>0</v>
      </c>
      <c r="AK11">
        <f>vlookup("927-050000-200",B:AZ,column(aj1),0)*e11</f>
        <v>0</v>
      </c>
      <c r="AL11">
        <f>vlookup("927-050000-200",B:AZ,column(ak1),0)*e11</f>
        <v>0</v>
      </c>
      <c r="AM11">
        <f>vlookup("927-050000-200",B:AZ,column(al1),0)*e11</f>
        <v>0</v>
      </c>
      <c r="AN11">
        <f>vlookup("927-050000-200",B:AZ,column(am1),0)*e11</f>
        <v>0</v>
      </c>
      <c r="AO11">
        <f>vlookup("927-050000-200",B:AZ,column(an1),0)*e11</f>
        <v>0</v>
      </c>
    </row>
    <row r="12" spans="1:41">
      <c r="A12" t="s">
        <v>17</v>
      </c>
      <c r="B12" t="s">
        <v>31</v>
      </c>
      <c r="C12" t="s">
        <v>32</v>
      </c>
      <c r="E12">
        <v>2</v>
      </c>
      <c r="F12" t="s">
        <v>13</v>
      </c>
      <c r="I12" t="s">
        <v>15</v>
      </c>
      <c r="J12">
        <f>vlookup("927-050000-200",B:AZ,column(i1),0)*e12</f>
        <v>0</v>
      </c>
      <c r="K12">
        <f>vlookup("927-050000-200",B:AZ,column(j1),0)*e12</f>
        <v>0</v>
      </c>
      <c r="L12">
        <f>vlookup("927-050000-200",B:AZ,column(k1),0)*e12</f>
        <v>0</v>
      </c>
      <c r="M12">
        <f>vlookup("927-050000-200",B:AZ,column(l1),0)*e12</f>
        <v>0</v>
      </c>
      <c r="N12">
        <f>vlookup("927-050000-200",B:AZ,column(m1),0)*e12</f>
        <v>0</v>
      </c>
      <c r="O12">
        <f>vlookup("927-050000-200",B:AZ,column(n1),0)*e12</f>
        <v>0</v>
      </c>
      <c r="P12">
        <f>vlookup("927-050000-200",B:AZ,column(o1),0)*e12</f>
        <v>0</v>
      </c>
      <c r="Q12">
        <f>vlookup("927-050000-200",B:AZ,column(p1),0)*e12</f>
        <v>0</v>
      </c>
      <c r="R12">
        <f>vlookup("927-050000-200",B:AZ,column(q1),0)*e12</f>
        <v>0</v>
      </c>
      <c r="S12">
        <f>vlookup("927-050000-200",B:AZ,column(r1),0)*e12</f>
        <v>0</v>
      </c>
      <c r="T12">
        <f>vlookup("927-050000-200",B:AZ,column(s1),0)*e12</f>
        <v>0</v>
      </c>
      <c r="U12">
        <f>vlookup("927-050000-200",B:AZ,column(t1),0)*e12</f>
        <v>0</v>
      </c>
      <c r="V12">
        <f>vlookup("927-050000-200",B:AZ,column(u1),0)*e12</f>
        <v>0</v>
      </c>
      <c r="W12">
        <f>vlookup("927-050000-200",B:AZ,column(v1),0)*e12</f>
        <v>0</v>
      </c>
      <c r="X12">
        <f>vlookup("927-050000-200",B:AZ,column(w1),0)*e12</f>
        <v>0</v>
      </c>
      <c r="Y12">
        <f>vlookup("927-050000-200",B:AZ,column(x1),0)*e12</f>
        <v>0</v>
      </c>
      <c r="Z12">
        <f>vlookup("927-050000-200",B:AZ,column(y1),0)*e12</f>
        <v>0</v>
      </c>
      <c r="AA12">
        <f>vlookup("927-050000-200",B:AZ,column(z1),0)*e12</f>
        <v>0</v>
      </c>
      <c r="AB12">
        <f>vlookup("927-050000-200",B:AZ,column(aa1),0)*e12</f>
        <v>0</v>
      </c>
      <c r="AC12">
        <f>vlookup("927-050000-200",B:AZ,column(ab1),0)*e12</f>
        <v>0</v>
      </c>
      <c r="AD12">
        <f>vlookup("927-050000-200",B:AZ,column(ac1),0)*e12</f>
        <v>0</v>
      </c>
      <c r="AE12">
        <f>vlookup("927-050000-200",B:AZ,column(ad1),0)*e12</f>
        <v>0</v>
      </c>
      <c r="AF12">
        <f>vlookup("927-050000-200",B:AZ,column(ae1),0)*e12</f>
        <v>0</v>
      </c>
      <c r="AG12">
        <f>vlookup("927-050000-200",B:AZ,column(af1),0)*e12</f>
        <v>0</v>
      </c>
      <c r="AH12">
        <f>vlookup("927-050000-200",B:AZ,column(ag1),0)*e12</f>
        <v>0</v>
      </c>
      <c r="AI12">
        <f>vlookup("927-050000-200",B:AZ,column(ah1),0)*e12</f>
        <v>0</v>
      </c>
      <c r="AJ12">
        <f>vlookup("927-050000-200",B:AZ,column(ai1),0)*e12</f>
        <v>0</v>
      </c>
      <c r="AK12">
        <f>vlookup("927-050000-200",B:AZ,column(aj1),0)*e12</f>
        <v>0</v>
      </c>
      <c r="AL12">
        <f>vlookup("927-050000-200",B:AZ,column(ak1),0)*e12</f>
        <v>0</v>
      </c>
      <c r="AM12">
        <f>vlookup("927-050000-200",B:AZ,column(al1),0)*e12</f>
        <v>0</v>
      </c>
      <c r="AN12">
        <f>vlookup("927-050000-200",B:AZ,column(am1),0)*e12</f>
        <v>0</v>
      </c>
      <c r="AO12">
        <f>vlookup("927-050000-200",B:AZ,column(an1),0)*e12</f>
        <v>0</v>
      </c>
    </row>
    <row r="13" spans="1:41">
      <c r="A13" t="s">
        <v>22</v>
      </c>
      <c r="B13" t="s">
        <v>33</v>
      </c>
      <c r="C13" t="s">
        <v>34</v>
      </c>
      <c r="E13">
        <v>2</v>
      </c>
      <c r="F13" t="s">
        <v>13</v>
      </c>
      <c r="I13" t="s">
        <v>15</v>
      </c>
      <c r="J13">
        <f>vlookup("927-050000-200",B:AZ,column(i1),0)*e13</f>
        <v>0</v>
      </c>
      <c r="K13">
        <f>vlookup("927-050000-200",B:AZ,column(j1),0)*e13</f>
        <v>0</v>
      </c>
      <c r="L13">
        <f>vlookup("927-050000-200",B:AZ,column(k1),0)*e13</f>
        <v>0</v>
      </c>
      <c r="M13">
        <f>vlookup("927-050000-200",B:AZ,column(l1),0)*e13</f>
        <v>0</v>
      </c>
      <c r="N13">
        <f>vlookup("927-050000-200",B:AZ,column(m1),0)*e13</f>
        <v>0</v>
      </c>
      <c r="O13">
        <f>vlookup("927-050000-200",B:AZ,column(n1),0)*e13</f>
        <v>0</v>
      </c>
      <c r="P13">
        <f>vlookup("927-050000-200",B:AZ,column(o1),0)*e13</f>
        <v>0</v>
      </c>
      <c r="Q13">
        <f>vlookup("927-050000-200",B:AZ,column(p1),0)*e13</f>
        <v>0</v>
      </c>
      <c r="R13">
        <f>vlookup("927-050000-200",B:AZ,column(q1),0)*e13</f>
        <v>0</v>
      </c>
      <c r="S13">
        <f>vlookup("927-050000-200",B:AZ,column(r1),0)*e13</f>
        <v>0</v>
      </c>
      <c r="T13">
        <f>vlookup("927-050000-200",B:AZ,column(s1),0)*e13</f>
        <v>0</v>
      </c>
      <c r="U13">
        <f>vlookup("927-050000-200",B:AZ,column(t1),0)*e13</f>
        <v>0</v>
      </c>
      <c r="V13">
        <f>vlookup("927-050000-200",B:AZ,column(u1),0)*e13</f>
        <v>0</v>
      </c>
      <c r="W13">
        <f>vlookup("927-050000-200",B:AZ,column(v1),0)*e13</f>
        <v>0</v>
      </c>
      <c r="X13">
        <f>vlookup("927-050000-200",B:AZ,column(w1),0)*e13</f>
        <v>0</v>
      </c>
      <c r="Y13">
        <f>vlookup("927-050000-200",B:AZ,column(x1),0)*e13</f>
        <v>0</v>
      </c>
      <c r="Z13">
        <f>vlookup("927-050000-200",B:AZ,column(y1),0)*e13</f>
        <v>0</v>
      </c>
      <c r="AA13">
        <f>vlookup("927-050000-200",B:AZ,column(z1),0)*e13</f>
        <v>0</v>
      </c>
      <c r="AB13">
        <f>vlookup("927-050000-200",B:AZ,column(aa1),0)*e13</f>
        <v>0</v>
      </c>
      <c r="AC13">
        <f>vlookup("927-050000-200",B:AZ,column(ab1),0)*e13</f>
        <v>0</v>
      </c>
      <c r="AD13">
        <f>vlookup("927-050000-200",B:AZ,column(ac1),0)*e13</f>
        <v>0</v>
      </c>
      <c r="AE13">
        <f>vlookup("927-050000-200",B:AZ,column(ad1),0)*e13</f>
        <v>0</v>
      </c>
      <c r="AF13">
        <f>vlookup("927-050000-200",B:AZ,column(ae1),0)*e13</f>
        <v>0</v>
      </c>
      <c r="AG13">
        <f>vlookup("927-050000-200",B:AZ,column(af1),0)*e13</f>
        <v>0</v>
      </c>
      <c r="AH13">
        <f>vlookup("927-050000-200",B:AZ,column(ag1),0)*e13</f>
        <v>0</v>
      </c>
      <c r="AI13">
        <f>vlookup("927-050000-200",B:AZ,column(ah1),0)*e13</f>
        <v>0</v>
      </c>
      <c r="AJ13">
        <f>vlookup("927-050000-200",B:AZ,column(ai1),0)*e13</f>
        <v>0</v>
      </c>
      <c r="AK13">
        <f>vlookup("927-050000-200",B:AZ,column(aj1),0)*e13</f>
        <v>0</v>
      </c>
      <c r="AL13">
        <f>vlookup("927-050000-200",B:AZ,column(ak1),0)*e13</f>
        <v>0</v>
      </c>
      <c r="AM13">
        <f>vlookup("927-050000-200",B:AZ,column(al1),0)*e13</f>
        <v>0</v>
      </c>
      <c r="AN13">
        <f>vlookup("927-050000-200",B:AZ,column(am1),0)*e13</f>
        <v>0</v>
      </c>
      <c r="AO13">
        <f>vlookup("927-050000-200",B:AZ,column(an1),0)*e13</f>
        <v>0</v>
      </c>
    </row>
    <row r="14" spans="1:41">
      <c r="A14" t="s">
        <v>22</v>
      </c>
      <c r="B14" t="s">
        <v>35</v>
      </c>
      <c r="C14" t="s">
        <v>36</v>
      </c>
      <c r="E14">
        <v>2</v>
      </c>
      <c r="F14" t="s">
        <v>13</v>
      </c>
      <c r="I14" t="s">
        <v>15</v>
      </c>
      <c r="J14">
        <f>vlookup("927-050000-200",B:AZ,column(i1),0)*e14</f>
        <v>0</v>
      </c>
      <c r="K14">
        <f>vlookup("927-050000-200",B:AZ,column(j1),0)*e14</f>
        <v>0</v>
      </c>
      <c r="L14">
        <f>vlookup("927-050000-200",B:AZ,column(k1),0)*e14</f>
        <v>0</v>
      </c>
      <c r="M14">
        <f>vlookup("927-050000-200",B:AZ,column(l1),0)*e14</f>
        <v>0</v>
      </c>
      <c r="N14">
        <f>vlookup("927-050000-200",B:AZ,column(m1),0)*e14</f>
        <v>0</v>
      </c>
      <c r="O14">
        <f>vlookup("927-050000-200",B:AZ,column(n1),0)*e14</f>
        <v>0</v>
      </c>
      <c r="P14">
        <f>vlookup("927-050000-200",B:AZ,column(o1),0)*e14</f>
        <v>0</v>
      </c>
      <c r="Q14">
        <f>vlookup("927-050000-200",B:AZ,column(p1),0)*e14</f>
        <v>0</v>
      </c>
      <c r="R14">
        <f>vlookup("927-050000-200",B:AZ,column(q1),0)*e14</f>
        <v>0</v>
      </c>
      <c r="S14">
        <f>vlookup("927-050000-200",B:AZ,column(r1),0)*e14</f>
        <v>0</v>
      </c>
      <c r="T14">
        <f>vlookup("927-050000-200",B:AZ,column(s1),0)*e14</f>
        <v>0</v>
      </c>
      <c r="U14">
        <f>vlookup("927-050000-200",B:AZ,column(t1),0)*e14</f>
        <v>0</v>
      </c>
      <c r="V14">
        <f>vlookup("927-050000-200",B:AZ,column(u1),0)*e14</f>
        <v>0</v>
      </c>
      <c r="W14">
        <f>vlookup("927-050000-200",B:AZ,column(v1),0)*e14</f>
        <v>0</v>
      </c>
      <c r="X14">
        <f>vlookup("927-050000-200",B:AZ,column(w1),0)*e14</f>
        <v>0</v>
      </c>
      <c r="Y14">
        <f>vlookup("927-050000-200",B:AZ,column(x1),0)*e14</f>
        <v>0</v>
      </c>
      <c r="Z14">
        <f>vlookup("927-050000-200",B:AZ,column(y1),0)*e14</f>
        <v>0</v>
      </c>
      <c r="AA14">
        <f>vlookup("927-050000-200",B:AZ,column(z1),0)*e14</f>
        <v>0</v>
      </c>
      <c r="AB14">
        <f>vlookup("927-050000-200",B:AZ,column(aa1),0)*e14</f>
        <v>0</v>
      </c>
      <c r="AC14">
        <f>vlookup("927-050000-200",B:AZ,column(ab1),0)*e14</f>
        <v>0</v>
      </c>
      <c r="AD14">
        <f>vlookup("927-050000-200",B:AZ,column(ac1),0)*e14</f>
        <v>0</v>
      </c>
      <c r="AE14">
        <f>vlookup("927-050000-200",B:AZ,column(ad1),0)*e14</f>
        <v>0</v>
      </c>
      <c r="AF14">
        <f>vlookup("927-050000-200",B:AZ,column(ae1),0)*e14</f>
        <v>0</v>
      </c>
      <c r="AG14">
        <f>vlookup("927-050000-200",B:AZ,column(af1),0)*e14</f>
        <v>0</v>
      </c>
      <c r="AH14">
        <f>vlookup("927-050000-200",B:AZ,column(ag1),0)*e14</f>
        <v>0</v>
      </c>
      <c r="AI14">
        <f>vlookup("927-050000-200",B:AZ,column(ah1),0)*e14</f>
        <v>0</v>
      </c>
      <c r="AJ14">
        <f>vlookup("927-050000-200",B:AZ,column(ai1),0)*e14</f>
        <v>0</v>
      </c>
      <c r="AK14">
        <f>vlookup("927-050000-200",B:AZ,column(aj1),0)*e14</f>
        <v>0</v>
      </c>
      <c r="AL14">
        <f>vlookup("927-050000-200",B:AZ,column(ak1),0)*e14</f>
        <v>0</v>
      </c>
      <c r="AM14">
        <f>vlookup("927-050000-200",B:AZ,column(al1),0)*e14</f>
        <v>0</v>
      </c>
      <c r="AN14">
        <f>vlookup("927-050000-200",B:AZ,column(am1),0)*e14</f>
        <v>0</v>
      </c>
      <c r="AO14">
        <f>vlookup("927-050000-200",B:AZ,column(an1),0)*e14</f>
        <v>0</v>
      </c>
    </row>
    <row r="15" spans="1:41">
      <c r="A15" t="s">
        <v>22</v>
      </c>
      <c r="B15" t="s">
        <v>37</v>
      </c>
      <c r="C15" t="s">
        <v>38</v>
      </c>
      <c r="E15">
        <v>1</v>
      </c>
      <c r="F15" t="s">
        <v>13</v>
      </c>
      <c r="I15" t="s">
        <v>15</v>
      </c>
      <c r="J15">
        <f>vlookup("927-050000-200",B:AZ,column(i1),0)*e15</f>
        <v>0</v>
      </c>
      <c r="K15">
        <f>vlookup("927-050000-200",B:AZ,column(j1),0)*e15</f>
        <v>0</v>
      </c>
      <c r="L15">
        <f>vlookup("927-050000-200",B:AZ,column(k1),0)*e15</f>
        <v>0</v>
      </c>
      <c r="M15">
        <f>vlookup("927-050000-200",B:AZ,column(l1),0)*e15</f>
        <v>0</v>
      </c>
      <c r="N15">
        <f>vlookup("927-050000-200",B:AZ,column(m1),0)*e15</f>
        <v>0</v>
      </c>
      <c r="O15">
        <f>vlookup("927-050000-200",B:AZ,column(n1),0)*e15</f>
        <v>0</v>
      </c>
      <c r="P15">
        <f>vlookup("927-050000-200",B:AZ,column(o1),0)*e15</f>
        <v>0</v>
      </c>
      <c r="Q15">
        <f>vlookup("927-050000-200",B:AZ,column(p1),0)*e15</f>
        <v>0</v>
      </c>
      <c r="R15">
        <f>vlookup("927-050000-200",B:AZ,column(q1),0)*e15</f>
        <v>0</v>
      </c>
      <c r="S15">
        <f>vlookup("927-050000-200",B:AZ,column(r1),0)*e15</f>
        <v>0</v>
      </c>
      <c r="T15">
        <f>vlookup("927-050000-200",B:AZ,column(s1),0)*e15</f>
        <v>0</v>
      </c>
      <c r="U15">
        <f>vlookup("927-050000-200",B:AZ,column(t1),0)*e15</f>
        <v>0</v>
      </c>
      <c r="V15">
        <f>vlookup("927-050000-200",B:AZ,column(u1),0)*e15</f>
        <v>0</v>
      </c>
      <c r="W15">
        <f>vlookup("927-050000-200",B:AZ,column(v1),0)*e15</f>
        <v>0</v>
      </c>
      <c r="X15">
        <f>vlookup("927-050000-200",B:AZ,column(w1),0)*e15</f>
        <v>0</v>
      </c>
      <c r="Y15">
        <f>vlookup("927-050000-200",B:AZ,column(x1),0)*e15</f>
        <v>0</v>
      </c>
      <c r="Z15">
        <f>vlookup("927-050000-200",B:AZ,column(y1),0)*e15</f>
        <v>0</v>
      </c>
      <c r="AA15">
        <f>vlookup("927-050000-200",B:AZ,column(z1),0)*e15</f>
        <v>0</v>
      </c>
      <c r="AB15">
        <f>vlookup("927-050000-200",B:AZ,column(aa1),0)*e15</f>
        <v>0</v>
      </c>
      <c r="AC15">
        <f>vlookup("927-050000-200",B:AZ,column(ab1),0)*e15</f>
        <v>0</v>
      </c>
      <c r="AD15">
        <f>vlookup("927-050000-200",B:AZ,column(ac1),0)*e15</f>
        <v>0</v>
      </c>
      <c r="AE15">
        <f>vlookup("927-050000-200",B:AZ,column(ad1),0)*e15</f>
        <v>0</v>
      </c>
      <c r="AF15">
        <f>vlookup("927-050000-200",B:AZ,column(ae1),0)*e15</f>
        <v>0</v>
      </c>
      <c r="AG15">
        <f>vlookup("927-050000-200",B:AZ,column(af1),0)*e15</f>
        <v>0</v>
      </c>
      <c r="AH15">
        <f>vlookup("927-050000-200",B:AZ,column(ag1),0)*e15</f>
        <v>0</v>
      </c>
      <c r="AI15">
        <f>vlookup("927-050000-200",B:AZ,column(ah1),0)*e15</f>
        <v>0</v>
      </c>
      <c r="AJ15">
        <f>vlookup("927-050000-200",B:AZ,column(ai1),0)*e15</f>
        <v>0</v>
      </c>
      <c r="AK15">
        <f>vlookup("927-050000-200",B:AZ,column(aj1),0)*e15</f>
        <v>0</v>
      </c>
      <c r="AL15">
        <f>vlookup("927-050000-200",B:AZ,column(ak1),0)*e15</f>
        <v>0</v>
      </c>
      <c r="AM15">
        <f>vlookup("927-050000-200",B:AZ,column(al1),0)*e15</f>
        <v>0</v>
      </c>
      <c r="AN15">
        <f>vlookup("927-050000-200",B:AZ,column(am1),0)*e15</f>
        <v>0</v>
      </c>
      <c r="AO15">
        <f>vlookup("927-050000-200",B:AZ,column(an1),0)*e15</f>
        <v>0</v>
      </c>
    </row>
    <row r="16" spans="1:41">
      <c r="A16" t="s">
        <v>22</v>
      </c>
      <c r="B16" t="s">
        <v>39</v>
      </c>
      <c r="C16" t="s">
        <v>40</v>
      </c>
      <c r="E16">
        <v>1</v>
      </c>
      <c r="F16" t="s">
        <v>13</v>
      </c>
      <c r="I16" t="s">
        <v>15</v>
      </c>
      <c r="J16">
        <f>vlookup("927-050000-200",B:AZ,column(i1),0)*e16</f>
        <v>0</v>
      </c>
      <c r="K16">
        <f>vlookup("927-050000-200",B:AZ,column(j1),0)*e16</f>
        <v>0</v>
      </c>
      <c r="L16">
        <f>vlookup("927-050000-200",B:AZ,column(k1),0)*e16</f>
        <v>0</v>
      </c>
      <c r="M16">
        <f>vlookup("927-050000-200",B:AZ,column(l1),0)*e16</f>
        <v>0</v>
      </c>
      <c r="N16">
        <f>vlookup("927-050000-200",B:AZ,column(m1),0)*e16</f>
        <v>0</v>
      </c>
      <c r="O16">
        <f>vlookup("927-050000-200",B:AZ,column(n1),0)*e16</f>
        <v>0</v>
      </c>
      <c r="P16">
        <f>vlookup("927-050000-200",B:AZ,column(o1),0)*e16</f>
        <v>0</v>
      </c>
      <c r="Q16">
        <f>vlookup("927-050000-200",B:AZ,column(p1),0)*e16</f>
        <v>0</v>
      </c>
      <c r="R16">
        <f>vlookup("927-050000-200",B:AZ,column(q1),0)*e16</f>
        <v>0</v>
      </c>
      <c r="S16">
        <f>vlookup("927-050000-200",B:AZ,column(r1),0)*e16</f>
        <v>0</v>
      </c>
      <c r="T16">
        <f>vlookup("927-050000-200",B:AZ,column(s1),0)*e16</f>
        <v>0</v>
      </c>
      <c r="U16">
        <f>vlookup("927-050000-200",B:AZ,column(t1),0)*e16</f>
        <v>0</v>
      </c>
      <c r="V16">
        <f>vlookup("927-050000-200",B:AZ,column(u1),0)*e16</f>
        <v>0</v>
      </c>
      <c r="W16">
        <f>vlookup("927-050000-200",B:AZ,column(v1),0)*e16</f>
        <v>0</v>
      </c>
      <c r="X16">
        <f>vlookup("927-050000-200",B:AZ,column(w1),0)*e16</f>
        <v>0</v>
      </c>
      <c r="Y16">
        <f>vlookup("927-050000-200",B:AZ,column(x1),0)*e16</f>
        <v>0</v>
      </c>
      <c r="Z16">
        <f>vlookup("927-050000-200",B:AZ,column(y1),0)*e16</f>
        <v>0</v>
      </c>
      <c r="AA16">
        <f>vlookup("927-050000-200",B:AZ,column(z1),0)*e16</f>
        <v>0</v>
      </c>
      <c r="AB16">
        <f>vlookup("927-050000-200",B:AZ,column(aa1),0)*e16</f>
        <v>0</v>
      </c>
      <c r="AC16">
        <f>vlookup("927-050000-200",B:AZ,column(ab1),0)*e16</f>
        <v>0</v>
      </c>
      <c r="AD16">
        <f>vlookup("927-050000-200",B:AZ,column(ac1),0)*e16</f>
        <v>0</v>
      </c>
      <c r="AE16">
        <f>vlookup("927-050000-200",B:AZ,column(ad1),0)*e16</f>
        <v>0</v>
      </c>
      <c r="AF16">
        <f>vlookup("927-050000-200",B:AZ,column(ae1),0)*e16</f>
        <v>0</v>
      </c>
      <c r="AG16">
        <f>vlookup("927-050000-200",B:AZ,column(af1),0)*e16</f>
        <v>0</v>
      </c>
      <c r="AH16">
        <f>vlookup("927-050000-200",B:AZ,column(ag1),0)*e16</f>
        <v>0</v>
      </c>
      <c r="AI16">
        <f>vlookup("927-050000-200",B:AZ,column(ah1),0)*e16</f>
        <v>0</v>
      </c>
      <c r="AJ16">
        <f>vlookup("927-050000-200",B:AZ,column(ai1),0)*e16</f>
        <v>0</v>
      </c>
      <c r="AK16">
        <f>vlookup("927-050000-200",B:AZ,column(aj1),0)*e16</f>
        <v>0</v>
      </c>
      <c r="AL16">
        <f>vlookup("927-050000-200",B:AZ,column(ak1),0)*e16</f>
        <v>0</v>
      </c>
      <c r="AM16">
        <f>vlookup("927-050000-200",B:AZ,column(al1),0)*e16</f>
        <v>0</v>
      </c>
      <c r="AN16">
        <f>vlookup("927-050000-200",B:AZ,column(am1),0)*e16</f>
        <v>0</v>
      </c>
      <c r="AO16">
        <f>vlookup("927-050000-200",B:AZ,column(an1),0)*e16</f>
        <v>0</v>
      </c>
    </row>
    <row r="17" spans="1:41">
      <c r="A17" t="s">
        <v>41</v>
      </c>
      <c r="B17" t="s">
        <v>39</v>
      </c>
      <c r="C17" t="s">
        <v>40</v>
      </c>
      <c r="E17">
        <v>0.17</v>
      </c>
      <c r="F17" t="s">
        <v>42</v>
      </c>
      <c r="I17" t="s">
        <v>15</v>
      </c>
      <c r="J17">
        <f>vlookup("927-050000-200",B:AZ,column(i1),0)*e17</f>
        <v>0</v>
      </c>
      <c r="K17">
        <f>vlookup("927-050000-200",B:AZ,column(j1),0)*e17</f>
        <v>0</v>
      </c>
      <c r="L17">
        <f>vlookup("927-050000-200",B:AZ,column(k1),0)*e17</f>
        <v>0</v>
      </c>
      <c r="M17">
        <f>vlookup("927-050000-200",B:AZ,column(l1),0)*e17</f>
        <v>0</v>
      </c>
      <c r="N17">
        <f>vlookup("927-050000-200",B:AZ,column(m1),0)*e17</f>
        <v>0</v>
      </c>
      <c r="O17">
        <f>vlookup("927-050000-200",B:AZ,column(n1),0)*e17</f>
        <v>0</v>
      </c>
      <c r="P17">
        <f>vlookup("927-050000-200",B:AZ,column(o1),0)*e17</f>
        <v>0</v>
      </c>
      <c r="Q17">
        <f>vlookup("927-050000-200",B:AZ,column(p1),0)*e17</f>
        <v>0</v>
      </c>
      <c r="R17">
        <f>vlookup("927-050000-200",B:AZ,column(q1),0)*e17</f>
        <v>0</v>
      </c>
      <c r="S17">
        <f>vlookup("927-050000-200",B:AZ,column(r1),0)*e17</f>
        <v>0</v>
      </c>
      <c r="T17">
        <f>vlookup("927-050000-200",B:AZ,column(s1),0)*e17</f>
        <v>0</v>
      </c>
      <c r="U17">
        <f>vlookup("927-050000-200",B:AZ,column(t1),0)*e17</f>
        <v>0</v>
      </c>
      <c r="V17">
        <f>vlookup("927-050000-200",B:AZ,column(u1),0)*e17</f>
        <v>0</v>
      </c>
      <c r="W17">
        <f>vlookup("927-050000-200",B:AZ,column(v1),0)*e17</f>
        <v>0</v>
      </c>
      <c r="X17">
        <f>vlookup("927-050000-200",B:AZ,column(w1),0)*e17</f>
        <v>0</v>
      </c>
      <c r="Y17">
        <f>vlookup("927-050000-200",B:AZ,column(x1),0)*e17</f>
        <v>0</v>
      </c>
      <c r="Z17">
        <f>vlookup("927-050000-200",B:AZ,column(y1),0)*e17</f>
        <v>0</v>
      </c>
      <c r="AA17">
        <f>vlookup("927-050000-200",B:AZ,column(z1),0)*e17</f>
        <v>0</v>
      </c>
      <c r="AB17">
        <f>vlookup("927-050000-200",B:AZ,column(aa1),0)*e17</f>
        <v>0</v>
      </c>
      <c r="AC17">
        <f>vlookup("927-050000-200",B:AZ,column(ab1),0)*e17</f>
        <v>0</v>
      </c>
      <c r="AD17">
        <f>vlookup("927-050000-200",B:AZ,column(ac1),0)*e17</f>
        <v>0</v>
      </c>
      <c r="AE17">
        <f>vlookup("927-050000-200",B:AZ,column(ad1),0)*e17</f>
        <v>0</v>
      </c>
      <c r="AF17">
        <f>vlookup("927-050000-200",B:AZ,column(ae1),0)*e17</f>
        <v>0</v>
      </c>
      <c r="AG17">
        <f>vlookup("927-050000-200",B:AZ,column(af1),0)*e17</f>
        <v>0</v>
      </c>
      <c r="AH17">
        <f>vlookup("927-050000-200",B:AZ,column(ag1),0)*e17</f>
        <v>0</v>
      </c>
      <c r="AI17">
        <f>vlookup("927-050000-200",B:AZ,column(ah1),0)*e17</f>
        <v>0</v>
      </c>
      <c r="AJ17">
        <f>vlookup("927-050000-200",B:AZ,column(ai1),0)*e17</f>
        <v>0</v>
      </c>
      <c r="AK17">
        <f>vlookup("927-050000-200",B:AZ,column(aj1),0)*e17</f>
        <v>0</v>
      </c>
      <c r="AL17">
        <f>vlookup("927-050000-200",B:AZ,column(ak1),0)*e17</f>
        <v>0</v>
      </c>
      <c r="AM17">
        <f>vlookup("927-050000-200",B:AZ,column(al1),0)*e17</f>
        <v>0</v>
      </c>
      <c r="AN17">
        <f>vlookup("927-050000-200",B:AZ,column(am1),0)*e17</f>
        <v>0</v>
      </c>
      <c r="AO17">
        <f>vlookup("927-050000-200",B:AZ,column(an1),0)*e17</f>
        <v>0</v>
      </c>
    </row>
    <row r="18" spans="1:41">
      <c r="A18" t="s">
        <v>43</v>
      </c>
      <c r="B18" t="s">
        <v>39</v>
      </c>
      <c r="C18" t="s">
        <v>40</v>
      </c>
      <c r="E18">
        <v>0.17</v>
      </c>
      <c r="F18" t="s">
        <v>13</v>
      </c>
      <c r="I18" t="s">
        <v>15</v>
      </c>
      <c r="J18">
        <f>vlookup("927-050000-200",B:AZ,column(i1),0)*e18</f>
        <v>0</v>
      </c>
      <c r="K18">
        <f>vlookup("927-050000-200",B:AZ,column(j1),0)*e18</f>
        <v>0</v>
      </c>
      <c r="L18">
        <f>vlookup("927-050000-200",B:AZ,column(k1),0)*e18</f>
        <v>0</v>
      </c>
      <c r="M18">
        <f>vlookup("927-050000-200",B:AZ,column(l1),0)*e18</f>
        <v>0</v>
      </c>
      <c r="N18">
        <f>vlookup("927-050000-200",B:AZ,column(m1),0)*e18</f>
        <v>0</v>
      </c>
      <c r="O18">
        <f>vlookup("927-050000-200",B:AZ,column(n1),0)*e18</f>
        <v>0</v>
      </c>
      <c r="P18">
        <f>vlookup("927-050000-200",B:AZ,column(o1),0)*e18</f>
        <v>0</v>
      </c>
      <c r="Q18">
        <f>vlookup("927-050000-200",B:AZ,column(p1),0)*e18</f>
        <v>0</v>
      </c>
      <c r="R18">
        <f>vlookup("927-050000-200",B:AZ,column(q1),0)*e18</f>
        <v>0</v>
      </c>
      <c r="S18">
        <f>vlookup("927-050000-200",B:AZ,column(r1),0)*e18</f>
        <v>0</v>
      </c>
      <c r="T18">
        <f>vlookup("927-050000-200",B:AZ,column(s1),0)*e18</f>
        <v>0</v>
      </c>
      <c r="U18">
        <f>vlookup("927-050000-200",B:AZ,column(t1),0)*e18</f>
        <v>0</v>
      </c>
      <c r="V18">
        <f>vlookup("927-050000-200",B:AZ,column(u1),0)*e18</f>
        <v>0</v>
      </c>
      <c r="W18">
        <f>vlookup("927-050000-200",B:AZ,column(v1),0)*e18</f>
        <v>0</v>
      </c>
      <c r="X18">
        <f>vlookup("927-050000-200",B:AZ,column(w1),0)*e18</f>
        <v>0</v>
      </c>
      <c r="Y18">
        <f>vlookup("927-050000-200",B:AZ,column(x1),0)*e18</f>
        <v>0</v>
      </c>
      <c r="Z18">
        <f>vlookup("927-050000-200",B:AZ,column(y1),0)*e18</f>
        <v>0</v>
      </c>
      <c r="AA18">
        <f>vlookup("927-050000-200",B:AZ,column(z1),0)*e18</f>
        <v>0</v>
      </c>
      <c r="AB18">
        <f>vlookup("927-050000-200",B:AZ,column(aa1),0)*e18</f>
        <v>0</v>
      </c>
      <c r="AC18">
        <f>vlookup("927-050000-200",B:AZ,column(ab1),0)*e18</f>
        <v>0</v>
      </c>
      <c r="AD18">
        <f>vlookup("927-050000-200",B:AZ,column(ac1),0)*e18</f>
        <v>0</v>
      </c>
      <c r="AE18">
        <f>vlookup("927-050000-200",B:AZ,column(ad1),0)*e18</f>
        <v>0</v>
      </c>
      <c r="AF18">
        <f>vlookup("927-050000-200",B:AZ,column(ae1),0)*e18</f>
        <v>0</v>
      </c>
      <c r="AG18">
        <f>vlookup("927-050000-200",B:AZ,column(af1),0)*e18</f>
        <v>0</v>
      </c>
      <c r="AH18">
        <f>vlookup("927-050000-200",B:AZ,column(ag1),0)*e18</f>
        <v>0</v>
      </c>
      <c r="AI18">
        <f>vlookup("927-050000-200",B:AZ,column(ah1),0)*e18</f>
        <v>0</v>
      </c>
      <c r="AJ18">
        <f>vlookup("927-050000-200",B:AZ,column(ai1),0)*e18</f>
        <v>0</v>
      </c>
      <c r="AK18">
        <f>vlookup("927-050000-200",B:AZ,column(aj1),0)*e18</f>
        <v>0</v>
      </c>
      <c r="AL18">
        <f>vlookup("927-050000-200",B:AZ,column(ak1),0)*e18</f>
        <v>0</v>
      </c>
      <c r="AM18">
        <f>vlookup("927-050000-200",B:AZ,column(al1),0)*e18</f>
        <v>0</v>
      </c>
      <c r="AN18">
        <f>vlookup("927-050000-200",B:AZ,column(am1),0)*e18</f>
        <v>0</v>
      </c>
      <c r="AO18">
        <f>vlookup("927-050000-200",B:AZ,column(an1),0)*e18</f>
        <v>0</v>
      </c>
    </row>
    <row r="19" spans="1:41">
      <c r="A19" t="s">
        <v>10</v>
      </c>
      <c r="B19" t="s">
        <v>44</v>
      </c>
      <c r="C19" t="s">
        <v>12</v>
      </c>
      <c r="E19">
        <v>1</v>
      </c>
      <c r="F19" t="s">
        <v>13</v>
      </c>
      <c r="I19" t="s">
        <v>14</v>
      </c>
      <c r="AO19">
        <f>sum(j19:an19)</f>
        <v>0</v>
      </c>
    </row>
    <row r="20" spans="1:41">
      <c r="I20" t="s">
        <v>15</v>
      </c>
      <c r="J20">
        <f>vlookup("927-050000-100",Out!B:AZ,column(i1),0)</f>
        <v>0</v>
      </c>
      <c r="K20">
        <f>vlookup("927-050000-100",Out!B:AZ,column(j1),0)</f>
        <v>0</v>
      </c>
      <c r="L20">
        <f>vlookup("927-050000-100",Out!B:AZ,column(k1),0)</f>
        <v>0</v>
      </c>
      <c r="M20">
        <f>vlookup("927-050000-100",Out!B:AZ,column(l1),0)</f>
        <v>0</v>
      </c>
      <c r="N20">
        <f>vlookup("927-050000-100",Out!B:AZ,column(m1),0)</f>
        <v>0</v>
      </c>
      <c r="O20">
        <f>vlookup("927-050000-100",Out!B:AZ,column(n1),0)</f>
        <v>0</v>
      </c>
      <c r="P20">
        <f>vlookup("927-050000-100",Out!B:AZ,column(o1),0)</f>
        <v>0</v>
      </c>
      <c r="Q20">
        <f>vlookup("927-050000-100",Out!B:AZ,column(p1),0)</f>
        <v>0</v>
      </c>
      <c r="R20">
        <f>vlookup("927-050000-100",Out!B:AZ,column(q1),0)</f>
        <v>0</v>
      </c>
      <c r="S20">
        <f>vlookup("927-050000-100",Out!B:AZ,column(r1),0)</f>
        <v>0</v>
      </c>
      <c r="T20">
        <f>vlookup("927-050000-100",Out!B:AZ,column(s1),0)</f>
        <v>0</v>
      </c>
      <c r="U20">
        <f>vlookup("927-050000-100",Out!B:AZ,column(t1),0)</f>
        <v>0</v>
      </c>
      <c r="V20">
        <f>vlookup("927-050000-100",Out!B:AZ,column(u1),0)</f>
        <v>0</v>
      </c>
      <c r="W20">
        <f>vlookup("927-050000-100",Out!B:AZ,column(v1),0)</f>
        <v>0</v>
      </c>
      <c r="X20">
        <f>vlookup("927-050000-100",Out!B:AZ,column(w1),0)</f>
        <v>0</v>
      </c>
      <c r="Y20">
        <f>vlookup("927-050000-100",Out!B:AZ,column(x1),0)</f>
        <v>0</v>
      </c>
      <c r="Z20">
        <f>vlookup("927-050000-100",Out!B:AZ,column(y1),0)</f>
        <v>0</v>
      </c>
      <c r="AA20">
        <f>vlookup("927-050000-100",Out!B:AZ,column(z1),0)</f>
        <v>0</v>
      </c>
      <c r="AB20">
        <f>vlookup("927-050000-100",Out!B:AZ,column(aa1),0)</f>
        <v>0</v>
      </c>
      <c r="AC20">
        <f>vlookup("927-050000-100",Out!B:AZ,column(ab1),0)</f>
        <v>0</v>
      </c>
      <c r="AD20">
        <f>vlookup("927-050000-100",Out!B:AZ,column(ac1),0)</f>
        <v>0</v>
      </c>
      <c r="AE20">
        <f>vlookup("927-050000-100",Out!B:AZ,column(ad1),0)</f>
        <v>0</v>
      </c>
      <c r="AF20">
        <f>vlookup("927-050000-100",Out!B:AZ,column(ae1),0)</f>
        <v>0</v>
      </c>
      <c r="AG20">
        <f>vlookup("927-050000-100",Out!B:AZ,column(af1),0)</f>
        <v>0</v>
      </c>
      <c r="AH20">
        <f>vlookup("927-050000-100",Out!B:AZ,column(ag1),0)</f>
        <v>0</v>
      </c>
      <c r="AI20">
        <f>vlookup("927-050000-100",Out!B:AZ,column(ah1),0)</f>
        <v>0</v>
      </c>
      <c r="AJ20">
        <f>vlookup("927-050000-100",Out!B:AZ,column(ai1),0)</f>
        <v>0</v>
      </c>
      <c r="AK20">
        <f>vlookup("927-050000-100",Out!B:AZ,column(aj1),0)</f>
        <v>0</v>
      </c>
      <c r="AL20">
        <f>vlookup("927-050000-100",Out!B:AZ,column(ak1),0)</f>
        <v>0</v>
      </c>
      <c r="AM20">
        <f>vlookup("927-050000-100",Out!B:AZ,column(al1),0)</f>
        <v>0</v>
      </c>
      <c r="AN20">
        <f>vlookup("927-050000-100",Out!B:AZ,column(am1),0)</f>
        <v>0</v>
      </c>
      <c r="AO20">
        <f>vlookup("927-050000-100",Out!B:AZ,column(an1),0)</f>
        <v>0</v>
      </c>
    </row>
    <row r="21" spans="1:41">
      <c r="H21" t="s">
        <v>16</v>
      </c>
      <c r="J21">
        <f>indirect(address(21,9))+indirect(address(19,10))-indirect(address(20,10))</f>
        <v>0</v>
      </c>
      <c r="K21">
        <f>indirect(address(21,10))+indirect(address(19,11))-indirect(address(20,11))</f>
        <v>0</v>
      </c>
      <c r="L21">
        <f>indirect(address(21,11))+indirect(address(19,12))-indirect(address(20,12))</f>
        <v>0</v>
      </c>
      <c r="M21">
        <f>indirect(address(21,12))+indirect(address(19,13))-indirect(address(20,13))</f>
        <v>0</v>
      </c>
      <c r="N21">
        <f>indirect(address(21,13))+indirect(address(19,14))-indirect(address(20,14))</f>
        <v>0</v>
      </c>
      <c r="O21">
        <f>indirect(address(21,14))+indirect(address(19,15))-indirect(address(20,15))</f>
        <v>0</v>
      </c>
      <c r="P21">
        <f>indirect(address(21,15))+indirect(address(19,16))-indirect(address(20,16))</f>
        <v>0</v>
      </c>
      <c r="Q21">
        <f>indirect(address(21,16))+indirect(address(19,17))-indirect(address(20,17))</f>
        <v>0</v>
      </c>
      <c r="R21">
        <f>indirect(address(21,17))+indirect(address(19,18))-indirect(address(20,18))</f>
        <v>0</v>
      </c>
      <c r="S21">
        <f>indirect(address(21,18))+indirect(address(19,19))-indirect(address(20,19))</f>
        <v>0</v>
      </c>
      <c r="T21">
        <f>indirect(address(21,19))+indirect(address(19,20))-indirect(address(20,20))</f>
        <v>0</v>
      </c>
      <c r="U21">
        <f>indirect(address(21,20))+indirect(address(19,21))-indirect(address(20,21))</f>
        <v>0</v>
      </c>
      <c r="V21">
        <f>indirect(address(21,21))+indirect(address(19,22))-indirect(address(20,22))</f>
        <v>0</v>
      </c>
      <c r="W21">
        <f>indirect(address(21,22))+indirect(address(19,23))-indirect(address(20,23))</f>
        <v>0</v>
      </c>
      <c r="X21">
        <f>indirect(address(21,23))+indirect(address(19,24))-indirect(address(20,24))</f>
        <v>0</v>
      </c>
      <c r="Y21">
        <f>indirect(address(21,24))+indirect(address(19,25))-indirect(address(20,25))</f>
        <v>0</v>
      </c>
      <c r="Z21">
        <f>indirect(address(21,25))+indirect(address(19,26))-indirect(address(20,26))</f>
        <v>0</v>
      </c>
      <c r="AA21">
        <f>indirect(address(21,26))+indirect(address(19,27))-indirect(address(20,27))</f>
        <v>0</v>
      </c>
      <c r="AB21">
        <f>indirect(address(21,27))+indirect(address(19,28))-indirect(address(20,28))</f>
        <v>0</v>
      </c>
      <c r="AC21">
        <f>indirect(address(21,28))+indirect(address(19,29))-indirect(address(20,29))</f>
        <v>0</v>
      </c>
      <c r="AD21">
        <f>indirect(address(21,29))+indirect(address(19,30))-indirect(address(20,30))</f>
        <v>0</v>
      </c>
      <c r="AE21">
        <f>indirect(address(21,30))+indirect(address(19,31))-indirect(address(20,31))</f>
        <v>0</v>
      </c>
      <c r="AF21">
        <f>indirect(address(21,31))+indirect(address(19,32))-indirect(address(20,32))</f>
        <v>0</v>
      </c>
      <c r="AG21">
        <f>indirect(address(21,32))+indirect(address(19,33))-indirect(address(20,33))</f>
        <v>0</v>
      </c>
      <c r="AH21">
        <f>indirect(address(21,33))+indirect(address(19,34))-indirect(address(20,34))</f>
        <v>0</v>
      </c>
      <c r="AI21">
        <f>indirect(address(21,34))+indirect(address(19,35))-indirect(address(20,35))</f>
        <v>0</v>
      </c>
      <c r="AJ21">
        <f>indirect(address(21,35))+indirect(address(19,36))-indirect(address(20,36))</f>
        <v>0</v>
      </c>
      <c r="AK21">
        <f>indirect(address(21,36))+indirect(address(19,37))-indirect(address(20,37))</f>
        <v>0</v>
      </c>
      <c r="AL21">
        <f>indirect(address(21,37))+indirect(address(19,38))-indirect(address(20,38))</f>
        <v>0</v>
      </c>
      <c r="AM21">
        <f>indirect(address(21,38))+indirect(address(19,39))-indirect(address(20,39))</f>
        <v>0</v>
      </c>
      <c r="AN21">
        <f>indirect(address(21,39))+indirect(address(19,40))-indirect(address(20,40))</f>
        <v>0</v>
      </c>
      <c r="AO21">
        <f>indirect(address(21,40))</f>
        <v>0</v>
      </c>
    </row>
    <row r="22" spans="1:41">
      <c r="A22" t="s">
        <v>17</v>
      </c>
      <c r="B22" t="s">
        <v>45</v>
      </c>
      <c r="C22" t="s">
        <v>46</v>
      </c>
      <c r="E22">
        <v>1</v>
      </c>
      <c r="F22" t="s">
        <v>13</v>
      </c>
      <c r="I22" t="s">
        <v>15</v>
      </c>
      <c r="J22">
        <f>vlookup("927-050000-100",B:AZ,column(i1),0)*e22</f>
        <v>0</v>
      </c>
      <c r="K22">
        <f>vlookup("927-050000-100",B:AZ,column(j1),0)*e22</f>
        <v>0</v>
      </c>
      <c r="L22">
        <f>vlookup("927-050000-100",B:AZ,column(k1),0)*e22</f>
        <v>0</v>
      </c>
      <c r="M22">
        <f>vlookup("927-050000-100",B:AZ,column(l1),0)*e22</f>
        <v>0</v>
      </c>
      <c r="N22">
        <f>vlookup("927-050000-100",B:AZ,column(m1),0)*e22</f>
        <v>0</v>
      </c>
      <c r="O22">
        <f>vlookup("927-050000-100",B:AZ,column(n1),0)*e22</f>
        <v>0</v>
      </c>
      <c r="P22">
        <f>vlookup("927-050000-100",B:AZ,column(o1),0)*e22</f>
        <v>0</v>
      </c>
      <c r="Q22">
        <f>vlookup("927-050000-100",B:AZ,column(p1),0)*e22</f>
        <v>0</v>
      </c>
      <c r="R22">
        <f>vlookup("927-050000-100",B:AZ,column(q1),0)*e22</f>
        <v>0</v>
      </c>
      <c r="S22">
        <f>vlookup("927-050000-100",B:AZ,column(r1),0)*e22</f>
        <v>0</v>
      </c>
      <c r="T22">
        <f>vlookup("927-050000-100",B:AZ,column(s1),0)*e22</f>
        <v>0</v>
      </c>
      <c r="U22">
        <f>vlookup("927-050000-100",B:AZ,column(t1),0)*e22</f>
        <v>0</v>
      </c>
      <c r="V22">
        <f>vlookup("927-050000-100",B:AZ,column(u1),0)*e22</f>
        <v>0</v>
      </c>
      <c r="W22">
        <f>vlookup("927-050000-100",B:AZ,column(v1),0)*e22</f>
        <v>0</v>
      </c>
      <c r="X22">
        <f>vlookup("927-050000-100",B:AZ,column(w1),0)*e22</f>
        <v>0</v>
      </c>
      <c r="Y22">
        <f>vlookup("927-050000-100",B:AZ,column(x1),0)*e22</f>
        <v>0</v>
      </c>
      <c r="Z22">
        <f>vlookup("927-050000-100",B:AZ,column(y1),0)*e22</f>
        <v>0</v>
      </c>
      <c r="AA22">
        <f>vlookup("927-050000-100",B:AZ,column(z1),0)*e22</f>
        <v>0</v>
      </c>
      <c r="AB22">
        <f>vlookup("927-050000-100",B:AZ,column(aa1),0)*e22</f>
        <v>0</v>
      </c>
      <c r="AC22">
        <f>vlookup("927-050000-100",B:AZ,column(ab1),0)*e22</f>
        <v>0</v>
      </c>
      <c r="AD22">
        <f>vlookup("927-050000-100",B:AZ,column(ac1),0)*e22</f>
        <v>0</v>
      </c>
      <c r="AE22">
        <f>vlookup("927-050000-100",B:AZ,column(ad1),0)*e22</f>
        <v>0</v>
      </c>
      <c r="AF22">
        <f>vlookup("927-050000-100",B:AZ,column(ae1),0)*e22</f>
        <v>0</v>
      </c>
      <c r="AG22">
        <f>vlookup("927-050000-100",B:AZ,column(af1),0)*e22</f>
        <v>0</v>
      </c>
      <c r="AH22">
        <f>vlookup("927-050000-100",B:AZ,column(ag1),0)*e22</f>
        <v>0</v>
      </c>
      <c r="AI22">
        <f>vlookup("927-050000-100",B:AZ,column(ah1),0)*e22</f>
        <v>0</v>
      </c>
      <c r="AJ22">
        <f>vlookup("927-050000-100",B:AZ,column(ai1),0)*e22</f>
        <v>0</v>
      </c>
      <c r="AK22">
        <f>vlookup("927-050000-100",B:AZ,column(aj1),0)*e22</f>
        <v>0</v>
      </c>
      <c r="AL22">
        <f>vlookup("927-050000-100",B:AZ,column(ak1),0)*e22</f>
        <v>0</v>
      </c>
      <c r="AM22">
        <f>vlookup("927-050000-100",B:AZ,column(al1),0)*e22</f>
        <v>0</v>
      </c>
      <c r="AN22">
        <f>vlookup("927-050000-100",B:AZ,column(am1),0)*e22</f>
        <v>0</v>
      </c>
      <c r="AO22">
        <f>vlookup("927-050000-100",B:AZ,column(an1),0)*e22</f>
        <v>0</v>
      </c>
    </row>
    <row r="23" spans="1:41">
      <c r="A23" t="s">
        <v>17</v>
      </c>
      <c r="B23" t="s">
        <v>20</v>
      </c>
      <c r="C23" t="s">
        <v>21</v>
      </c>
      <c r="E23">
        <v>1</v>
      </c>
      <c r="F23" t="s">
        <v>13</v>
      </c>
      <c r="I23" t="s">
        <v>15</v>
      </c>
      <c r="J23">
        <f>vlookup("927-050000-100",B:AZ,column(i1),0)*e23</f>
        <v>0</v>
      </c>
      <c r="K23">
        <f>vlookup("927-050000-100",B:AZ,column(j1),0)*e23</f>
        <v>0</v>
      </c>
      <c r="L23">
        <f>vlookup("927-050000-100",B:AZ,column(k1),0)*e23</f>
        <v>0</v>
      </c>
      <c r="M23">
        <f>vlookup("927-050000-100",B:AZ,column(l1),0)*e23</f>
        <v>0</v>
      </c>
      <c r="N23">
        <f>vlookup("927-050000-100",B:AZ,column(m1),0)*e23</f>
        <v>0</v>
      </c>
      <c r="O23">
        <f>vlookup("927-050000-100",B:AZ,column(n1),0)*e23</f>
        <v>0</v>
      </c>
      <c r="P23">
        <f>vlookup("927-050000-100",B:AZ,column(o1),0)*e23</f>
        <v>0</v>
      </c>
      <c r="Q23">
        <f>vlookup("927-050000-100",B:AZ,column(p1),0)*e23</f>
        <v>0</v>
      </c>
      <c r="R23">
        <f>vlookup("927-050000-100",B:AZ,column(q1),0)*e23</f>
        <v>0</v>
      </c>
      <c r="S23">
        <f>vlookup("927-050000-100",B:AZ,column(r1),0)*e23</f>
        <v>0</v>
      </c>
      <c r="T23">
        <f>vlookup("927-050000-100",B:AZ,column(s1),0)*e23</f>
        <v>0</v>
      </c>
      <c r="U23">
        <f>vlookup("927-050000-100",B:AZ,column(t1),0)*e23</f>
        <v>0</v>
      </c>
      <c r="V23">
        <f>vlookup("927-050000-100",B:AZ,column(u1),0)*e23</f>
        <v>0</v>
      </c>
      <c r="W23">
        <f>vlookup("927-050000-100",B:AZ,column(v1),0)*e23</f>
        <v>0</v>
      </c>
      <c r="X23">
        <f>vlookup("927-050000-100",B:AZ,column(w1),0)*e23</f>
        <v>0</v>
      </c>
      <c r="Y23">
        <f>vlookup("927-050000-100",B:AZ,column(x1),0)*e23</f>
        <v>0</v>
      </c>
      <c r="Z23">
        <f>vlookup("927-050000-100",B:AZ,column(y1),0)*e23</f>
        <v>0</v>
      </c>
      <c r="AA23">
        <f>vlookup("927-050000-100",B:AZ,column(z1),0)*e23</f>
        <v>0</v>
      </c>
      <c r="AB23">
        <f>vlookup("927-050000-100",B:AZ,column(aa1),0)*e23</f>
        <v>0</v>
      </c>
      <c r="AC23">
        <f>vlookup("927-050000-100",B:AZ,column(ab1),0)*e23</f>
        <v>0</v>
      </c>
      <c r="AD23">
        <f>vlookup("927-050000-100",B:AZ,column(ac1),0)*e23</f>
        <v>0</v>
      </c>
      <c r="AE23">
        <f>vlookup("927-050000-100",B:AZ,column(ad1),0)*e23</f>
        <v>0</v>
      </c>
      <c r="AF23">
        <f>vlookup("927-050000-100",B:AZ,column(ae1),0)*e23</f>
        <v>0</v>
      </c>
      <c r="AG23">
        <f>vlookup("927-050000-100",B:AZ,column(af1),0)*e23</f>
        <v>0</v>
      </c>
      <c r="AH23">
        <f>vlookup("927-050000-100",B:AZ,column(ag1),0)*e23</f>
        <v>0</v>
      </c>
      <c r="AI23">
        <f>vlookup("927-050000-100",B:AZ,column(ah1),0)*e23</f>
        <v>0</v>
      </c>
      <c r="AJ23">
        <f>vlookup("927-050000-100",B:AZ,column(ai1),0)*e23</f>
        <v>0</v>
      </c>
      <c r="AK23">
        <f>vlookup("927-050000-100",B:AZ,column(aj1),0)*e23</f>
        <v>0</v>
      </c>
      <c r="AL23">
        <f>vlookup("927-050000-100",B:AZ,column(ak1),0)*e23</f>
        <v>0</v>
      </c>
      <c r="AM23">
        <f>vlookup("927-050000-100",B:AZ,column(al1),0)*e23</f>
        <v>0</v>
      </c>
      <c r="AN23">
        <f>vlookup("927-050000-100",B:AZ,column(am1),0)*e23</f>
        <v>0</v>
      </c>
      <c r="AO23">
        <f>vlookup("927-050000-100",B:AZ,column(an1),0)*e23</f>
        <v>0</v>
      </c>
    </row>
    <row r="24" spans="1:41">
      <c r="A24" t="s">
        <v>22</v>
      </c>
      <c r="B24" t="s">
        <v>47</v>
      </c>
      <c r="C24" t="s">
        <v>48</v>
      </c>
      <c r="E24">
        <v>1</v>
      </c>
      <c r="F24" t="s">
        <v>13</v>
      </c>
      <c r="I24" t="s">
        <v>15</v>
      </c>
      <c r="J24">
        <f>vlookup("927-050000-100",B:AZ,column(i1),0)*e24</f>
        <v>0</v>
      </c>
      <c r="K24">
        <f>vlookup("927-050000-100",B:AZ,column(j1),0)*e24</f>
        <v>0</v>
      </c>
      <c r="L24">
        <f>vlookup("927-050000-100",B:AZ,column(k1),0)*e24</f>
        <v>0</v>
      </c>
      <c r="M24">
        <f>vlookup("927-050000-100",B:AZ,column(l1),0)*e24</f>
        <v>0</v>
      </c>
      <c r="N24">
        <f>vlookup("927-050000-100",B:AZ,column(m1),0)*e24</f>
        <v>0</v>
      </c>
      <c r="O24">
        <f>vlookup("927-050000-100",B:AZ,column(n1),0)*e24</f>
        <v>0</v>
      </c>
      <c r="P24">
        <f>vlookup("927-050000-100",B:AZ,column(o1),0)*e24</f>
        <v>0</v>
      </c>
      <c r="Q24">
        <f>vlookup("927-050000-100",B:AZ,column(p1),0)*e24</f>
        <v>0</v>
      </c>
      <c r="R24">
        <f>vlookup("927-050000-100",B:AZ,column(q1),0)*e24</f>
        <v>0</v>
      </c>
      <c r="S24">
        <f>vlookup("927-050000-100",B:AZ,column(r1),0)*e24</f>
        <v>0</v>
      </c>
      <c r="T24">
        <f>vlookup("927-050000-100",B:AZ,column(s1),0)*e24</f>
        <v>0</v>
      </c>
      <c r="U24">
        <f>vlookup("927-050000-100",B:AZ,column(t1),0)*e24</f>
        <v>0</v>
      </c>
      <c r="V24">
        <f>vlookup("927-050000-100",B:AZ,column(u1),0)*e24</f>
        <v>0</v>
      </c>
      <c r="W24">
        <f>vlookup("927-050000-100",B:AZ,column(v1),0)*e24</f>
        <v>0</v>
      </c>
      <c r="X24">
        <f>vlookup("927-050000-100",B:AZ,column(w1),0)*e24</f>
        <v>0</v>
      </c>
      <c r="Y24">
        <f>vlookup("927-050000-100",B:AZ,column(x1),0)*e24</f>
        <v>0</v>
      </c>
      <c r="Z24">
        <f>vlookup("927-050000-100",B:AZ,column(y1),0)*e24</f>
        <v>0</v>
      </c>
      <c r="AA24">
        <f>vlookup("927-050000-100",B:AZ,column(z1),0)*e24</f>
        <v>0</v>
      </c>
      <c r="AB24">
        <f>vlookup("927-050000-100",B:AZ,column(aa1),0)*e24</f>
        <v>0</v>
      </c>
      <c r="AC24">
        <f>vlookup("927-050000-100",B:AZ,column(ab1),0)*e24</f>
        <v>0</v>
      </c>
      <c r="AD24">
        <f>vlookup("927-050000-100",B:AZ,column(ac1),0)*e24</f>
        <v>0</v>
      </c>
      <c r="AE24">
        <f>vlookup("927-050000-100",B:AZ,column(ad1),0)*e24</f>
        <v>0</v>
      </c>
      <c r="AF24">
        <f>vlookup("927-050000-100",B:AZ,column(ae1),0)*e24</f>
        <v>0</v>
      </c>
      <c r="AG24">
        <f>vlookup("927-050000-100",B:AZ,column(af1),0)*e24</f>
        <v>0</v>
      </c>
      <c r="AH24">
        <f>vlookup("927-050000-100",B:AZ,column(ag1),0)*e24</f>
        <v>0</v>
      </c>
      <c r="AI24">
        <f>vlookup("927-050000-100",B:AZ,column(ah1),0)*e24</f>
        <v>0</v>
      </c>
      <c r="AJ24">
        <f>vlookup("927-050000-100",B:AZ,column(ai1),0)*e24</f>
        <v>0</v>
      </c>
      <c r="AK24">
        <f>vlookup("927-050000-100",B:AZ,column(aj1),0)*e24</f>
        <v>0</v>
      </c>
      <c r="AL24">
        <f>vlookup("927-050000-100",B:AZ,column(ak1),0)*e24</f>
        <v>0</v>
      </c>
      <c r="AM24">
        <f>vlookup("927-050000-100",B:AZ,column(al1),0)*e24</f>
        <v>0</v>
      </c>
      <c r="AN24">
        <f>vlookup("927-050000-100",B:AZ,column(am1),0)*e24</f>
        <v>0</v>
      </c>
      <c r="AO24">
        <f>vlookup("927-050000-100",B:AZ,column(an1),0)*e24</f>
        <v>0</v>
      </c>
    </row>
    <row r="25" spans="1:41">
      <c r="A25" t="s">
        <v>17</v>
      </c>
      <c r="B25" t="s">
        <v>25</v>
      </c>
      <c r="C25" t="s">
        <v>26</v>
      </c>
      <c r="E25">
        <v>1</v>
      </c>
      <c r="F25" t="s">
        <v>13</v>
      </c>
      <c r="I25" t="s">
        <v>15</v>
      </c>
      <c r="J25">
        <f>vlookup("927-050000-100",B:AZ,column(i1),0)*e25</f>
        <v>0</v>
      </c>
      <c r="K25">
        <f>vlookup("927-050000-100",B:AZ,column(j1),0)*e25</f>
        <v>0</v>
      </c>
      <c r="L25">
        <f>vlookup("927-050000-100",B:AZ,column(k1),0)*e25</f>
        <v>0</v>
      </c>
      <c r="M25">
        <f>vlookup("927-050000-100",B:AZ,column(l1),0)*e25</f>
        <v>0</v>
      </c>
      <c r="N25">
        <f>vlookup("927-050000-100",B:AZ,column(m1),0)*e25</f>
        <v>0</v>
      </c>
      <c r="O25">
        <f>vlookup("927-050000-100",B:AZ,column(n1),0)*e25</f>
        <v>0</v>
      </c>
      <c r="P25">
        <f>vlookup("927-050000-100",B:AZ,column(o1),0)*e25</f>
        <v>0</v>
      </c>
      <c r="Q25">
        <f>vlookup("927-050000-100",B:AZ,column(p1),0)*e25</f>
        <v>0</v>
      </c>
      <c r="R25">
        <f>vlookup("927-050000-100",B:AZ,column(q1),0)*e25</f>
        <v>0</v>
      </c>
      <c r="S25">
        <f>vlookup("927-050000-100",B:AZ,column(r1),0)*e25</f>
        <v>0</v>
      </c>
      <c r="T25">
        <f>vlookup("927-050000-100",B:AZ,column(s1),0)*e25</f>
        <v>0</v>
      </c>
      <c r="U25">
        <f>vlookup("927-050000-100",B:AZ,column(t1),0)*e25</f>
        <v>0</v>
      </c>
      <c r="V25">
        <f>vlookup("927-050000-100",B:AZ,column(u1),0)*e25</f>
        <v>0</v>
      </c>
      <c r="W25">
        <f>vlookup("927-050000-100",B:AZ,column(v1),0)*e25</f>
        <v>0</v>
      </c>
      <c r="X25">
        <f>vlookup("927-050000-100",B:AZ,column(w1),0)*e25</f>
        <v>0</v>
      </c>
      <c r="Y25">
        <f>vlookup("927-050000-100",B:AZ,column(x1),0)*e25</f>
        <v>0</v>
      </c>
      <c r="Z25">
        <f>vlookup("927-050000-100",B:AZ,column(y1),0)*e25</f>
        <v>0</v>
      </c>
      <c r="AA25">
        <f>vlookup("927-050000-100",B:AZ,column(z1),0)*e25</f>
        <v>0</v>
      </c>
      <c r="AB25">
        <f>vlookup("927-050000-100",B:AZ,column(aa1),0)*e25</f>
        <v>0</v>
      </c>
      <c r="AC25">
        <f>vlookup("927-050000-100",B:AZ,column(ab1),0)*e25</f>
        <v>0</v>
      </c>
      <c r="AD25">
        <f>vlookup("927-050000-100",B:AZ,column(ac1),0)*e25</f>
        <v>0</v>
      </c>
      <c r="AE25">
        <f>vlookup("927-050000-100",B:AZ,column(ad1),0)*e25</f>
        <v>0</v>
      </c>
      <c r="AF25">
        <f>vlookup("927-050000-100",B:AZ,column(ae1),0)*e25</f>
        <v>0</v>
      </c>
      <c r="AG25">
        <f>vlookup("927-050000-100",B:AZ,column(af1),0)*e25</f>
        <v>0</v>
      </c>
      <c r="AH25">
        <f>vlookup("927-050000-100",B:AZ,column(ag1),0)*e25</f>
        <v>0</v>
      </c>
      <c r="AI25">
        <f>vlookup("927-050000-100",B:AZ,column(ah1),0)*e25</f>
        <v>0</v>
      </c>
      <c r="AJ25">
        <f>vlookup("927-050000-100",B:AZ,column(ai1),0)*e25</f>
        <v>0</v>
      </c>
      <c r="AK25">
        <f>vlookup("927-050000-100",B:AZ,column(aj1),0)*e25</f>
        <v>0</v>
      </c>
      <c r="AL25">
        <f>vlookup("927-050000-100",B:AZ,column(ak1),0)*e25</f>
        <v>0</v>
      </c>
      <c r="AM25">
        <f>vlookup("927-050000-100",B:AZ,column(al1),0)*e25</f>
        <v>0</v>
      </c>
      <c r="AN25">
        <f>vlookup("927-050000-100",B:AZ,column(am1),0)*e25</f>
        <v>0</v>
      </c>
      <c r="AO25">
        <f>vlookup("927-050000-100",B:AZ,column(an1),0)*e25</f>
        <v>0</v>
      </c>
    </row>
    <row r="26" spans="1:41">
      <c r="A26" t="s">
        <v>17</v>
      </c>
      <c r="B26" t="s">
        <v>27</v>
      </c>
      <c r="C26" t="s">
        <v>28</v>
      </c>
      <c r="E26">
        <v>1</v>
      </c>
      <c r="F26" t="s">
        <v>13</v>
      </c>
      <c r="I26" t="s">
        <v>15</v>
      </c>
      <c r="J26">
        <f>vlookup("927-050000-100",B:AZ,column(i1),0)*e26</f>
        <v>0</v>
      </c>
      <c r="K26">
        <f>vlookup("927-050000-100",B:AZ,column(j1),0)*e26</f>
        <v>0</v>
      </c>
      <c r="L26">
        <f>vlookup("927-050000-100",B:AZ,column(k1),0)*e26</f>
        <v>0</v>
      </c>
      <c r="M26">
        <f>vlookup("927-050000-100",B:AZ,column(l1),0)*e26</f>
        <v>0</v>
      </c>
      <c r="N26">
        <f>vlookup("927-050000-100",B:AZ,column(m1),0)*e26</f>
        <v>0</v>
      </c>
      <c r="O26">
        <f>vlookup("927-050000-100",B:AZ,column(n1),0)*e26</f>
        <v>0</v>
      </c>
      <c r="P26">
        <f>vlookup("927-050000-100",B:AZ,column(o1),0)*e26</f>
        <v>0</v>
      </c>
      <c r="Q26">
        <f>vlookup("927-050000-100",B:AZ,column(p1),0)*e26</f>
        <v>0</v>
      </c>
      <c r="R26">
        <f>vlookup("927-050000-100",B:AZ,column(q1),0)*e26</f>
        <v>0</v>
      </c>
      <c r="S26">
        <f>vlookup("927-050000-100",B:AZ,column(r1),0)*e26</f>
        <v>0</v>
      </c>
      <c r="T26">
        <f>vlookup("927-050000-100",B:AZ,column(s1),0)*e26</f>
        <v>0</v>
      </c>
      <c r="U26">
        <f>vlookup("927-050000-100",B:AZ,column(t1),0)*e26</f>
        <v>0</v>
      </c>
      <c r="V26">
        <f>vlookup("927-050000-100",B:AZ,column(u1),0)*e26</f>
        <v>0</v>
      </c>
      <c r="W26">
        <f>vlookup("927-050000-100",B:AZ,column(v1),0)*e26</f>
        <v>0</v>
      </c>
      <c r="X26">
        <f>vlookup("927-050000-100",B:AZ,column(w1),0)*e26</f>
        <v>0</v>
      </c>
      <c r="Y26">
        <f>vlookup("927-050000-100",B:AZ,column(x1),0)*e26</f>
        <v>0</v>
      </c>
      <c r="Z26">
        <f>vlookup("927-050000-100",B:AZ,column(y1),0)*e26</f>
        <v>0</v>
      </c>
      <c r="AA26">
        <f>vlookup("927-050000-100",B:AZ,column(z1),0)*e26</f>
        <v>0</v>
      </c>
      <c r="AB26">
        <f>vlookup("927-050000-100",B:AZ,column(aa1),0)*e26</f>
        <v>0</v>
      </c>
      <c r="AC26">
        <f>vlookup("927-050000-100",B:AZ,column(ab1),0)*e26</f>
        <v>0</v>
      </c>
      <c r="AD26">
        <f>vlookup("927-050000-100",B:AZ,column(ac1),0)*e26</f>
        <v>0</v>
      </c>
      <c r="AE26">
        <f>vlookup("927-050000-100",B:AZ,column(ad1),0)*e26</f>
        <v>0</v>
      </c>
      <c r="AF26">
        <f>vlookup("927-050000-100",B:AZ,column(ae1),0)*e26</f>
        <v>0</v>
      </c>
      <c r="AG26">
        <f>vlookup("927-050000-100",B:AZ,column(af1),0)*e26</f>
        <v>0</v>
      </c>
      <c r="AH26">
        <f>vlookup("927-050000-100",B:AZ,column(ag1),0)*e26</f>
        <v>0</v>
      </c>
      <c r="AI26">
        <f>vlookup("927-050000-100",B:AZ,column(ah1),0)*e26</f>
        <v>0</v>
      </c>
      <c r="AJ26">
        <f>vlookup("927-050000-100",B:AZ,column(ai1),0)*e26</f>
        <v>0</v>
      </c>
      <c r="AK26">
        <f>vlookup("927-050000-100",B:AZ,column(aj1),0)*e26</f>
        <v>0</v>
      </c>
      <c r="AL26">
        <f>vlookup("927-050000-100",B:AZ,column(ak1),0)*e26</f>
        <v>0</v>
      </c>
      <c r="AM26">
        <f>vlookup("927-050000-100",B:AZ,column(al1),0)*e26</f>
        <v>0</v>
      </c>
      <c r="AN26">
        <f>vlookup("927-050000-100",B:AZ,column(am1),0)*e26</f>
        <v>0</v>
      </c>
      <c r="AO26">
        <f>vlookup("927-050000-100",B:AZ,column(an1),0)*e26</f>
        <v>0</v>
      </c>
    </row>
    <row r="27" spans="1:41">
      <c r="A27" t="s">
        <v>22</v>
      </c>
      <c r="B27" t="s">
        <v>29</v>
      </c>
      <c r="C27" t="s">
        <v>30</v>
      </c>
      <c r="E27">
        <v>1</v>
      </c>
      <c r="F27" t="s">
        <v>13</v>
      </c>
      <c r="I27" t="s">
        <v>15</v>
      </c>
      <c r="J27">
        <f>vlookup("927-050000-100",B:AZ,column(i1),0)*e27</f>
        <v>0</v>
      </c>
      <c r="K27">
        <f>vlookup("927-050000-100",B:AZ,column(j1),0)*e27</f>
        <v>0</v>
      </c>
      <c r="L27">
        <f>vlookup("927-050000-100",B:AZ,column(k1),0)*e27</f>
        <v>0</v>
      </c>
      <c r="M27">
        <f>vlookup("927-050000-100",B:AZ,column(l1),0)*e27</f>
        <v>0</v>
      </c>
      <c r="N27">
        <f>vlookup("927-050000-100",B:AZ,column(m1),0)*e27</f>
        <v>0</v>
      </c>
      <c r="O27">
        <f>vlookup("927-050000-100",B:AZ,column(n1),0)*e27</f>
        <v>0</v>
      </c>
      <c r="P27">
        <f>vlookup("927-050000-100",B:AZ,column(o1),0)*e27</f>
        <v>0</v>
      </c>
      <c r="Q27">
        <f>vlookup("927-050000-100",B:AZ,column(p1),0)*e27</f>
        <v>0</v>
      </c>
      <c r="R27">
        <f>vlookup("927-050000-100",B:AZ,column(q1),0)*e27</f>
        <v>0</v>
      </c>
      <c r="S27">
        <f>vlookup("927-050000-100",B:AZ,column(r1),0)*e27</f>
        <v>0</v>
      </c>
      <c r="T27">
        <f>vlookup("927-050000-100",B:AZ,column(s1),0)*e27</f>
        <v>0</v>
      </c>
      <c r="U27">
        <f>vlookup("927-050000-100",B:AZ,column(t1),0)*e27</f>
        <v>0</v>
      </c>
      <c r="V27">
        <f>vlookup("927-050000-100",B:AZ,column(u1),0)*e27</f>
        <v>0</v>
      </c>
      <c r="W27">
        <f>vlookup("927-050000-100",B:AZ,column(v1),0)*e27</f>
        <v>0</v>
      </c>
      <c r="X27">
        <f>vlookup("927-050000-100",B:AZ,column(w1),0)*e27</f>
        <v>0</v>
      </c>
      <c r="Y27">
        <f>vlookup("927-050000-100",B:AZ,column(x1),0)*e27</f>
        <v>0</v>
      </c>
      <c r="Z27">
        <f>vlookup("927-050000-100",B:AZ,column(y1),0)*e27</f>
        <v>0</v>
      </c>
      <c r="AA27">
        <f>vlookup("927-050000-100",B:AZ,column(z1),0)*e27</f>
        <v>0</v>
      </c>
      <c r="AB27">
        <f>vlookup("927-050000-100",B:AZ,column(aa1),0)*e27</f>
        <v>0</v>
      </c>
      <c r="AC27">
        <f>vlookup("927-050000-100",B:AZ,column(ab1),0)*e27</f>
        <v>0</v>
      </c>
      <c r="AD27">
        <f>vlookup("927-050000-100",B:AZ,column(ac1),0)*e27</f>
        <v>0</v>
      </c>
      <c r="AE27">
        <f>vlookup("927-050000-100",B:AZ,column(ad1),0)*e27</f>
        <v>0</v>
      </c>
      <c r="AF27">
        <f>vlookup("927-050000-100",B:AZ,column(ae1),0)*e27</f>
        <v>0</v>
      </c>
      <c r="AG27">
        <f>vlookup("927-050000-100",B:AZ,column(af1),0)*e27</f>
        <v>0</v>
      </c>
      <c r="AH27">
        <f>vlookup("927-050000-100",B:AZ,column(ag1),0)*e27</f>
        <v>0</v>
      </c>
      <c r="AI27">
        <f>vlookup("927-050000-100",B:AZ,column(ah1),0)*e27</f>
        <v>0</v>
      </c>
      <c r="AJ27">
        <f>vlookup("927-050000-100",B:AZ,column(ai1),0)*e27</f>
        <v>0</v>
      </c>
      <c r="AK27">
        <f>vlookup("927-050000-100",B:AZ,column(aj1),0)*e27</f>
        <v>0</v>
      </c>
      <c r="AL27">
        <f>vlookup("927-050000-100",B:AZ,column(ak1),0)*e27</f>
        <v>0</v>
      </c>
      <c r="AM27">
        <f>vlookup("927-050000-100",B:AZ,column(al1),0)*e27</f>
        <v>0</v>
      </c>
      <c r="AN27">
        <f>vlookup("927-050000-100",B:AZ,column(am1),0)*e27</f>
        <v>0</v>
      </c>
      <c r="AO27">
        <f>vlookup("927-050000-100",B:AZ,column(an1),0)*e27</f>
        <v>0</v>
      </c>
    </row>
    <row r="28" spans="1:41">
      <c r="A28" t="s">
        <v>17</v>
      </c>
      <c r="B28" t="s">
        <v>31</v>
      </c>
      <c r="C28" t="s">
        <v>32</v>
      </c>
      <c r="E28">
        <v>2</v>
      </c>
      <c r="F28" t="s">
        <v>13</v>
      </c>
      <c r="I28" t="s">
        <v>15</v>
      </c>
      <c r="J28">
        <f>vlookup("927-050000-100",B:AZ,column(i1),0)*e28</f>
        <v>0</v>
      </c>
      <c r="K28">
        <f>vlookup("927-050000-100",B:AZ,column(j1),0)*e28</f>
        <v>0</v>
      </c>
      <c r="L28">
        <f>vlookup("927-050000-100",B:AZ,column(k1),0)*e28</f>
        <v>0</v>
      </c>
      <c r="M28">
        <f>vlookup("927-050000-100",B:AZ,column(l1),0)*e28</f>
        <v>0</v>
      </c>
      <c r="N28">
        <f>vlookup("927-050000-100",B:AZ,column(m1),0)*e28</f>
        <v>0</v>
      </c>
      <c r="O28">
        <f>vlookup("927-050000-100",B:AZ,column(n1),0)*e28</f>
        <v>0</v>
      </c>
      <c r="P28">
        <f>vlookup("927-050000-100",B:AZ,column(o1),0)*e28</f>
        <v>0</v>
      </c>
      <c r="Q28">
        <f>vlookup("927-050000-100",B:AZ,column(p1),0)*e28</f>
        <v>0</v>
      </c>
      <c r="R28">
        <f>vlookup("927-050000-100",B:AZ,column(q1),0)*e28</f>
        <v>0</v>
      </c>
      <c r="S28">
        <f>vlookup("927-050000-100",B:AZ,column(r1),0)*e28</f>
        <v>0</v>
      </c>
      <c r="T28">
        <f>vlookup("927-050000-100",B:AZ,column(s1),0)*e28</f>
        <v>0</v>
      </c>
      <c r="U28">
        <f>vlookup("927-050000-100",B:AZ,column(t1),0)*e28</f>
        <v>0</v>
      </c>
      <c r="V28">
        <f>vlookup("927-050000-100",B:AZ,column(u1),0)*e28</f>
        <v>0</v>
      </c>
      <c r="W28">
        <f>vlookup("927-050000-100",B:AZ,column(v1),0)*e28</f>
        <v>0</v>
      </c>
      <c r="X28">
        <f>vlookup("927-050000-100",B:AZ,column(w1),0)*e28</f>
        <v>0</v>
      </c>
      <c r="Y28">
        <f>vlookup("927-050000-100",B:AZ,column(x1),0)*e28</f>
        <v>0</v>
      </c>
      <c r="Z28">
        <f>vlookup("927-050000-100",B:AZ,column(y1),0)*e28</f>
        <v>0</v>
      </c>
      <c r="AA28">
        <f>vlookup("927-050000-100",B:AZ,column(z1),0)*e28</f>
        <v>0</v>
      </c>
      <c r="AB28">
        <f>vlookup("927-050000-100",B:AZ,column(aa1),0)*e28</f>
        <v>0</v>
      </c>
      <c r="AC28">
        <f>vlookup("927-050000-100",B:AZ,column(ab1),0)*e28</f>
        <v>0</v>
      </c>
      <c r="AD28">
        <f>vlookup("927-050000-100",B:AZ,column(ac1),0)*e28</f>
        <v>0</v>
      </c>
      <c r="AE28">
        <f>vlookup("927-050000-100",B:AZ,column(ad1),0)*e28</f>
        <v>0</v>
      </c>
      <c r="AF28">
        <f>vlookup("927-050000-100",B:AZ,column(ae1),0)*e28</f>
        <v>0</v>
      </c>
      <c r="AG28">
        <f>vlookup("927-050000-100",B:AZ,column(af1),0)*e28</f>
        <v>0</v>
      </c>
      <c r="AH28">
        <f>vlookup("927-050000-100",B:AZ,column(ag1),0)*e28</f>
        <v>0</v>
      </c>
      <c r="AI28">
        <f>vlookup("927-050000-100",B:AZ,column(ah1),0)*e28</f>
        <v>0</v>
      </c>
      <c r="AJ28">
        <f>vlookup("927-050000-100",B:AZ,column(ai1),0)*e28</f>
        <v>0</v>
      </c>
      <c r="AK28">
        <f>vlookup("927-050000-100",B:AZ,column(aj1),0)*e28</f>
        <v>0</v>
      </c>
      <c r="AL28">
        <f>vlookup("927-050000-100",B:AZ,column(ak1),0)*e28</f>
        <v>0</v>
      </c>
      <c r="AM28">
        <f>vlookup("927-050000-100",B:AZ,column(al1),0)*e28</f>
        <v>0</v>
      </c>
      <c r="AN28">
        <f>vlookup("927-050000-100",B:AZ,column(am1),0)*e28</f>
        <v>0</v>
      </c>
      <c r="AO28">
        <f>vlookup("927-050000-100",B:AZ,column(an1),0)*e28</f>
        <v>0</v>
      </c>
    </row>
    <row r="29" spans="1:41">
      <c r="A29" t="s">
        <v>22</v>
      </c>
      <c r="B29" t="s">
        <v>33</v>
      </c>
      <c r="C29" t="s">
        <v>34</v>
      </c>
      <c r="E29">
        <v>2</v>
      </c>
      <c r="F29" t="s">
        <v>13</v>
      </c>
      <c r="I29" t="s">
        <v>15</v>
      </c>
      <c r="J29">
        <f>vlookup("927-050000-100",B:AZ,column(i1),0)*e29</f>
        <v>0</v>
      </c>
      <c r="K29">
        <f>vlookup("927-050000-100",B:AZ,column(j1),0)*e29</f>
        <v>0</v>
      </c>
      <c r="L29">
        <f>vlookup("927-050000-100",B:AZ,column(k1),0)*e29</f>
        <v>0</v>
      </c>
      <c r="M29">
        <f>vlookup("927-050000-100",B:AZ,column(l1),0)*e29</f>
        <v>0</v>
      </c>
      <c r="N29">
        <f>vlookup("927-050000-100",B:AZ,column(m1),0)*e29</f>
        <v>0</v>
      </c>
      <c r="O29">
        <f>vlookup("927-050000-100",B:AZ,column(n1),0)*e29</f>
        <v>0</v>
      </c>
      <c r="P29">
        <f>vlookup("927-050000-100",B:AZ,column(o1),0)*e29</f>
        <v>0</v>
      </c>
      <c r="Q29">
        <f>vlookup("927-050000-100",B:AZ,column(p1),0)*e29</f>
        <v>0</v>
      </c>
      <c r="R29">
        <f>vlookup("927-050000-100",B:AZ,column(q1),0)*e29</f>
        <v>0</v>
      </c>
      <c r="S29">
        <f>vlookup("927-050000-100",B:AZ,column(r1),0)*e29</f>
        <v>0</v>
      </c>
      <c r="T29">
        <f>vlookup("927-050000-100",B:AZ,column(s1),0)*e29</f>
        <v>0</v>
      </c>
      <c r="U29">
        <f>vlookup("927-050000-100",B:AZ,column(t1),0)*e29</f>
        <v>0</v>
      </c>
      <c r="V29">
        <f>vlookup("927-050000-100",B:AZ,column(u1),0)*e29</f>
        <v>0</v>
      </c>
      <c r="W29">
        <f>vlookup("927-050000-100",B:AZ,column(v1),0)*e29</f>
        <v>0</v>
      </c>
      <c r="X29">
        <f>vlookup("927-050000-100",B:AZ,column(w1),0)*e29</f>
        <v>0</v>
      </c>
      <c r="Y29">
        <f>vlookup("927-050000-100",B:AZ,column(x1),0)*e29</f>
        <v>0</v>
      </c>
      <c r="Z29">
        <f>vlookup("927-050000-100",B:AZ,column(y1),0)*e29</f>
        <v>0</v>
      </c>
      <c r="AA29">
        <f>vlookup("927-050000-100",B:AZ,column(z1),0)*e29</f>
        <v>0</v>
      </c>
      <c r="AB29">
        <f>vlookup("927-050000-100",B:AZ,column(aa1),0)*e29</f>
        <v>0</v>
      </c>
      <c r="AC29">
        <f>vlookup("927-050000-100",B:AZ,column(ab1),0)*e29</f>
        <v>0</v>
      </c>
      <c r="AD29">
        <f>vlookup("927-050000-100",B:AZ,column(ac1),0)*e29</f>
        <v>0</v>
      </c>
      <c r="AE29">
        <f>vlookup("927-050000-100",B:AZ,column(ad1),0)*e29</f>
        <v>0</v>
      </c>
      <c r="AF29">
        <f>vlookup("927-050000-100",B:AZ,column(ae1),0)*e29</f>
        <v>0</v>
      </c>
      <c r="AG29">
        <f>vlookup("927-050000-100",B:AZ,column(af1),0)*e29</f>
        <v>0</v>
      </c>
      <c r="AH29">
        <f>vlookup("927-050000-100",B:AZ,column(ag1),0)*e29</f>
        <v>0</v>
      </c>
      <c r="AI29">
        <f>vlookup("927-050000-100",B:AZ,column(ah1),0)*e29</f>
        <v>0</v>
      </c>
      <c r="AJ29">
        <f>vlookup("927-050000-100",B:AZ,column(ai1),0)*e29</f>
        <v>0</v>
      </c>
      <c r="AK29">
        <f>vlookup("927-050000-100",B:AZ,column(aj1),0)*e29</f>
        <v>0</v>
      </c>
      <c r="AL29">
        <f>vlookup("927-050000-100",B:AZ,column(ak1),0)*e29</f>
        <v>0</v>
      </c>
      <c r="AM29">
        <f>vlookup("927-050000-100",B:AZ,column(al1),0)*e29</f>
        <v>0</v>
      </c>
      <c r="AN29">
        <f>vlookup("927-050000-100",B:AZ,column(am1),0)*e29</f>
        <v>0</v>
      </c>
      <c r="AO29">
        <f>vlookup("927-050000-100",B:AZ,column(an1),0)*e29</f>
        <v>0</v>
      </c>
    </row>
    <row r="30" spans="1:41">
      <c r="A30" t="s">
        <v>22</v>
      </c>
      <c r="B30" t="s">
        <v>35</v>
      </c>
      <c r="C30" t="s">
        <v>36</v>
      </c>
      <c r="E30">
        <v>2</v>
      </c>
      <c r="F30" t="s">
        <v>13</v>
      </c>
      <c r="I30" t="s">
        <v>15</v>
      </c>
      <c r="J30">
        <f>vlookup("927-050000-100",B:AZ,column(i1),0)*e30</f>
        <v>0</v>
      </c>
      <c r="K30">
        <f>vlookup("927-050000-100",B:AZ,column(j1),0)*e30</f>
        <v>0</v>
      </c>
      <c r="L30">
        <f>vlookup("927-050000-100",B:AZ,column(k1),0)*e30</f>
        <v>0</v>
      </c>
      <c r="M30">
        <f>vlookup("927-050000-100",B:AZ,column(l1),0)*e30</f>
        <v>0</v>
      </c>
      <c r="N30">
        <f>vlookup("927-050000-100",B:AZ,column(m1),0)*e30</f>
        <v>0</v>
      </c>
      <c r="O30">
        <f>vlookup("927-050000-100",B:AZ,column(n1),0)*e30</f>
        <v>0</v>
      </c>
      <c r="P30">
        <f>vlookup("927-050000-100",B:AZ,column(o1),0)*e30</f>
        <v>0</v>
      </c>
      <c r="Q30">
        <f>vlookup("927-050000-100",B:AZ,column(p1),0)*e30</f>
        <v>0</v>
      </c>
      <c r="R30">
        <f>vlookup("927-050000-100",B:AZ,column(q1),0)*e30</f>
        <v>0</v>
      </c>
      <c r="S30">
        <f>vlookup("927-050000-100",B:AZ,column(r1),0)*e30</f>
        <v>0</v>
      </c>
      <c r="T30">
        <f>vlookup("927-050000-100",B:AZ,column(s1),0)*e30</f>
        <v>0</v>
      </c>
      <c r="U30">
        <f>vlookup("927-050000-100",B:AZ,column(t1),0)*e30</f>
        <v>0</v>
      </c>
      <c r="V30">
        <f>vlookup("927-050000-100",B:AZ,column(u1),0)*e30</f>
        <v>0</v>
      </c>
      <c r="W30">
        <f>vlookup("927-050000-100",B:AZ,column(v1),0)*e30</f>
        <v>0</v>
      </c>
      <c r="X30">
        <f>vlookup("927-050000-100",B:AZ,column(w1),0)*e30</f>
        <v>0</v>
      </c>
      <c r="Y30">
        <f>vlookup("927-050000-100",B:AZ,column(x1),0)*e30</f>
        <v>0</v>
      </c>
      <c r="Z30">
        <f>vlookup("927-050000-100",B:AZ,column(y1),0)*e30</f>
        <v>0</v>
      </c>
      <c r="AA30">
        <f>vlookup("927-050000-100",B:AZ,column(z1),0)*e30</f>
        <v>0</v>
      </c>
      <c r="AB30">
        <f>vlookup("927-050000-100",B:AZ,column(aa1),0)*e30</f>
        <v>0</v>
      </c>
      <c r="AC30">
        <f>vlookup("927-050000-100",B:AZ,column(ab1),0)*e30</f>
        <v>0</v>
      </c>
      <c r="AD30">
        <f>vlookup("927-050000-100",B:AZ,column(ac1),0)*e30</f>
        <v>0</v>
      </c>
      <c r="AE30">
        <f>vlookup("927-050000-100",B:AZ,column(ad1),0)*e30</f>
        <v>0</v>
      </c>
      <c r="AF30">
        <f>vlookup("927-050000-100",B:AZ,column(ae1),0)*e30</f>
        <v>0</v>
      </c>
      <c r="AG30">
        <f>vlookup("927-050000-100",B:AZ,column(af1),0)*e30</f>
        <v>0</v>
      </c>
      <c r="AH30">
        <f>vlookup("927-050000-100",B:AZ,column(ag1),0)*e30</f>
        <v>0</v>
      </c>
      <c r="AI30">
        <f>vlookup("927-050000-100",B:AZ,column(ah1),0)*e30</f>
        <v>0</v>
      </c>
      <c r="AJ30">
        <f>vlookup("927-050000-100",B:AZ,column(ai1),0)*e30</f>
        <v>0</v>
      </c>
      <c r="AK30">
        <f>vlookup("927-050000-100",B:AZ,column(aj1),0)*e30</f>
        <v>0</v>
      </c>
      <c r="AL30">
        <f>vlookup("927-050000-100",B:AZ,column(ak1),0)*e30</f>
        <v>0</v>
      </c>
      <c r="AM30">
        <f>vlookup("927-050000-100",B:AZ,column(al1),0)*e30</f>
        <v>0</v>
      </c>
      <c r="AN30">
        <f>vlookup("927-050000-100",B:AZ,column(am1),0)*e30</f>
        <v>0</v>
      </c>
      <c r="AO30">
        <f>vlookup("927-050000-100",B:AZ,column(an1),0)*e30</f>
        <v>0</v>
      </c>
    </row>
    <row r="31" spans="1:41">
      <c r="A31" t="s">
        <v>22</v>
      </c>
      <c r="B31" t="s">
        <v>37</v>
      </c>
      <c r="C31" t="s">
        <v>38</v>
      </c>
      <c r="E31">
        <v>1</v>
      </c>
      <c r="F31" t="s">
        <v>13</v>
      </c>
      <c r="I31" t="s">
        <v>15</v>
      </c>
      <c r="J31">
        <f>vlookup("927-050000-100",B:AZ,column(i1),0)*e31</f>
        <v>0</v>
      </c>
      <c r="K31">
        <f>vlookup("927-050000-100",B:AZ,column(j1),0)*e31</f>
        <v>0</v>
      </c>
      <c r="L31">
        <f>vlookup("927-050000-100",B:AZ,column(k1),0)*e31</f>
        <v>0</v>
      </c>
      <c r="M31">
        <f>vlookup("927-050000-100",B:AZ,column(l1),0)*e31</f>
        <v>0</v>
      </c>
      <c r="N31">
        <f>vlookup("927-050000-100",B:AZ,column(m1),0)*e31</f>
        <v>0</v>
      </c>
      <c r="O31">
        <f>vlookup("927-050000-100",B:AZ,column(n1),0)*e31</f>
        <v>0</v>
      </c>
      <c r="P31">
        <f>vlookup("927-050000-100",B:AZ,column(o1),0)*e31</f>
        <v>0</v>
      </c>
      <c r="Q31">
        <f>vlookup("927-050000-100",B:AZ,column(p1),0)*e31</f>
        <v>0</v>
      </c>
      <c r="R31">
        <f>vlookup("927-050000-100",B:AZ,column(q1),0)*e31</f>
        <v>0</v>
      </c>
      <c r="S31">
        <f>vlookup("927-050000-100",B:AZ,column(r1),0)*e31</f>
        <v>0</v>
      </c>
      <c r="T31">
        <f>vlookup("927-050000-100",B:AZ,column(s1),0)*e31</f>
        <v>0</v>
      </c>
      <c r="U31">
        <f>vlookup("927-050000-100",B:AZ,column(t1),0)*e31</f>
        <v>0</v>
      </c>
      <c r="V31">
        <f>vlookup("927-050000-100",B:AZ,column(u1),0)*e31</f>
        <v>0</v>
      </c>
      <c r="W31">
        <f>vlookup("927-050000-100",B:AZ,column(v1),0)*e31</f>
        <v>0</v>
      </c>
      <c r="X31">
        <f>vlookup("927-050000-100",B:AZ,column(w1),0)*e31</f>
        <v>0</v>
      </c>
      <c r="Y31">
        <f>vlookup("927-050000-100",B:AZ,column(x1),0)*e31</f>
        <v>0</v>
      </c>
      <c r="Z31">
        <f>vlookup("927-050000-100",B:AZ,column(y1),0)*e31</f>
        <v>0</v>
      </c>
      <c r="AA31">
        <f>vlookup("927-050000-100",B:AZ,column(z1),0)*e31</f>
        <v>0</v>
      </c>
      <c r="AB31">
        <f>vlookup("927-050000-100",B:AZ,column(aa1),0)*e31</f>
        <v>0</v>
      </c>
      <c r="AC31">
        <f>vlookup("927-050000-100",B:AZ,column(ab1),0)*e31</f>
        <v>0</v>
      </c>
      <c r="AD31">
        <f>vlookup("927-050000-100",B:AZ,column(ac1),0)*e31</f>
        <v>0</v>
      </c>
      <c r="AE31">
        <f>vlookup("927-050000-100",B:AZ,column(ad1),0)*e31</f>
        <v>0</v>
      </c>
      <c r="AF31">
        <f>vlookup("927-050000-100",B:AZ,column(ae1),0)*e31</f>
        <v>0</v>
      </c>
      <c r="AG31">
        <f>vlookup("927-050000-100",B:AZ,column(af1),0)*e31</f>
        <v>0</v>
      </c>
      <c r="AH31">
        <f>vlookup("927-050000-100",B:AZ,column(ag1),0)*e31</f>
        <v>0</v>
      </c>
      <c r="AI31">
        <f>vlookup("927-050000-100",B:AZ,column(ah1),0)*e31</f>
        <v>0</v>
      </c>
      <c r="AJ31">
        <f>vlookup("927-050000-100",B:AZ,column(ai1),0)*e31</f>
        <v>0</v>
      </c>
      <c r="AK31">
        <f>vlookup("927-050000-100",B:AZ,column(aj1),0)*e31</f>
        <v>0</v>
      </c>
      <c r="AL31">
        <f>vlookup("927-050000-100",B:AZ,column(ak1),0)*e31</f>
        <v>0</v>
      </c>
      <c r="AM31">
        <f>vlookup("927-050000-100",B:AZ,column(al1),0)*e31</f>
        <v>0</v>
      </c>
      <c r="AN31">
        <f>vlookup("927-050000-100",B:AZ,column(am1),0)*e31</f>
        <v>0</v>
      </c>
      <c r="AO31">
        <f>vlookup("927-050000-100",B:AZ,column(an1),0)*e31</f>
        <v>0</v>
      </c>
    </row>
    <row r="32" spans="1:41">
      <c r="A32" t="s">
        <v>22</v>
      </c>
      <c r="B32" t="s">
        <v>39</v>
      </c>
      <c r="C32" t="s">
        <v>40</v>
      </c>
      <c r="E32">
        <v>1</v>
      </c>
      <c r="F32" t="s">
        <v>13</v>
      </c>
      <c r="I32" t="s">
        <v>15</v>
      </c>
      <c r="J32">
        <f>vlookup("927-050000-100",B:AZ,column(i1),0)*e32</f>
        <v>0</v>
      </c>
      <c r="K32">
        <f>vlookup("927-050000-100",B:AZ,column(j1),0)*e32</f>
        <v>0</v>
      </c>
      <c r="L32">
        <f>vlookup("927-050000-100",B:AZ,column(k1),0)*e32</f>
        <v>0</v>
      </c>
      <c r="M32">
        <f>vlookup("927-050000-100",B:AZ,column(l1),0)*e32</f>
        <v>0</v>
      </c>
      <c r="N32">
        <f>vlookup("927-050000-100",B:AZ,column(m1),0)*e32</f>
        <v>0</v>
      </c>
      <c r="O32">
        <f>vlookup("927-050000-100",B:AZ,column(n1),0)*e32</f>
        <v>0</v>
      </c>
      <c r="P32">
        <f>vlookup("927-050000-100",B:AZ,column(o1),0)*e32</f>
        <v>0</v>
      </c>
      <c r="Q32">
        <f>vlookup("927-050000-100",B:AZ,column(p1),0)*e32</f>
        <v>0</v>
      </c>
      <c r="R32">
        <f>vlookup("927-050000-100",B:AZ,column(q1),0)*e32</f>
        <v>0</v>
      </c>
      <c r="S32">
        <f>vlookup("927-050000-100",B:AZ,column(r1),0)*e32</f>
        <v>0</v>
      </c>
      <c r="T32">
        <f>vlookup("927-050000-100",B:AZ,column(s1),0)*e32</f>
        <v>0</v>
      </c>
      <c r="U32">
        <f>vlookup("927-050000-100",B:AZ,column(t1),0)*e32</f>
        <v>0</v>
      </c>
      <c r="V32">
        <f>vlookup("927-050000-100",B:AZ,column(u1),0)*e32</f>
        <v>0</v>
      </c>
      <c r="W32">
        <f>vlookup("927-050000-100",B:AZ,column(v1),0)*e32</f>
        <v>0</v>
      </c>
      <c r="X32">
        <f>vlookup("927-050000-100",B:AZ,column(w1),0)*e32</f>
        <v>0</v>
      </c>
      <c r="Y32">
        <f>vlookup("927-050000-100",B:AZ,column(x1),0)*e32</f>
        <v>0</v>
      </c>
      <c r="Z32">
        <f>vlookup("927-050000-100",B:AZ,column(y1),0)*e32</f>
        <v>0</v>
      </c>
      <c r="AA32">
        <f>vlookup("927-050000-100",B:AZ,column(z1),0)*e32</f>
        <v>0</v>
      </c>
      <c r="AB32">
        <f>vlookup("927-050000-100",B:AZ,column(aa1),0)*e32</f>
        <v>0</v>
      </c>
      <c r="AC32">
        <f>vlookup("927-050000-100",B:AZ,column(ab1),0)*e32</f>
        <v>0</v>
      </c>
      <c r="AD32">
        <f>vlookup("927-050000-100",B:AZ,column(ac1),0)*e32</f>
        <v>0</v>
      </c>
      <c r="AE32">
        <f>vlookup("927-050000-100",B:AZ,column(ad1),0)*e32</f>
        <v>0</v>
      </c>
      <c r="AF32">
        <f>vlookup("927-050000-100",B:AZ,column(ae1),0)*e32</f>
        <v>0</v>
      </c>
      <c r="AG32">
        <f>vlookup("927-050000-100",B:AZ,column(af1),0)*e32</f>
        <v>0</v>
      </c>
      <c r="AH32">
        <f>vlookup("927-050000-100",B:AZ,column(ag1),0)*e32</f>
        <v>0</v>
      </c>
      <c r="AI32">
        <f>vlookup("927-050000-100",B:AZ,column(ah1),0)*e32</f>
        <v>0</v>
      </c>
      <c r="AJ32">
        <f>vlookup("927-050000-100",B:AZ,column(ai1),0)*e32</f>
        <v>0</v>
      </c>
      <c r="AK32">
        <f>vlookup("927-050000-100",B:AZ,column(aj1),0)*e32</f>
        <v>0</v>
      </c>
      <c r="AL32">
        <f>vlookup("927-050000-100",B:AZ,column(ak1),0)*e32</f>
        <v>0</v>
      </c>
      <c r="AM32">
        <f>vlookup("927-050000-100",B:AZ,column(al1),0)*e32</f>
        <v>0</v>
      </c>
      <c r="AN32">
        <f>vlookup("927-050000-100",B:AZ,column(am1),0)*e32</f>
        <v>0</v>
      </c>
      <c r="AO32">
        <f>vlookup("927-050000-100",B:AZ,column(an1),0)*e32</f>
        <v>0</v>
      </c>
    </row>
    <row r="33" spans="1:41">
      <c r="A33" t="s">
        <v>41</v>
      </c>
      <c r="B33" t="s">
        <v>49</v>
      </c>
      <c r="C33" t="s">
        <v>50</v>
      </c>
      <c r="E33">
        <v>0.17</v>
      </c>
      <c r="F33" t="s">
        <v>13</v>
      </c>
      <c r="I33" t="s">
        <v>15</v>
      </c>
      <c r="J33">
        <f>vlookup("927-050000-100",B:AZ,column(i1),0)*e33</f>
        <v>0</v>
      </c>
      <c r="K33">
        <f>vlookup("927-050000-100",B:AZ,column(j1),0)*e33</f>
        <v>0</v>
      </c>
      <c r="L33">
        <f>vlookup("927-050000-100",B:AZ,column(k1),0)*e33</f>
        <v>0</v>
      </c>
      <c r="M33">
        <f>vlookup("927-050000-100",B:AZ,column(l1),0)*e33</f>
        <v>0</v>
      </c>
      <c r="N33">
        <f>vlookup("927-050000-100",B:AZ,column(m1),0)*e33</f>
        <v>0</v>
      </c>
      <c r="O33">
        <f>vlookup("927-050000-100",B:AZ,column(n1),0)*e33</f>
        <v>0</v>
      </c>
      <c r="P33">
        <f>vlookup("927-050000-100",B:AZ,column(o1),0)*e33</f>
        <v>0</v>
      </c>
      <c r="Q33">
        <f>vlookup("927-050000-100",B:AZ,column(p1),0)*e33</f>
        <v>0</v>
      </c>
      <c r="R33">
        <f>vlookup("927-050000-100",B:AZ,column(q1),0)*e33</f>
        <v>0</v>
      </c>
      <c r="S33">
        <f>vlookup("927-050000-100",B:AZ,column(r1),0)*e33</f>
        <v>0</v>
      </c>
      <c r="T33">
        <f>vlookup("927-050000-100",B:AZ,column(s1),0)*e33</f>
        <v>0</v>
      </c>
      <c r="U33">
        <f>vlookup("927-050000-100",B:AZ,column(t1),0)*e33</f>
        <v>0</v>
      </c>
      <c r="V33">
        <f>vlookup("927-050000-100",B:AZ,column(u1),0)*e33</f>
        <v>0</v>
      </c>
      <c r="W33">
        <f>vlookup("927-050000-100",B:AZ,column(v1),0)*e33</f>
        <v>0</v>
      </c>
      <c r="X33">
        <f>vlookup("927-050000-100",B:AZ,column(w1),0)*e33</f>
        <v>0</v>
      </c>
      <c r="Y33">
        <f>vlookup("927-050000-100",B:AZ,column(x1),0)*e33</f>
        <v>0</v>
      </c>
      <c r="Z33">
        <f>vlookup("927-050000-100",B:AZ,column(y1),0)*e33</f>
        <v>0</v>
      </c>
      <c r="AA33">
        <f>vlookup("927-050000-100",B:AZ,column(z1),0)*e33</f>
        <v>0</v>
      </c>
      <c r="AB33">
        <f>vlookup("927-050000-100",B:AZ,column(aa1),0)*e33</f>
        <v>0</v>
      </c>
      <c r="AC33">
        <f>vlookup("927-050000-100",B:AZ,column(ab1),0)*e33</f>
        <v>0</v>
      </c>
      <c r="AD33">
        <f>vlookup("927-050000-100",B:AZ,column(ac1),0)*e33</f>
        <v>0</v>
      </c>
      <c r="AE33">
        <f>vlookup("927-050000-100",B:AZ,column(ad1),0)*e33</f>
        <v>0</v>
      </c>
      <c r="AF33">
        <f>vlookup("927-050000-100",B:AZ,column(ae1),0)*e33</f>
        <v>0</v>
      </c>
      <c r="AG33">
        <f>vlookup("927-050000-100",B:AZ,column(af1),0)*e33</f>
        <v>0</v>
      </c>
      <c r="AH33">
        <f>vlookup("927-050000-100",B:AZ,column(ag1),0)*e33</f>
        <v>0</v>
      </c>
      <c r="AI33">
        <f>vlookup("927-050000-100",B:AZ,column(ah1),0)*e33</f>
        <v>0</v>
      </c>
      <c r="AJ33">
        <f>vlookup("927-050000-100",B:AZ,column(ai1),0)*e33</f>
        <v>0</v>
      </c>
      <c r="AK33">
        <f>vlookup("927-050000-100",B:AZ,column(aj1),0)*e33</f>
        <v>0</v>
      </c>
      <c r="AL33">
        <f>vlookup("927-050000-100",B:AZ,column(ak1),0)*e33</f>
        <v>0</v>
      </c>
      <c r="AM33">
        <f>vlookup("927-050000-100",B:AZ,column(al1),0)*e33</f>
        <v>0</v>
      </c>
      <c r="AN33">
        <f>vlookup("927-050000-100",B:AZ,column(am1),0)*e33</f>
        <v>0</v>
      </c>
      <c r="AO33">
        <f>vlookup("927-050000-100",B:AZ,column(an1),0)*e33</f>
        <v>0</v>
      </c>
    </row>
    <row r="34" spans="1:41">
      <c r="A34" t="s">
        <v>43</v>
      </c>
      <c r="B34" t="s">
        <v>49</v>
      </c>
      <c r="C34" t="s">
        <v>50</v>
      </c>
      <c r="E34">
        <v>0.17</v>
      </c>
      <c r="F34" t="s">
        <v>13</v>
      </c>
      <c r="I34" t="s">
        <v>15</v>
      </c>
      <c r="J34">
        <f>vlookup("927-050000-100",B:AZ,column(i1),0)*e34</f>
        <v>0</v>
      </c>
      <c r="K34">
        <f>vlookup("927-050000-100",B:AZ,column(j1),0)*e34</f>
        <v>0</v>
      </c>
      <c r="L34">
        <f>vlookup("927-050000-100",B:AZ,column(k1),0)*e34</f>
        <v>0</v>
      </c>
      <c r="M34">
        <f>vlookup("927-050000-100",B:AZ,column(l1),0)*e34</f>
        <v>0</v>
      </c>
      <c r="N34">
        <f>vlookup("927-050000-100",B:AZ,column(m1),0)*e34</f>
        <v>0</v>
      </c>
      <c r="O34">
        <f>vlookup("927-050000-100",B:AZ,column(n1),0)*e34</f>
        <v>0</v>
      </c>
      <c r="P34">
        <f>vlookup("927-050000-100",B:AZ,column(o1),0)*e34</f>
        <v>0</v>
      </c>
      <c r="Q34">
        <f>vlookup("927-050000-100",B:AZ,column(p1),0)*e34</f>
        <v>0</v>
      </c>
      <c r="R34">
        <f>vlookup("927-050000-100",B:AZ,column(q1),0)*e34</f>
        <v>0</v>
      </c>
      <c r="S34">
        <f>vlookup("927-050000-100",B:AZ,column(r1),0)*e34</f>
        <v>0</v>
      </c>
      <c r="T34">
        <f>vlookup("927-050000-100",B:AZ,column(s1),0)*e34</f>
        <v>0</v>
      </c>
      <c r="U34">
        <f>vlookup("927-050000-100",B:AZ,column(t1),0)*e34</f>
        <v>0</v>
      </c>
      <c r="V34">
        <f>vlookup("927-050000-100",B:AZ,column(u1),0)*e34</f>
        <v>0</v>
      </c>
      <c r="W34">
        <f>vlookup("927-050000-100",B:AZ,column(v1),0)*e34</f>
        <v>0</v>
      </c>
      <c r="X34">
        <f>vlookup("927-050000-100",B:AZ,column(w1),0)*e34</f>
        <v>0</v>
      </c>
      <c r="Y34">
        <f>vlookup("927-050000-100",B:AZ,column(x1),0)*e34</f>
        <v>0</v>
      </c>
      <c r="Z34">
        <f>vlookup("927-050000-100",B:AZ,column(y1),0)*e34</f>
        <v>0</v>
      </c>
      <c r="AA34">
        <f>vlookup("927-050000-100",B:AZ,column(z1),0)*e34</f>
        <v>0</v>
      </c>
      <c r="AB34">
        <f>vlookup("927-050000-100",B:AZ,column(aa1),0)*e34</f>
        <v>0</v>
      </c>
      <c r="AC34">
        <f>vlookup("927-050000-100",B:AZ,column(ab1),0)*e34</f>
        <v>0</v>
      </c>
      <c r="AD34">
        <f>vlookup("927-050000-100",B:AZ,column(ac1),0)*e34</f>
        <v>0</v>
      </c>
      <c r="AE34">
        <f>vlookup("927-050000-100",B:AZ,column(ad1),0)*e34</f>
        <v>0</v>
      </c>
      <c r="AF34">
        <f>vlookup("927-050000-100",B:AZ,column(ae1),0)*e34</f>
        <v>0</v>
      </c>
      <c r="AG34">
        <f>vlookup("927-050000-100",B:AZ,column(af1),0)*e34</f>
        <v>0</v>
      </c>
      <c r="AH34">
        <f>vlookup("927-050000-100",B:AZ,column(ag1),0)*e34</f>
        <v>0</v>
      </c>
      <c r="AI34">
        <f>vlookup("927-050000-100",B:AZ,column(ah1),0)*e34</f>
        <v>0</v>
      </c>
      <c r="AJ34">
        <f>vlookup("927-050000-100",B:AZ,column(ai1),0)*e34</f>
        <v>0</v>
      </c>
      <c r="AK34">
        <f>vlookup("927-050000-100",B:AZ,column(aj1),0)*e34</f>
        <v>0</v>
      </c>
      <c r="AL34">
        <f>vlookup("927-050000-100",B:AZ,column(ak1),0)*e34</f>
        <v>0</v>
      </c>
      <c r="AM34">
        <f>vlookup("927-050000-100",B:AZ,column(al1),0)*e34</f>
        <v>0</v>
      </c>
      <c r="AN34">
        <f>vlookup("927-050000-100",B:AZ,column(am1),0)*e34</f>
        <v>0</v>
      </c>
      <c r="AO34">
        <f>vlookup("927-050000-100",B:AZ,column(an1),0)*e34</f>
        <v>0</v>
      </c>
    </row>
    <row r="35" spans="1:41">
      <c r="A35" t="s">
        <v>10</v>
      </c>
      <c r="B35" t="s">
        <v>51</v>
      </c>
      <c r="C35" t="s">
        <v>52</v>
      </c>
      <c r="E35">
        <v>1</v>
      </c>
      <c r="F35" t="s">
        <v>13</v>
      </c>
      <c r="I35" t="s">
        <v>14</v>
      </c>
      <c r="AO35">
        <f>sum(j35:an35)</f>
        <v>0</v>
      </c>
    </row>
    <row r="36" spans="1:41">
      <c r="I36" t="s">
        <v>15</v>
      </c>
      <c r="J36">
        <f>vlookup("927-054000-200",Out!B:AZ,column(i1),0)</f>
        <v>0</v>
      </c>
      <c r="K36">
        <f>vlookup("927-054000-200",Out!B:AZ,column(j1),0)</f>
        <v>0</v>
      </c>
      <c r="L36">
        <f>vlookup("927-054000-200",Out!B:AZ,column(k1),0)</f>
        <v>0</v>
      </c>
      <c r="M36">
        <f>vlookup("927-054000-200",Out!B:AZ,column(l1),0)</f>
        <v>0</v>
      </c>
      <c r="N36">
        <f>vlookup("927-054000-200",Out!B:AZ,column(m1),0)</f>
        <v>0</v>
      </c>
      <c r="O36">
        <f>vlookup("927-054000-200",Out!B:AZ,column(n1),0)</f>
        <v>0</v>
      </c>
      <c r="P36">
        <f>vlookup("927-054000-200",Out!B:AZ,column(o1),0)</f>
        <v>0</v>
      </c>
      <c r="Q36">
        <f>vlookup("927-054000-200",Out!B:AZ,column(p1),0)</f>
        <v>0</v>
      </c>
      <c r="R36">
        <f>vlookup("927-054000-200",Out!B:AZ,column(q1),0)</f>
        <v>0</v>
      </c>
      <c r="S36">
        <f>vlookup("927-054000-200",Out!B:AZ,column(r1),0)</f>
        <v>0</v>
      </c>
      <c r="T36">
        <f>vlookup("927-054000-200",Out!B:AZ,column(s1),0)</f>
        <v>0</v>
      </c>
      <c r="U36">
        <f>vlookup("927-054000-200",Out!B:AZ,column(t1),0)</f>
        <v>0</v>
      </c>
      <c r="V36">
        <f>vlookup("927-054000-200",Out!B:AZ,column(u1),0)</f>
        <v>0</v>
      </c>
      <c r="W36">
        <f>vlookup("927-054000-200",Out!B:AZ,column(v1),0)</f>
        <v>0</v>
      </c>
      <c r="X36">
        <f>vlookup("927-054000-200",Out!B:AZ,column(w1),0)</f>
        <v>0</v>
      </c>
      <c r="Y36">
        <f>vlookup("927-054000-200",Out!B:AZ,column(x1),0)</f>
        <v>0</v>
      </c>
      <c r="Z36">
        <f>vlookup("927-054000-200",Out!B:AZ,column(y1),0)</f>
        <v>0</v>
      </c>
      <c r="AA36">
        <f>vlookup("927-054000-200",Out!B:AZ,column(z1),0)</f>
        <v>0</v>
      </c>
      <c r="AB36">
        <f>vlookup("927-054000-200",Out!B:AZ,column(aa1),0)</f>
        <v>0</v>
      </c>
      <c r="AC36">
        <f>vlookup("927-054000-200",Out!B:AZ,column(ab1),0)</f>
        <v>0</v>
      </c>
      <c r="AD36">
        <f>vlookup("927-054000-200",Out!B:AZ,column(ac1),0)</f>
        <v>0</v>
      </c>
      <c r="AE36">
        <f>vlookup("927-054000-200",Out!B:AZ,column(ad1),0)</f>
        <v>0</v>
      </c>
      <c r="AF36">
        <f>vlookup("927-054000-200",Out!B:AZ,column(ae1),0)</f>
        <v>0</v>
      </c>
      <c r="AG36">
        <f>vlookup("927-054000-200",Out!B:AZ,column(af1),0)</f>
        <v>0</v>
      </c>
      <c r="AH36">
        <f>vlookup("927-054000-200",Out!B:AZ,column(ag1),0)</f>
        <v>0</v>
      </c>
      <c r="AI36">
        <f>vlookup("927-054000-200",Out!B:AZ,column(ah1),0)</f>
        <v>0</v>
      </c>
      <c r="AJ36">
        <f>vlookup("927-054000-200",Out!B:AZ,column(ai1),0)</f>
        <v>0</v>
      </c>
      <c r="AK36">
        <f>vlookup("927-054000-200",Out!B:AZ,column(aj1),0)</f>
        <v>0</v>
      </c>
      <c r="AL36">
        <f>vlookup("927-054000-200",Out!B:AZ,column(ak1),0)</f>
        <v>0</v>
      </c>
      <c r="AM36">
        <f>vlookup("927-054000-200",Out!B:AZ,column(al1),0)</f>
        <v>0</v>
      </c>
      <c r="AN36">
        <f>vlookup("927-054000-200",Out!B:AZ,column(am1),0)</f>
        <v>0</v>
      </c>
      <c r="AO36">
        <f>vlookup("927-054000-200",Out!B:AZ,column(an1),0)</f>
        <v>0</v>
      </c>
    </row>
    <row r="37" spans="1:41">
      <c r="H37" t="s">
        <v>16</v>
      </c>
      <c r="J37">
        <f>indirect(address(37,9))+indirect(address(35,10))-indirect(address(36,10))</f>
        <v>0</v>
      </c>
      <c r="K37">
        <f>indirect(address(37,10))+indirect(address(35,11))-indirect(address(36,11))</f>
        <v>0</v>
      </c>
      <c r="L37">
        <f>indirect(address(37,11))+indirect(address(35,12))-indirect(address(36,12))</f>
        <v>0</v>
      </c>
      <c r="M37">
        <f>indirect(address(37,12))+indirect(address(35,13))-indirect(address(36,13))</f>
        <v>0</v>
      </c>
      <c r="N37">
        <f>indirect(address(37,13))+indirect(address(35,14))-indirect(address(36,14))</f>
        <v>0</v>
      </c>
      <c r="O37">
        <f>indirect(address(37,14))+indirect(address(35,15))-indirect(address(36,15))</f>
        <v>0</v>
      </c>
      <c r="P37">
        <f>indirect(address(37,15))+indirect(address(35,16))-indirect(address(36,16))</f>
        <v>0</v>
      </c>
      <c r="Q37">
        <f>indirect(address(37,16))+indirect(address(35,17))-indirect(address(36,17))</f>
        <v>0</v>
      </c>
      <c r="R37">
        <f>indirect(address(37,17))+indirect(address(35,18))-indirect(address(36,18))</f>
        <v>0</v>
      </c>
      <c r="S37">
        <f>indirect(address(37,18))+indirect(address(35,19))-indirect(address(36,19))</f>
        <v>0</v>
      </c>
      <c r="T37">
        <f>indirect(address(37,19))+indirect(address(35,20))-indirect(address(36,20))</f>
        <v>0</v>
      </c>
      <c r="U37">
        <f>indirect(address(37,20))+indirect(address(35,21))-indirect(address(36,21))</f>
        <v>0</v>
      </c>
      <c r="V37">
        <f>indirect(address(37,21))+indirect(address(35,22))-indirect(address(36,22))</f>
        <v>0</v>
      </c>
      <c r="W37">
        <f>indirect(address(37,22))+indirect(address(35,23))-indirect(address(36,23))</f>
        <v>0</v>
      </c>
      <c r="X37">
        <f>indirect(address(37,23))+indirect(address(35,24))-indirect(address(36,24))</f>
        <v>0</v>
      </c>
      <c r="Y37">
        <f>indirect(address(37,24))+indirect(address(35,25))-indirect(address(36,25))</f>
        <v>0</v>
      </c>
      <c r="Z37">
        <f>indirect(address(37,25))+indirect(address(35,26))-indirect(address(36,26))</f>
        <v>0</v>
      </c>
      <c r="AA37">
        <f>indirect(address(37,26))+indirect(address(35,27))-indirect(address(36,27))</f>
        <v>0</v>
      </c>
      <c r="AB37">
        <f>indirect(address(37,27))+indirect(address(35,28))-indirect(address(36,28))</f>
        <v>0</v>
      </c>
      <c r="AC37">
        <f>indirect(address(37,28))+indirect(address(35,29))-indirect(address(36,29))</f>
        <v>0</v>
      </c>
      <c r="AD37">
        <f>indirect(address(37,29))+indirect(address(35,30))-indirect(address(36,30))</f>
        <v>0</v>
      </c>
      <c r="AE37">
        <f>indirect(address(37,30))+indirect(address(35,31))-indirect(address(36,31))</f>
        <v>0</v>
      </c>
      <c r="AF37">
        <f>indirect(address(37,31))+indirect(address(35,32))-indirect(address(36,32))</f>
        <v>0</v>
      </c>
      <c r="AG37">
        <f>indirect(address(37,32))+indirect(address(35,33))-indirect(address(36,33))</f>
        <v>0</v>
      </c>
      <c r="AH37">
        <f>indirect(address(37,33))+indirect(address(35,34))-indirect(address(36,34))</f>
        <v>0</v>
      </c>
      <c r="AI37">
        <f>indirect(address(37,34))+indirect(address(35,35))-indirect(address(36,35))</f>
        <v>0</v>
      </c>
      <c r="AJ37">
        <f>indirect(address(37,35))+indirect(address(35,36))-indirect(address(36,36))</f>
        <v>0</v>
      </c>
      <c r="AK37">
        <f>indirect(address(37,36))+indirect(address(35,37))-indirect(address(36,37))</f>
        <v>0</v>
      </c>
      <c r="AL37">
        <f>indirect(address(37,37))+indirect(address(35,38))-indirect(address(36,38))</f>
        <v>0</v>
      </c>
      <c r="AM37">
        <f>indirect(address(37,38))+indirect(address(35,39))-indirect(address(36,39))</f>
        <v>0</v>
      </c>
      <c r="AN37">
        <f>indirect(address(37,39))+indirect(address(35,40))-indirect(address(36,40))</f>
        <v>0</v>
      </c>
      <c r="AO37">
        <f>indirect(address(37,40))</f>
        <v>0</v>
      </c>
    </row>
    <row r="38" spans="1:41">
      <c r="A38" t="s">
        <v>17</v>
      </c>
      <c r="B38" t="s">
        <v>53</v>
      </c>
      <c r="C38" t="s">
        <v>54</v>
      </c>
      <c r="E38">
        <v>1</v>
      </c>
      <c r="F38" t="s">
        <v>13</v>
      </c>
      <c r="I38" t="s">
        <v>15</v>
      </c>
      <c r="J38">
        <f>vlookup("927-054000-200",B:AZ,column(i1),0)*e38</f>
        <v>0</v>
      </c>
      <c r="K38">
        <f>vlookup("927-054000-200",B:AZ,column(j1),0)*e38</f>
        <v>0</v>
      </c>
      <c r="L38">
        <f>vlookup("927-054000-200",B:AZ,column(k1),0)*e38</f>
        <v>0</v>
      </c>
      <c r="M38">
        <f>vlookup("927-054000-200",B:AZ,column(l1),0)*e38</f>
        <v>0</v>
      </c>
      <c r="N38">
        <f>vlookup("927-054000-200",B:AZ,column(m1),0)*e38</f>
        <v>0</v>
      </c>
      <c r="O38">
        <f>vlookup("927-054000-200",B:AZ,column(n1),0)*e38</f>
        <v>0</v>
      </c>
      <c r="P38">
        <f>vlookup("927-054000-200",B:AZ,column(o1),0)*e38</f>
        <v>0</v>
      </c>
      <c r="Q38">
        <f>vlookup("927-054000-200",B:AZ,column(p1),0)*e38</f>
        <v>0</v>
      </c>
      <c r="R38">
        <f>vlookup("927-054000-200",B:AZ,column(q1),0)*e38</f>
        <v>0</v>
      </c>
      <c r="S38">
        <f>vlookup("927-054000-200",B:AZ,column(r1),0)*e38</f>
        <v>0</v>
      </c>
      <c r="T38">
        <f>vlookup("927-054000-200",B:AZ,column(s1),0)*e38</f>
        <v>0</v>
      </c>
      <c r="U38">
        <f>vlookup("927-054000-200",B:AZ,column(t1),0)*e38</f>
        <v>0</v>
      </c>
      <c r="V38">
        <f>vlookup("927-054000-200",B:AZ,column(u1),0)*e38</f>
        <v>0</v>
      </c>
      <c r="W38">
        <f>vlookup("927-054000-200",B:AZ,column(v1),0)*e38</f>
        <v>0</v>
      </c>
      <c r="X38">
        <f>vlookup("927-054000-200",B:AZ,column(w1),0)*e38</f>
        <v>0</v>
      </c>
      <c r="Y38">
        <f>vlookup("927-054000-200",B:AZ,column(x1),0)*e38</f>
        <v>0</v>
      </c>
      <c r="Z38">
        <f>vlookup("927-054000-200",B:AZ,column(y1),0)*e38</f>
        <v>0</v>
      </c>
      <c r="AA38">
        <f>vlookup("927-054000-200",B:AZ,column(z1),0)*e38</f>
        <v>0</v>
      </c>
      <c r="AB38">
        <f>vlookup("927-054000-200",B:AZ,column(aa1),0)*e38</f>
        <v>0</v>
      </c>
      <c r="AC38">
        <f>vlookup("927-054000-200",B:AZ,column(ab1),0)*e38</f>
        <v>0</v>
      </c>
      <c r="AD38">
        <f>vlookup("927-054000-200",B:AZ,column(ac1),0)*e38</f>
        <v>0</v>
      </c>
      <c r="AE38">
        <f>vlookup("927-054000-200",B:AZ,column(ad1),0)*e38</f>
        <v>0</v>
      </c>
      <c r="AF38">
        <f>vlookup("927-054000-200",B:AZ,column(ae1),0)*e38</f>
        <v>0</v>
      </c>
      <c r="AG38">
        <f>vlookup("927-054000-200",B:AZ,column(af1),0)*e38</f>
        <v>0</v>
      </c>
      <c r="AH38">
        <f>vlookup("927-054000-200",B:AZ,column(ag1),0)*e38</f>
        <v>0</v>
      </c>
      <c r="AI38">
        <f>vlookup("927-054000-200",B:AZ,column(ah1),0)*e38</f>
        <v>0</v>
      </c>
      <c r="AJ38">
        <f>vlookup("927-054000-200",B:AZ,column(ai1),0)*e38</f>
        <v>0</v>
      </c>
      <c r="AK38">
        <f>vlookup("927-054000-200",B:AZ,column(aj1),0)*e38</f>
        <v>0</v>
      </c>
      <c r="AL38">
        <f>vlookup("927-054000-200",B:AZ,column(ak1),0)*e38</f>
        <v>0</v>
      </c>
      <c r="AM38">
        <f>vlookup("927-054000-200",B:AZ,column(al1),0)*e38</f>
        <v>0</v>
      </c>
      <c r="AN38">
        <f>vlookup("927-054000-200",B:AZ,column(am1),0)*e38</f>
        <v>0</v>
      </c>
      <c r="AO38">
        <f>vlookup("927-054000-200",B:AZ,column(an1),0)*e38</f>
        <v>0</v>
      </c>
    </row>
    <row r="39" spans="1:41">
      <c r="A39" t="s">
        <v>17</v>
      </c>
      <c r="B39" t="s">
        <v>55</v>
      </c>
      <c r="C39" t="s">
        <v>56</v>
      </c>
      <c r="E39">
        <v>4</v>
      </c>
      <c r="F39" t="s">
        <v>13</v>
      </c>
      <c r="I39" t="s">
        <v>15</v>
      </c>
      <c r="J39">
        <f>vlookup("927-054000-200",B:AZ,column(i1),0)*e39</f>
        <v>0</v>
      </c>
      <c r="K39">
        <f>vlookup("927-054000-200",B:AZ,column(j1),0)*e39</f>
        <v>0</v>
      </c>
      <c r="L39">
        <f>vlookup("927-054000-200",B:AZ,column(k1),0)*e39</f>
        <v>0</v>
      </c>
      <c r="M39">
        <f>vlookup("927-054000-200",B:AZ,column(l1),0)*e39</f>
        <v>0</v>
      </c>
      <c r="N39">
        <f>vlookup("927-054000-200",B:AZ,column(m1),0)*e39</f>
        <v>0</v>
      </c>
      <c r="O39">
        <f>vlookup("927-054000-200",B:AZ,column(n1),0)*e39</f>
        <v>0</v>
      </c>
      <c r="P39">
        <f>vlookup("927-054000-200",B:AZ,column(o1),0)*e39</f>
        <v>0</v>
      </c>
      <c r="Q39">
        <f>vlookup("927-054000-200",B:AZ,column(p1),0)*e39</f>
        <v>0</v>
      </c>
      <c r="R39">
        <f>vlookup("927-054000-200",B:AZ,column(q1),0)*e39</f>
        <v>0</v>
      </c>
      <c r="S39">
        <f>vlookup("927-054000-200",B:AZ,column(r1),0)*e39</f>
        <v>0</v>
      </c>
      <c r="T39">
        <f>vlookup("927-054000-200",B:AZ,column(s1),0)*e39</f>
        <v>0</v>
      </c>
      <c r="U39">
        <f>vlookup("927-054000-200",B:AZ,column(t1),0)*e39</f>
        <v>0</v>
      </c>
      <c r="V39">
        <f>vlookup("927-054000-200",B:AZ,column(u1),0)*e39</f>
        <v>0</v>
      </c>
      <c r="W39">
        <f>vlookup("927-054000-200",B:AZ,column(v1),0)*e39</f>
        <v>0</v>
      </c>
      <c r="X39">
        <f>vlookup("927-054000-200",B:AZ,column(w1),0)*e39</f>
        <v>0</v>
      </c>
      <c r="Y39">
        <f>vlookup("927-054000-200",B:AZ,column(x1),0)*e39</f>
        <v>0</v>
      </c>
      <c r="Z39">
        <f>vlookup("927-054000-200",B:AZ,column(y1),0)*e39</f>
        <v>0</v>
      </c>
      <c r="AA39">
        <f>vlookup("927-054000-200",B:AZ,column(z1),0)*e39</f>
        <v>0</v>
      </c>
      <c r="AB39">
        <f>vlookup("927-054000-200",B:AZ,column(aa1),0)*e39</f>
        <v>0</v>
      </c>
      <c r="AC39">
        <f>vlookup("927-054000-200",B:AZ,column(ab1),0)*e39</f>
        <v>0</v>
      </c>
      <c r="AD39">
        <f>vlookup("927-054000-200",B:AZ,column(ac1),0)*e39</f>
        <v>0</v>
      </c>
      <c r="AE39">
        <f>vlookup("927-054000-200",B:AZ,column(ad1),0)*e39</f>
        <v>0</v>
      </c>
      <c r="AF39">
        <f>vlookup("927-054000-200",B:AZ,column(ae1),0)*e39</f>
        <v>0</v>
      </c>
      <c r="AG39">
        <f>vlookup("927-054000-200",B:AZ,column(af1),0)*e39</f>
        <v>0</v>
      </c>
      <c r="AH39">
        <f>vlookup("927-054000-200",B:AZ,column(ag1),0)*e39</f>
        <v>0</v>
      </c>
      <c r="AI39">
        <f>vlookup("927-054000-200",B:AZ,column(ah1),0)*e39</f>
        <v>0</v>
      </c>
      <c r="AJ39">
        <f>vlookup("927-054000-200",B:AZ,column(ai1),0)*e39</f>
        <v>0</v>
      </c>
      <c r="AK39">
        <f>vlookup("927-054000-200",B:AZ,column(aj1),0)*e39</f>
        <v>0</v>
      </c>
      <c r="AL39">
        <f>vlookup("927-054000-200",B:AZ,column(ak1),0)*e39</f>
        <v>0</v>
      </c>
      <c r="AM39">
        <f>vlookup("927-054000-200",B:AZ,column(al1),0)*e39</f>
        <v>0</v>
      </c>
      <c r="AN39">
        <f>vlookup("927-054000-200",B:AZ,column(am1),0)*e39</f>
        <v>0</v>
      </c>
      <c r="AO39">
        <f>vlookup("927-054000-200",B:AZ,column(an1),0)*e39</f>
        <v>0</v>
      </c>
    </row>
    <row r="40" spans="1:41">
      <c r="A40" t="s">
        <v>17</v>
      </c>
      <c r="B40" t="s">
        <v>57</v>
      </c>
      <c r="C40" t="s">
        <v>58</v>
      </c>
      <c r="E40">
        <v>1</v>
      </c>
      <c r="F40" t="s">
        <v>13</v>
      </c>
      <c r="I40" t="s">
        <v>15</v>
      </c>
      <c r="J40">
        <f>vlookup("927-054000-200",B:AZ,column(i1),0)*e40</f>
        <v>0</v>
      </c>
      <c r="K40">
        <f>vlookup("927-054000-200",B:AZ,column(j1),0)*e40</f>
        <v>0</v>
      </c>
      <c r="L40">
        <f>vlookup("927-054000-200",B:AZ,column(k1),0)*e40</f>
        <v>0</v>
      </c>
      <c r="M40">
        <f>vlookup("927-054000-200",B:AZ,column(l1),0)*e40</f>
        <v>0</v>
      </c>
      <c r="N40">
        <f>vlookup("927-054000-200",B:AZ,column(m1),0)*e40</f>
        <v>0</v>
      </c>
      <c r="O40">
        <f>vlookup("927-054000-200",B:AZ,column(n1),0)*e40</f>
        <v>0</v>
      </c>
      <c r="P40">
        <f>vlookup("927-054000-200",B:AZ,column(o1),0)*e40</f>
        <v>0</v>
      </c>
      <c r="Q40">
        <f>vlookup("927-054000-200",B:AZ,column(p1),0)*e40</f>
        <v>0</v>
      </c>
      <c r="R40">
        <f>vlookup("927-054000-200",B:AZ,column(q1),0)*e40</f>
        <v>0</v>
      </c>
      <c r="S40">
        <f>vlookup("927-054000-200",B:AZ,column(r1),0)*e40</f>
        <v>0</v>
      </c>
      <c r="T40">
        <f>vlookup("927-054000-200",B:AZ,column(s1),0)*e40</f>
        <v>0</v>
      </c>
      <c r="U40">
        <f>vlookup("927-054000-200",B:AZ,column(t1),0)*e40</f>
        <v>0</v>
      </c>
      <c r="V40">
        <f>vlookup("927-054000-200",B:AZ,column(u1),0)*e40</f>
        <v>0</v>
      </c>
      <c r="W40">
        <f>vlookup("927-054000-200",B:AZ,column(v1),0)*e40</f>
        <v>0</v>
      </c>
      <c r="X40">
        <f>vlookup("927-054000-200",B:AZ,column(w1),0)*e40</f>
        <v>0</v>
      </c>
      <c r="Y40">
        <f>vlookup("927-054000-200",B:AZ,column(x1),0)*e40</f>
        <v>0</v>
      </c>
      <c r="Z40">
        <f>vlookup("927-054000-200",B:AZ,column(y1),0)*e40</f>
        <v>0</v>
      </c>
      <c r="AA40">
        <f>vlookup("927-054000-200",B:AZ,column(z1),0)*e40</f>
        <v>0</v>
      </c>
      <c r="AB40">
        <f>vlookup("927-054000-200",B:AZ,column(aa1),0)*e40</f>
        <v>0</v>
      </c>
      <c r="AC40">
        <f>vlookup("927-054000-200",B:AZ,column(ab1),0)*e40</f>
        <v>0</v>
      </c>
      <c r="AD40">
        <f>vlookup("927-054000-200",B:AZ,column(ac1),0)*e40</f>
        <v>0</v>
      </c>
      <c r="AE40">
        <f>vlookup("927-054000-200",B:AZ,column(ad1),0)*e40</f>
        <v>0</v>
      </c>
      <c r="AF40">
        <f>vlookup("927-054000-200",B:AZ,column(ae1),0)*e40</f>
        <v>0</v>
      </c>
      <c r="AG40">
        <f>vlookup("927-054000-200",B:AZ,column(af1),0)*e40</f>
        <v>0</v>
      </c>
      <c r="AH40">
        <f>vlookup("927-054000-200",B:AZ,column(ag1),0)*e40</f>
        <v>0</v>
      </c>
      <c r="AI40">
        <f>vlookup("927-054000-200",B:AZ,column(ah1),0)*e40</f>
        <v>0</v>
      </c>
      <c r="AJ40">
        <f>vlookup("927-054000-200",B:AZ,column(ai1),0)*e40</f>
        <v>0</v>
      </c>
      <c r="AK40">
        <f>vlookup("927-054000-200",B:AZ,column(aj1),0)*e40</f>
        <v>0</v>
      </c>
      <c r="AL40">
        <f>vlookup("927-054000-200",B:AZ,column(ak1),0)*e40</f>
        <v>0</v>
      </c>
      <c r="AM40">
        <f>vlookup("927-054000-200",B:AZ,column(al1),0)*e40</f>
        <v>0</v>
      </c>
      <c r="AN40">
        <f>vlookup("927-054000-200",B:AZ,column(am1),0)*e40</f>
        <v>0</v>
      </c>
      <c r="AO40">
        <f>vlookup("927-054000-200",B:AZ,column(an1),0)*e40</f>
        <v>0</v>
      </c>
    </row>
    <row r="41" spans="1:41">
      <c r="A41" t="s">
        <v>22</v>
      </c>
      <c r="B41" t="s">
        <v>59</v>
      </c>
      <c r="C41" t="s">
        <v>60</v>
      </c>
      <c r="E41">
        <v>1</v>
      </c>
      <c r="F41" t="s">
        <v>13</v>
      </c>
      <c r="I41" t="s">
        <v>15</v>
      </c>
      <c r="J41">
        <f>vlookup("927-054000-200",B:AZ,column(i1),0)*e41</f>
        <v>0</v>
      </c>
      <c r="K41">
        <f>vlookup("927-054000-200",B:AZ,column(j1),0)*e41</f>
        <v>0</v>
      </c>
      <c r="L41">
        <f>vlookup("927-054000-200",B:AZ,column(k1),0)*e41</f>
        <v>0</v>
      </c>
      <c r="M41">
        <f>vlookup("927-054000-200",B:AZ,column(l1),0)*e41</f>
        <v>0</v>
      </c>
      <c r="N41">
        <f>vlookup("927-054000-200",B:AZ,column(m1),0)*e41</f>
        <v>0</v>
      </c>
      <c r="O41">
        <f>vlookup("927-054000-200",B:AZ,column(n1),0)*e41</f>
        <v>0</v>
      </c>
      <c r="P41">
        <f>vlookup("927-054000-200",B:AZ,column(o1),0)*e41</f>
        <v>0</v>
      </c>
      <c r="Q41">
        <f>vlookup("927-054000-200",B:AZ,column(p1),0)*e41</f>
        <v>0</v>
      </c>
      <c r="R41">
        <f>vlookup("927-054000-200",B:AZ,column(q1),0)*e41</f>
        <v>0</v>
      </c>
      <c r="S41">
        <f>vlookup("927-054000-200",B:AZ,column(r1),0)*e41</f>
        <v>0</v>
      </c>
      <c r="T41">
        <f>vlookup("927-054000-200",B:AZ,column(s1),0)*e41</f>
        <v>0</v>
      </c>
      <c r="U41">
        <f>vlookup("927-054000-200",B:AZ,column(t1),0)*e41</f>
        <v>0</v>
      </c>
      <c r="V41">
        <f>vlookup("927-054000-200",B:AZ,column(u1),0)*e41</f>
        <v>0</v>
      </c>
      <c r="W41">
        <f>vlookup("927-054000-200",B:AZ,column(v1),0)*e41</f>
        <v>0</v>
      </c>
      <c r="X41">
        <f>vlookup("927-054000-200",B:AZ,column(w1),0)*e41</f>
        <v>0</v>
      </c>
      <c r="Y41">
        <f>vlookup("927-054000-200",B:AZ,column(x1),0)*e41</f>
        <v>0</v>
      </c>
      <c r="Z41">
        <f>vlookup("927-054000-200",B:AZ,column(y1),0)*e41</f>
        <v>0</v>
      </c>
      <c r="AA41">
        <f>vlookup("927-054000-200",B:AZ,column(z1),0)*e41</f>
        <v>0</v>
      </c>
      <c r="AB41">
        <f>vlookup("927-054000-200",B:AZ,column(aa1),0)*e41</f>
        <v>0</v>
      </c>
      <c r="AC41">
        <f>vlookup("927-054000-200",B:AZ,column(ab1),0)*e41</f>
        <v>0</v>
      </c>
      <c r="AD41">
        <f>vlookup("927-054000-200",B:AZ,column(ac1),0)*e41</f>
        <v>0</v>
      </c>
      <c r="AE41">
        <f>vlookup("927-054000-200",B:AZ,column(ad1),0)*e41</f>
        <v>0</v>
      </c>
      <c r="AF41">
        <f>vlookup("927-054000-200",B:AZ,column(ae1),0)*e41</f>
        <v>0</v>
      </c>
      <c r="AG41">
        <f>vlookup("927-054000-200",B:AZ,column(af1),0)*e41</f>
        <v>0</v>
      </c>
      <c r="AH41">
        <f>vlookup("927-054000-200",B:AZ,column(ag1),0)*e41</f>
        <v>0</v>
      </c>
      <c r="AI41">
        <f>vlookup("927-054000-200",B:AZ,column(ah1),0)*e41</f>
        <v>0</v>
      </c>
      <c r="AJ41">
        <f>vlookup("927-054000-200",B:AZ,column(ai1),0)*e41</f>
        <v>0</v>
      </c>
      <c r="AK41">
        <f>vlookup("927-054000-200",B:AZ,column(aj1),0)*e41</f>
        <v>0</v>
      </c>
      <c r="AL41">
        <f>vlookup("927-054000-200",B:AZ,column(ak1),0)*e41</f>
        <v>0</v>
      </c>
      <c r="AM41">
        <f>vlookup("927-054000-200",B:AZ,column(al1),0)*e41</f>
        <v>0</v>
      </c>
      <c r="AN41">
        <f>vlookup("927-054000-200",B:AZ,column(am1),0)*e41</f>
        <v>0</v>
      </c>
      <c r="AO41">
        <f>vlookup("927-054000-200",B:AZ,column(an1),0)*e41</f>
        <v>0</v>
      </c>
    </row>
    <row r="42" spans="1:41">
      <c r="A42" t="s">
        <v>22</v>
      </c>
      <c r="B42" t="s">
        <v>49</v>
      </c>
      <c r="C42" t="s">
        <v>61</v>
      </c>
      <c r="E42">
        <v>1</v>
      </c>
      <c r="F42" t="s">
        <v>13</v>
      </c>
      <c r="I42" t="s">
        <v>15</v>
      </c>
      <c r="J42">
        <f>vlookup("927-054000-200",B:AZ,column(i1),0)*e42</f>
        <v>0</v>
      </c>
      <c r="K42">
        <f>vlookup("927-054000-200",B:AZ,column(j1),0)*e42</f>
        <v>0</v>
      </c>
      <c r="L42">
        <f>vlookup("927-054000-200",B:AZ,column(k1),0)*e42</f>
        <v>0</v>
      </c>
      <c r="M42">
        <f>vlookup("927-054000-200",B:AZ,column(l1),0)*e42</f>
        <v>0</v>
      </c>
      <c r="N42">
        <f>vlookup("927-054000-200",B:AZ,column(m1),0)*e42</f>
        <v>0</v>
      </c>
      <c r="O42">
        <f>vlookup("927-054000-200",B:AZ,column(n1),0)*e42</f>
        <v>0</v>
      </c>
      <c r="P42">
        <f>vlookup("927-054000-200",B:AZ,column(o1),0)*e42</f>
        <v>0</v>
      </c>
      <c r="Q42">
        <f>vlookup("927-054000-200",B:AZ,column(p1),0)*e42</f>
        <v>0</v>
      </c>
      <c r="R42">
        <f>vlookup("927-054000-200",B:AZ,column(q1),0)*e42</f>
        <v>0</v>
      </c>
      <c r="S42">
        <f>vlookup("927-054000-200",B:AZ,column(r1),0)*e42</f>
        <v>0</v>
      </c>
      <c r="T42">
        <f>vlookup("927-054000-200",B:AZ,column(s1),0)*e42</f>
        <v>0</v>
      </c>
      <c r="U42">
        <f>vlookup("927-054000-200",B:AZ,column(t1),0)*e42</f>
        <v>0</v>
      </c>
      <c r="V42">
        <f>vlookup("927-054000-200",B:AZ,column(u1),0)*e42</f>
        <v>0</v>
      </c>
      <c r="W42">
        <f>vlookup("927-054000-200",B:AZ,column(v1),0)*e42</f>
        <v>0</v>
      </c>
      <c r="X42">
        <f>vlookup("927-054000-200",B:AZ,column(w1),0)*e42</f>
        <v>0</v>
      </c>
      <c r="Y42">
        <f>vlookup("927-054000-200",B:AZ,column(x1),0)*e42</f>
        <v>0</v>
      </c>
      <c r="Z42">
        <f>vlookup("927-054000-200",B:AZ,column(y1),0)*e42</f>
        <v>0</v>
      </c>
      <c r="AA42">
        <f>vlookup("927-054000-200",B:AZ,column(z1),0)*e42</f>
        <v>0</v>
      </c>
      <c r="AB42">
        <f>vlookup("927-054000-200",B:AZ,column(aa1),0)*e42</f>
        <v>0</v>
      </c>
      <c r="AC42">
        <f>vlookup("927-054000-200",B:AZ,column(ab1),0)*e42</f>
        <v>0</v>
      </c>
      <c r="AD42">
        <f>vlookup("927-054000-200",B:AZ,column(ac1),0)*e42</f>
        <v>0</v>
      </c>
      <c r="AE42">
        <f>vlookup("927-054000-200",B:AZ,column(ad1),0)*e42</f>
        <v>0</v>
      </c>
      <c r="AF42">
        <f>vlookup("927-054000-200",B:AZ,column(ae1),0)*e42</f>
        <v>0</v>
      </c>
      <c r="AG42">
        <f>vlookup("927-054000-200",B:AZ,column(af1),0)*e42</f>
        <v>0</v>
      </c>
      <c r="AH42">
        <f>vlookup("927-054000-200",B:AZ,column(ag1),0)*e42</f>
        <v>0</v>
      </c>
      <c r="AI42">
        <f>vlookup("927-054000-200",B:AZ,column(ah1),0)*e42</f>
        <v>0</v>
      </c>
      <c r="AJ42">
        <f>vlookup("927-054000-200",B:AZ,column(ai1),0)*e42</f>
        <v>0</v>
      </c>
      <c r="AK42">
        <f>vlookup("927-054000-200",B:AZ,column(aj1),0)*e42</f>
        <v>0</v>
      </c>
      <c r="AL42">
        <f>vlookup("927-054000-200",B:AZ,column(ak1),0)*e42</f>
        <v>0</v>
      </c>
      <c r="AM42">
        <f>vlookup("927-054000-200",B:AZ,column(al1),0)*e42</f>
        <v>0</v>
      </c>
      <c r="AN42">
        <f>vlookup("927-054000-200",B:AZ,column(am1),0)*e42</f>
        <v>0</v>
      </c>
      <c r="AO42">
        <f>vlookup("927-054000-200",B:AZ,column(an1),0)*e42</f>
        <v>0</v>
      </c>
    </row>
    <row r="43" spans="1:41">
      <c r="A43" t="s">
        <v>43</v>
      </c>
      <c r="B43" t="s">
        <v>62</v>
      </c>
      <c r="C43" t="s">
        <v>63</v>
      </c>
      <c r="E43">
        <v>0.17</v>
      </c>
      <c r="F43" t="s">
        <v>13</v>
      </c>
      <c r="I43" t="s">
        <v>15</v>
      </c>
      <c r="J43">
        <f>vlookup("927-054000-200",B:AZ,column(i1),0)*e43</f>
        <v>0</v>
      </c>
      <c r="K43">
        <f>vlookup("927-054000-200",B:AZ,column(j1),0)*e43</f>
        <v>0</v>
      </c>
      <c r="L43">
        <f>vlookup("927-054000-200",B:AZ,column(k1),0)*e43</f>
        <v>0</v>
      </c>
      <c r="M43">
        <f>vlookup("927-054000-200",B:AZ,column(l1),0)*e43</f>
        <v>0</v>
      </c>
      <c r="N43">
        <f>vlookup("927-054000-200",B:AZ,column(m1),0)*e43</f>
        <v>0</v>
      </c>
      <c r="O43">
        <f>vlookup("927-054000-200",B:AZ,column(n1),0)*e43</f>
        <v>0</v>
      </c>
      <c r="P43">
        <f>vlookup("927-054000-200",B:AZ,column(o1),0)*e43</f>
        <v>0</v>
      </c>
      <c r="Q43">
        <f>vlookup("927-054000-200",B:AZ,column(p1),0)*e43</f>
        <v>0</v>
      </c>
      <c r="R43">
        <f>vlookup("927-054000-200",B:AZ,column(q1),0)*e43</f>
        <v>0</v>
      </c>
      <c r="S43">
        <f>vlookup("927-054000-200",B:AZ,column(r1),0)*e43</f>
        <v>0</v>
      </c>
      <c r="T43">
        <f>vlookup("927-054000-200",B:AZ,column(s1),0)*e43</f>
        <v>0</v>
      </c>
      <c r="U43">
        <f>vlookup("927-054000-200",B:AZ,column(t1),0)*e43</f>
        <v>0</v>
      </c>
      <c r="V43">
        <f>vlookup("927-054000-200",B:AZ,column(u1),0)*e43</f>
        <v>0</v>
      </c>
      <c r="W43">
        <f>vlookup("927-054000-200",B:AZ,column(v1),0)*e43</f>
        <v>0</v>
      </c>
      <c r="X43">
        <f>vlookup("927-054000-200",B:AZ,column(w1),0)*e43</f>
        <v>0</v>
      </c>
      <c r="Y43">
        <f>vlookup("927-054000-200",B:AZ,column(x1),0)*e43</f>
        <v>0</v>
      </c>
      <c r="Z43">
        <f>vlookup("927-054000-200",B:AZ,column(y1),0)*e43</f>
        <v>0</v>
      </c>
      <c r="AA43">
        <f>vlookup("927-054000-200",B:AZ,column(z1),0)*e43</f>
        <v>0</v>
      </c>
      <c r="AB43">
        <f>vlookup("927-054000-200",B:AZ,column(aa1),0)*e43</f>
        <v>0</v>
      </c>
      <c r="AC43">
        <f>vlookup("927-054000-200",B:AZ,column(ab1),0)*e43</f>
        <v>0</v>
      </c>
      <c r="AD43">
        <f>vlookup("927-054000-200",B:AZ,column(ac1),0)*e43</f>
        <v>0</v>
      </c>
      <c r="AE43">
        <f>vlookup("927-054000-200",B:AZ,column(ad1),0)*e43</f>
        <v>0</v>
      </c>
      <c r="AF43">
        <f>vlookup("927-054000-200",B:AZ,column(ae1),0)*e43</f>
        <v>0</v>
      </c>
      <c r="AG43">
        <f>vlookup("927-054000-200",B:AZ,column(af1),0)*e43</f>
        <v>0</v>
      </c>
      <c r="AH43">
        <f>vlookup("927-054000-200",B:AZ,column(ag1),0)*e43</f>
        <v>0</v>
      </c>
      <c r="AI43">
        <f>vlookup("927-054000-200",B:AZ,column(ah1),0)*e43</f>
        <v>0</v>
      </c>
      <c r="AJ43">
        <f>vlookup("927-054000-200",B:AZ,column(ai1),0)*e43</f>
        <v>0</v>
      </c>
      <c r="AK43">
        <f>vlookup("927-054000-200",B:AZ,column(aj1),0)*e43</f>
        <v>0</v>
      </c>
      <c r="AL43">
        <f>vlookup("927-054000-200",B:AZ,column(ak1),0)*e43</f>
        <v>0</v>
      </c>
      <c r="AM43">
        <f>vlookup("927-054000-200",B:AZ,column(al1),0)*e43</f>
        <v>0</v>
      </c>
      <c r="AN43">
        <f>vlookup("927-054000-200",B:AZ,column(am1),0)*e43</f>
        <v>0</v>
      </c>
      <c r="AO43">
        <f>vlookup("927-054000-200",B:AZ,column(an1),0)*e43</f>
        <v>0</v>
      </c>
    </row>
    <row r="44" spans="1:41">
      <c r="A44" t="s">
        <v>10</v>
      </c>
      <c r="B44" t="s">
        <v>64</v>
      </c>
      <c r="C44" t="s">
        <v>65</v>
      </c>
      <c r="E44">
        <v>1</v>
      </c>
      <c r="F44" t="s">
        <v>13</v>
      </c>
      <c r="I44" t="s">
        <v>14</v>
      </c>
      <c r="AO44">
        <f>sum(j44:an44)</f>
        <v>0</v>
      </c>
    </row>
    <row r="45" spans="1:41">
      <c r="I45" t="s">
        <v>15</v>
      </c>
      <c r="J45">
        <f>vlookup("925-076888-100",Out!B:AZ,column(i1),0)</f>
        <v>0</v>
      </c>
      <c r="K45">
        <f>vlookup("925-076888-100",Out!B:AZ,column(j1),0)</f>
        <v>0</v>
      </c>
      <c r="L45">
        <f>vlookup("925-076888-100",Out!B:AZ,column(k1),0)</f>
        <v>0</v>
      </c>
      <c r="M45">
        <f>vlookup("925-076888-100",Out!B:AZ,column(l1),0)</f>
        <v>0</v>
      </c>
      <c r="N45">
        <f>vlookup("925-076888-100",Out!B:AZ,column(m1),0)</f>
        <v>0</v>
      </c>
      <c r="O45">
        <f>vlookup("925-076888-100",Out!B:AZ,column(n1),0)</f>
        <v>0</v>
      </c>
      <c r="P45">
        <f>vlookup("925-076888-100",Out!B:AZ,column(o1),0)</f>
        <v>0</v>
      </c>
      <c r="Q45">
        <f>vlookup("925-076888-100",Out!B:AZ,column(p1),0)</f>
        <v>0</v>
      </c>
      <c r="R45">
        <f>vlookup("925-076888-100",Out!B:AZ,column(q1),0)</f>
        <v>0</v>
      </c>
      <c r="S45">
        <f>vlookup("925-076888-100",Out!B:AZ,column(r1),0)</f>
        <v>0</v>
      </c>
      <c r="T45">
        <f>vlookup("925-076888-100",Out!B:AZ,column(s1),0)</f>
        <v>0</v>
      </c>
      <c r="U45">
        <f>vlookup("925-076888-100",Out!B:AZ,column(t1),0)</f>
        <v>0</v>
      </c>
      <c r="V45">
        <f>vlookup("925-076888-100",Out!B:AZ,column(u1),0)</f>
        <v>0</v>
      </c>
      <c r="W45">
        <f>vlookup("925-076888-100",Out!B:AZ,column(v1),0)</f>
        <v>0</v>
      </c>
      <c r="X45">
        <f>vlookup("925-076888-100",Out!B:AZ,column(w1),0)</f>
        <v>0</v>
      </c>
      <c r="Y45">
        <f>vlookup("925-076888-100",Out!B:AZ,column(x1),0)</f>
        <v>0</v>
      </c>
      <c r="Z45">
        <f>vlookup("925-076888-100",Out!B:AZ,column(y1),0)</f>
        <v>0</v>
      </c>
      <c r="AA45">
        <f>vlookup("925-076888-100",Out!B:AZ,column(z1),0)</f>
        <v>0</v>
      </c>
      <c r="AB45">
        <f>vlookup("925-076888-100",Out!B:AZ,column(aa1),0)</f>
        <v>0</v>
      </c>
      <c r="AC45">
        <f>vlookup("925-076888-100",Out!B:AZ,column(ab1),0)</f>
        <v>0</v>
      </c>
      <c r="AD45">
        <f>vlookup("925-076888-100",Out!B:AZ,column(ac1),0)</f>
        <v>0</v>
      </c>
      <c r="AE45">
        <f>vlookup("925-076888-100",Out!B:AZ,column(ad1),0)</f>
        <v>0</v>
      </c>
      <c r="AF45">
        <f>vlookup("925-076888-100",Out!B:AZ,column(ae1),0)</f>
        <v>0</v>
      </c>
      <c r="AG45">
        <f>vlookup("925-076888-100",Out!B:AZ,column(af1),0)</f>
        <v>0</v>
      </c>
      <c r="AH45">
        <f>vlookup("925-076888-100",Out!B:AZ,column(ag1),0)</f>
        <v>0</v>
      </c>
      <c r="AI45">
        <f>vlookup("925-076888-100",Out!B:AZ,column(ah1),0)</f>
        <v>0</v>
      </c>
      <c r="AJ45">
        <f>vlookup("925-076888-100",Out!B:AZ,column(ai1),0)</f>
        <v>0</v>
      </c>
      <c r="AK45">
        <f>vlookup("925-076888-100",Out!B:AZ,column(aj1),0)</f>
        <v>0</v>
      </c>
      <c r="AL45">
        <f>vlookup("925-076888-100",Out!B:AZ,column(ak1),0)</f>
        <v>0</v>
      </c>
      <c r="AM45">
        <f>vlookup("925-076888-100",Out!B:AZ,column(al1),0)</f>
        <v>0</v>
      </c>
      <c r="AN45">
        <f>vlookup("925-076888-100",Out!B:AZ,column(am1),0)</f>
        <v>0</v>
      </c>
      <c r="AO45">
        <f>vlookup("925-076888-100",Out!B:AZ,column(an1),0)</f>
        <v>0</v>
      </c>
    </row>
    <row r="46" spans="1:41">
      <c r="H46" t="s">
        <v>16</v>
      </c>
      <c r="J46">
        <f>indirect(address(46,9))+indirect(address(44,10))-indirect(address(45,10))</f>
        <v>0</v>
      </c>
      <c r="K46">
        <f>indirect(address(46,10))+indirect(address(44,11))-indirect(address(45,11))</f>
        <v>0</v>
      </c>
      <c r="L46">
        <f>indirect(address(46,11))+indirect(address(44,12))-indirect(address(45,12))</f>
        <v>0</v>
      </c>
      <c r="M46">
        <f>indirect(address(46,12))+indirect(address(44,13))-indirect(address(45,13))</f>
        <v>0</v>
      </c>
      <c r="N46">
        <f>indirect(address(46,13))+indirect(address(44,14))-indirect(address(45,14))</f>
        <v>0</v>
      </c>
      <c r="O46">
        <f>indirect(address(46,14))+indirect(address(44,15))-indirect(address(45,15))</f>
        <v>0</v>
      </c>
      <c r="P46">
        <f>indirect(address(46,15))+indirect(address(44,16))-indirect(address(45,16))</f>
        <v>0</v>
      </c>
      <c r="Q46">
        <f>indirect(address(46,16))+indirect(address(44,17))-indirect(address(45,17))</f>
        <v>0</v>
      </c>
      <c r="R46">
        <f>indirect(address(46,17))+indirect(address(44,18))-indirect(address(45,18))</f>
        <v>0</v>
      </c>
      <c r="S46">
        <f>indirect(address(46,18))+indirect(address(44,19))-indirect(address(45,19))</f>
        <v>0</v>
      </c>
      <c r="T46">
        <f>indirect(address(46,19))+indirect(address(44,20))-indirect(address(45,20))</f>
        <v>0</v>
      </c>
      <c r="U46">
        <f>indirect(address(46,20))+indirect(address(44,21))-indirect(address(45,21))</f>
        <v>0</v>
      </c>
      <c r="V46">
        <f>indirect(address(46,21))+indirect(address(44,22))-indirect(address(45,22))</f>
        <v>0</v>
      </c>
      <c r="W46">
        <f>indirect(address(46,22))+indirect(address(44,23))-indirect(address(45,23))</f>
        <v>0</v>
      </c>
      <c r="X46">
        <f>indirect(address(46,23))+indirect(address(44,24))-indirect(address(45,24))</f>
        <v>0</v>
      </c>
      <c r="Y46">
        <f>indirect(address(46,24))+indirect(address(44,25))-indirect(address(45,25))</f>
        <v>0</v>
      </c>
      <c r="Z46">
        <f>indirect(address(46,25))+indirect(address(44,26))-indirect(address(45,26))</f>
        <v>0</v>
      </c>
      <c r="AA46">
        <f>indirect(address(46,26))+indirect(address(44,27))-indirect(address(45,27))</f>
        <v>0</v>
      </c>
      <c r="AB46">
        <f>indirect(address(46,27))+indirect(address(44,28))-indirect(address(45,28))</f>
        <v>0</v>
      </c>
      <c r="AC46">
        <f>indirect(address(46,28))+indirect(address(44,29))-indirect(address(45,29))</f>
        <v>0</v>
      </c>
      <c r="AD46">
        <f>indirect(address(46,29))+indirect(address(44,30))-indirect(address(45,30))</f>
        <v>0</v>
      </c>
      <c r="AE46">
        <f>indirect(address(46,30))+indirect(address(44,31))-indirect(address(45,31))</f>
        <v>0</v>
      </c>
      <c r="AF46">
        <f>indirect(address(46,31))+indirect(address(44,32))-indirect(address(45,32))</f>
        <v>0</v>
      </c>
      <c r="AG46">
        <f>indirect(address(46,32))+indirect(address(44,33))-indirect(address(45,33))</f>
        <v>0</v>
      </c>
      <c r="AH46">
        <f>indirect(address(46,33))+indirect(address(44,34))-indirect(address(45,34))</f>
        <v>0</v>
      </c>
      <c r="AI46">
        <f>indirect(address(46,34))+indirect(address(44,35))-indirect(address(45,35))</f>
        <v>0</v>
      </c>
      <c r="AJ46">
        <f>indirect(address(46,35))+indirect(address(44,36))-indirect(address(45,36))</f>
        <v>0</v>
      </c>
      <c r="AK46">
        <f>indirect(address(46,36))+indirect(address(44,37))-indirect(address(45,37))</f>
        <v>0</v>
      </c>
      <c r="AL46">
        <f>indirect(address(46,37))+indirect(address(44,38))-indirect(address(45,38))</f>
        <v>0</v>
      </c>
      <c r="AM46">
        <f>indirect(address(46,38))+indirect(address(44,39))-indirect(address(45,39))</f>
        <v>0</v>
      </c>
      <c r="AN46">
        <f>indirect(address(46,39))+indirect(address(44,40))-indirect(address(45,40))</f>
        <v>0</v>
      </c>
      <c r="AO46">
        <f>indirect(address(46,40))</f>
        <v>0</v>
      </c>
    </row>
    <row r="47" spans="1:41">
      <c r="A47" t="s">
        <v>17</v>
      </c>
      <c r="B47" t="s">
        <v>66</v>
      </c>
      <c r="C47" t="s">
        <v>67</v>
      </c>
      <c r="E47">
        <v>1</v>
      </c>
      <c r="F47" t="s">
        <v>13</v>
      </c>
      <c r="I47" t="s">
        <v>15</v>
      </c>
      <c r="J47">
        <f>vlookup("925-076888-100",B:AZ,column(i1),0)*e47</f>
        <v>0</v>
      </c>
      <c r="K47">
        <f>vlookup("925-076888-100",B:AZ,column(j1),0)*e47</f>
        <v>0</v>
      </c>
      <c r="L47">
        <f>vlookup("925-076888-100",B:AZ,column(k1),0)*e47</f>
        <v>0</v>
      </c>
      <c r="M47">
        <f>vlookup("925-076888-100",B:AZ,column(l1),0)*e47</f>
        <v>0</v>
      </c>
      <c r="N47">
        <f>vlookup("925-076888-100",B:AZ,column(m1),0)*e47</f>
        <v>0</v>
      </c>
      <c r="O47">
        <f>vlookup("925-076888-100",B:AZ,column(n1),0)*e47</f>
        <v>0</v>
      </c>
      <c r="P47">
        <f>vlookup("925-076888-100",B:AZ,column(o1),0)*e47</f>
        <v>0</v>
      </c>
      <c r="Q47">
        <f>vlookup("925-076888-100",B:AZ,column(p1),0)*e47</f>
        <v>0</v>
      </c>
      <c r="R47">
        <f>vlookup("925-076888-100",B:AZ,column(q1),0)*e47</f>
        <v>0</v>
      </c>
      <c r="S47">
        <f>vlookup("925-076888-100",B:AZ,column(r1),0)*e47</f>
        <v>0</v>
      </c>
      <c r="T47">
        <f>vlookup("925-076888-100",B:AZ,column(s1),0)*e47</f>
        <v>0</v>
      </c>
      <c r="U47">
        <f>vlookup("925-076888-100",B:AZ,column(t1),0)*e47</f>
        <v>0</v>
      </c>
      <c r="V47">
        <f>vlookup("925-076888-100",B:AZ,column(u1),0)*e47</f>
        <v>0</v>
      </c>
      <c r="W47">
        <f>vlookup("925-076888-100",B:AZ,column(v1),0)*e47</f>
        <v>0</v>
      </c>
      <c r="X47">
        <f>vlookup("925-076888-100",B:AZ,column(w1),0)*e47</f>
        <v>0</v>
      </c>
      <c r="Y47">
        <f>vlookup("925-076888-100",B:AZ,column(x1),0)*e47</f>
        <v>0</v>
      </c>
      <c r="Z47">
        <f>vlookup("925-076888-100",B:AZ,column(y1),0)*e47</f>
        <v>0</v>
      </c>
      <c r="AA47">
        <f>vlookup("925-076888-100",B:AZ,column(z1),0)*e47</f>
        <v>0</v>
      </c>
      <c r="AB47">
        <f>vlookup("925-076888-100",B:AZ,column(aa1),0)*e47</f>
        <v>0</v>
      </c>
      <c r="AC47">
        <f>vlookup("925-076888-100",B:AZ,column(ab1),0)*e47</f>
        <v>0</v>
      </c>
      <c r="AD47">
        <f>vlookup("925-076888-100",B:AZ,column(ac1),0)*e47</f>
        <v>0</v>
      </c>
      <c r="AE47">
        <f>vlookup("925-076888-100",B:AZ,column(ad1),0)*e47</f>
        <v>0</v>
      </c>
      <c r="AF47">
        <f>vlookup("925-076888-100",B:AZ,column(ae1),0)*e47</f>
        <v>0</v>
      </c>
      <c r="AG47">
        <f>vlookup("925-076888-100",B:AZ,column(af1),0)*e47</f>
        <v>0</v>
      </c>
      <c r="AH47">
        <f>vlookup("925-076888-100",B:AZ,column(ag1),0)*e47</f>
        <v>0</v>
      </c>
      <c r="AI47">
        <f>vlookup("925-076888-100",B:AZ,column(ah1),0)*e47</f>
        <v>0</v>
      </c>
      <c r="AJ47">
        <f>vlookup("925-076888-100",B:AZ,column(ai1),0)*e47</f>
        <v>0</v>
      </c>
      <c r="AK47">
        <f>vlookup("925-076888-100",B:AZ,column(aj1),0)*e47</f>
        <v>0</v>
      </c>
      <c r="AL47">
        <f>vlookup("925-076888-100",B:AZ,column(ak1),0)*e47</f>
        <v>0</v>
      </c>
      <c r="AM47">
        <f>vlookup("925-076888-100",B:AZ,column(al1),0)*e47</f>
        <v>0</v>
      </c>
      <c r="AN47">
        <f>vlookup("925-076888-100",B:AZ,column(am1),0)*e47</f>
        <v>0</v>
      </c>
      <c r="AO47">
        <f>vlookup("925-076888-100",B:AZ,column(an1),0)*e47</f>
        <v>0</v>
      </c>
    </row>
    <row r="48" spans="1:41">
      <c r="A48" t="s">
        <v>17</v>
      </c>
      <c r="B48" t="s">
        <v>68</v>
      </c>
      <c r="C48" t="s">
        <v>69</v>
      </c>
      <c r="E48">
        <v>1</v>
      </c>
      <c r="F48" t="s">
        <v>13</v>
      </c>
      <c r="I48" t="s">
        <v>15</v>
      </c>
      <c r="J48">
        <f>vlookup("925-076888-100",B:AZ,column(i1),0)*e48</f>
        <v>0</v>
      </c>
      <c r="K48">
        <f>vlookup("925-076888-100",B:AZ,column(j1),0)*e48</f>
        <v>0</v>
      </c>
      <c r="L48">
        <f>vlookup("925-076888-100",B:AZ,column(k1),0)*e48</f>
        <v>0</v>
      </c>
      <c r="M48">
        <f>vlookup("925-076888-100",B:AZ,column(l1),0)*e48</f>
        <v>0</v>
      </c>
      <c r="N48">
        <f>vlookup("925-076888-100",B:AZ,column(m1),0)*e48</f>
        <v>0</v>
      </c>
      <c r="O48">
        <f>vlookup("925-076888-100",B:AZ,column(n1),0)*e48</f>
        <v>0</v>
      </c>
      <c r="P48">
        <f>vlookup("925-076888-100",B:AZ,column(o1),0)*e48</f>
        <v>0</v>
      </c>
      <c r="Q48">
        <f>vlookup("925-076888-100",B:AZ,column(p1),0)*e48</f>
        <v>0</v>
      </c>
      <c r="R48">
        <f>vlookup("925-076888-100",B:AZ,column(q1),0)*e48</f>
        <v>0</v>
      </c>
      <c r="S48">
        <f>vlookup("925-076888-100",B:AZ,column(r1),0)*e48</f>
        <v>0</v>
      </c>
      <c r="T48">
        <f>vlookup("925-076888-100",B:AZ,column(s1),0)*e48</f>
        <v>0</v>
      </c>
      <c r="U48">
        <f>vlookup("925-076888-100",B:AZ,column(t1),0)*e48</f>
        <v>0</v>
      </c>
      <c r="V48">
        <f>vlookup("925-076888-100",B:AZ,column(u1),0)*e48</f>
        <v>0</v>
      </c>
      <c r="W48">
        <f>vlookup("925-076888-100",B:AZ,column(v1),0)*e48</f>
        <v>0</v>
      </c>
      <c r="X48">
        <f>vlookup("925-076888-100",B:AZ,column(w1),0)*e48</f>
        <v>0</v>
      </c>
      <c r="Y48">
        <f>vlookup("925-076888-100",B:AZ,column(x1),0)*e48</f>
        <v>0</v>
      </c>
      <c r="Z48">
        <f>vlookup("925-076888-100",B:AZ,column(y1),0)*e48</f>
        <v>0</v>
      </c>
      <c r="AA48">
        <f>vlookup("925-076888-100",B:AZ,column(z1),0)*e48</f>
        <v>0</v>
      </c>
      <c r="AB48">
        <f>vlookup("925-076888-100",B:AZ,column(aa1),0)*e48</f>
        <v>0</v>
      </c>
      <c r="AC48">
        <f>vlookup("925-076888-100",B:AZ,column(ab1),0)*e48</f>
        <v>0</v>
      </c>
      <c r="AD48">
        <f>vlookup("925-076888-100",B:AZ,column(ac1),0)*e48</f>
        <v>0</v>
      </c>
      <c r="AE48">
        <f>vlookup("925-076888-100",B:AZ,column(ad1),0)*e48</f>
        <v>0</v>
      </c>
      <c r="AF48">
        <f>vlookup("925-076888-100",B:AZ,column(ae1),0)*e48</f>
        <v>0</v>
      </c>
      <c r="AG48">
        <f>vlookup("925-076888-100",B:AZ,column(af1),0)*e48</f>
        <v>0</v>
      </c>
      <c r="AH48">
        <f>vlookup("925-076888-100",B:AZ,column(ag1),0)*e48</f>
        <v>0</v>
      </c>
      <c r="AI48">
        <f>vlookup("925-076888-100",B:AZ,column(ah1),0)*e48</f>
        <v>0</v>
      </c>
      <c r="AJ48">
        <f>vlookup("925-076888-100",B:AZ,column(ai1),0)*e48</f>
        <v>0</v>
      </c>
      <c r="AK48">
        <f>vlookup("925-076888-100",B:AZ,column(aj1),0)*e48</f>
        <v>0</v>
      </c>
      <c r="AL48">
        <f>vlookup("925-076888-100",B:AZ,column(ak1),0)*e48</f>
        <v>0</v>
      </c>
      <c r="AM48">
        <f>vlookup("925-076888-100",B:AZ,column(al1),0)*e48</f>
        <v>0</v>
      </c>
      <c r="AN48">
        <f>vlookup("925-076888-100",B:AZ,column(am1),0)*e48</f>
        <v>0</v>
      </c>
      <c r="AO48">
        <f>vlookup("925-076888-100",B:AZ,column(an1),0)*e48</f>
        <v>0</v>
      </c>
    </row>
    <row r="49" spans="1:41">
      <c r="A49" t="s">
        <v>17</v>
      </c>
      <c r="B49" t="s">
        <v>70</v>
      </c>
      <c r="C49" t="s">
        <v>71</v>
      </c>
      <c r="E49">
        <v>1</v>
      </c>
      <c r="F49" t="s">
        <v>13</v>
      </c>
      <c r="I49" t="s">
        <v>15</v>
      </c>
      <c r="J49">
        <f>vlookup("925-076888-100",B:AZ,column(i1),0)*e49</f>
        <v>0</v>
      </c>
      <c r="K49">
        <f>vlookup("925-076888-100",B:AZ,column(j1),0)*e49</f>
        <v>0</v>
      </c>
      <c r="L49">
        <f>vlookup("925-076888-100",B:AZ,column(k1),0)*e49</f>
        <v>0</v>
      </c>
      <c r="M49">
        <f>vlookup("925-076888-100",B:AZ,column(l1),0)*e49</f>
        <v>0</v>
      </c>
      <c r="N49">
        <f>vlookup("925-076888-100",B:AZ,column(m1),0)*e49</f>
        <v>0</v>
      </c>
      <c r="O49">
        <f>vlookup("925-076888-100",B:AZ,column(n1),0)*e49</f>
        <v>0</v>
      </c>
      <c r="P49">
        <f>vlookup("925-076888-100",B:AZ,column(o1),0)*e49</f>
        <v>0</v>
      </c>
      <c r="Q49">
        <f>vlookup("925-076888-100",B:AZ,column(p1),0)*e49</f>
        <v>0</v>
      </c>
      <c r="R49">
        <f>vlookup("925-076888-100",B:AZ,column(q1),0)*e49</f>
        <v>0</v>
      </c>
      <c r="S49">
        <f>vlookup("925-076888-100",B:AZ,column(r1),0)*e49</f>
        <v>0</v>
      </c>
      <c r="T49">
        <f>vlookup("925-076888-100",B:AZ,column(s1),0)*e49</f>
        <v>0</v>
      </c>
      <c r="U49">
        <f>vlookup("925-076888-100",B:AZ,column(t1),0)*e49</f>
        <v>0</v>
      </c>
      <c r="V49">
        <f>vlookup("925-076888-100",B:AZ,column(u1),0)*e49</f>
        <v>0</v>
      </c>
      <c r="W49">
        <f>vlookup("925-076888-100",B:AZ,column(v1),0)*e49</f>
        <v>0</v>
      </c>
      <c r="X49">
        <f>vlookup("925-076888-100",B:AZ,column(w1),0)*e49</f>
        <v>0</v>
      </c>
      <c r="Y49">
        <f>vlookup("925-076888-100",B:AZ,column(x1),0)*e49</f>
        <v>0</v>
      </c>
      <c r="Z49">
        <f>vlookup("925-076888-100",B:AZ,column(y1),0)*e49</f>
        <v>0</v>
      </c>
      <c r="AA49">
        <f>vlookup("925-076888-100",B:AZ,column(z1),0)*e49</f>
        <v>0</v>
      </c>
      <c r="AB49">
        <f>vlookup("925-076888-100",B:AZ,column(aa1),0)*e49</f>
        <v>0</v>
      </c>
      <c r="AC49">
        <f>vlookup("925-076888-100",B:AZ,column(ab1),0)*e49</f>
        <v>0</v>
      </c>
      <c r="AD49">
        <f>vlookup("925-076888-100",B:AZ,column(ac1),0)*e49</f>
        <v>0</v>
      </c>
      <c r="AE49">
        <f>vlookup("925-076888-100",B:AZ,column(ad1),0)*e49</f>
        <v>0</v>
      </c>
      <c r="AF49">
        <f>vlookup("925-076888-100",B:AZ,column(ae1),0)*e49</f>
        <v>0</v>
      </c>
      <c r="AG49">
        <f>vlookup("925-076888-100",B:AZ,column(af1),0)*e49</f>
        <v>0</v>
      </c>
      <c r="AH49">
        <f>vlookup("925-076888-100",B:AZ,column(ag1),0)*e49</f>
        <v>0</v>
      </c>
      <c r="AI49">
        <f>vlookup("925-076888-100",B:AZ,column(ah1),0)*e49</f>
        <v>0</v>
      </c>
      <c r="AJ49">
        <f>vlookup("925-076888-100",B:AZ,column(ai1),0)*e49</f>
        <v>0</v>
      </c>
      <c r="AK49">
        <f>vlookup("925-076888-100",B:AZ,column(aj1),0)*e49</f>
        <v>0</v>
      </c>
      <c r="AL49">
        <f>vlookup("925-076888-100",B:AZ,column(ak1),0)*e49</f>
        <v>0</v>
      </c>
      <c r="AM49">
        <f>vlookup("925-076888-100",B:AZ,column(al1),0)*e49</f>
        <v>0</v>
      </c>
      <c r="AN49">
        <f>vlookup("925-076888-100",B:AZ,column(am1),0)*e49</f>
        <v>0</v>
      </c>
      <c r="AO49">
        <f>vlookup("925-076888-100",B:AZ,column(an1),0)*e49</f>
        <v>0</v>
      </c>
    </row>
    <row r="50" spans="1:41">
      <c r="A50" t="s">
        <v>17</v>
      </c>
      <c r="B50" t="s">
        <v>72</v>
      </c>
      <c r="C50" t="s">
        <v>73</v>
      </c>
      <c r="E50">
        <v>1</v>
      </c>
      <c r="F50" t="s">
        <v>13</v>
      </c>
      <c r="I50" t="s">
        <v>15</v>
      </c>
      <c r="J50">
        <f>vlookup("925-076888-100",B:AZ,column(i1),0)*e50</f>
        <v>0</v>
      </c>
      <c r="K50">
        <f>vlookup("925-076888-100",B:AZ,column(j1),0)*e50</f>
        <v>0</v>
      </c>
      <c r="L50">
        <f>vlookup("925-076888-100",B:AZ,column(k1),0)*e50</f>
        <v>0</v>
      </c>
      <c r="M50">
        <f>vlookup("925-076888-100",B:AZ,column(l1),0)*e50</f>
        <v>0</v>
      </c>
      <c r="N50">
        <f>vlookup("925-076888-100",B:AZ,column(m1),0)*e50</f>
        <v>0</v>
      </c>
      <c r="O50">
        <f>vlookup("925-076888-100",B:AZ,column(n1),0)*e50</f>
        <v>0</v>
      </c>
      <c r="P50">
        <f>vlookup("925-076888-100",B:AZ,column(o1),0)*e50</f>
        <v>0</v>
      </c>
      <c r="Q50">
        <f>vlookup("925-076888-100",B:AZ,column(p1),0)*e50</f>
        <v>0</v>
      </c>
      <c r="R50">
        <f>vlookup("925-076888-100",B:AZ,column(q1),0)*e50</f>
        <v>0</v>
      </c>
      <c r="S50">
        <f>vlookup("925-076888-100",B:AZ,column(r1),0)*e50</f>
        <v>0</v>
      </c>
      <c r="T50">
        <f>vlookup("925-076888-100",B:AZ,column(s1),0)*e50</f>
        <v>0</v>
      </c>
      <c r="U50">
        <f>vlookup("925-076888-100",B:AZ,column(t1),0)*e50</f>
        <v>0</v>
      </c>
      <c r="V50">
        <f>vlookup("925-076888-100",B:AZ,column(u1),0)*e50</f>
        <v>0</v>
      </c>
      <c r="W50">
        <f>vlookup("925-076888-100",B:AZ,column(v1),0)*e50</f>
        <v>0</v>
      </c>
      <c r="X50">
        <f>vlookup("925-076888-100",B:AZ,column(w1),0)*e50</f>
        <v>0</v>
      </c>
      <c r="Y50">
        <f>vlookup("925-076888-100",B:AZ,column(x1),0)*e50</f>
        <v>0</v>
      </c>
      <c r="Z50">
        <f>vlookup("925-076888-100",B:AZ,column(y1),0)*e50</f>
        <v>0</v>
      </c>
      <c r="AA50">
        <f>vlookup("925-076888-100",B:AZ,column(z1),0)*e50</f>
        <v>0</v>
      </c>
      <c r="AB50">
        <f>vlookup("925-076888-100",B:AZ,column(aa1),0)*e50</f>
        <v>0</v>
      </c>
      <c r="AC50">
        <f>vlookup("925-076888-100",B:AZ,column(ab1),0)*e50</f>
        <v>0</v>
      </c>
      <c r="AD50">
        <f>vlookup("925-076888-100",B:AZ,column(ac1),0)*e50</f>
        <v>0</v>
      </c>
      <c r="AE50">
        <f>vlookup("925-076888-100",B:AZ,column(ad1),0)*e50</f>
        <v>0</v>
      </c>
      <c r="AF50">
        <f>vlookup("925-076888-100",B:AZ,column(ae1),0)*e50</f>
        <v>0</v>
      </c>
      <c r="AG50">
        <f>vlookup("925-076888-100",B:AZ,column(af1),0)*e50</f>
        <v>0</v>
      </c>
      <c r="AH50">
        <f>vlookup("925-076888-100",B:AZ,column(ag1),0)*e50</f>
        <v>0</v>
      </c>
      <c r="AI50">
        <f>vlookup("925-076888-100",B:AZ,column(ah1),0)*e50</f>
        <v>0</v>
      </c>
      <c r="AJ50">
        <f>vlookup("925-076888-100",B:AZ,column(ai1),0)*e50</f>
        <v>0</v>
      </c>
      <c r="AK50">
        <f>vlookup("925-076888-100",B:AZ,column(aj1),0)*e50</f>
        <v>0</v>
      </c>
      <c r="AL50">
        <f>vlookup("925-076888-100",B:AZ,column(ak1),0)*e50</f>
        <v>0</v>
      </c>
      <c r="AM50">
        <f>vlookup("925-076888-100",B:AZ,column(al1),0)*e50</f>
        <v>0</v>
      </c>
      <c r="AN50">
        <f>vlookup("925-076888-100",B:AZ,column(am1),0)*e50</f>
        <v>0</v>
      </c>
      <c r="AO50">
        <f>vlookup("925-076888-100",B:AZ,column(an1),0)*e50</f>
        <v>0</v>
      </c>
    </row>
    <row r="51" spans="1:41">
      <c r="A51" t="s">
        <v>22</v>
      </c>
      <c r="B51" t="s">
        <v>74</v>
      </c>
      <c r="C51" t="s">
        <v>75</v>
      </c>
      <c r="E51">
        <v>4</v>
      </c>
      <c r="F51" t="s">
        <v>13</v>
      </c>
      <c r="I51" t="s">
        <v>15</v>
      </c>
      <c r="J51">
        <f>vlookup("925-076888-100",B:AZ,column(i1),0)*e51</f>
        <v>0</v>
      </c>
      <c r="K51">
        <f>vlookup("925-076888-100",B:AZ,column(j1),0)*e51</f>
        <v>0</v>
      </c>
      <c r="L51">
        <f>vlookup("925-076888-100",B:AZ,column(k1),0)*e51</f>
        <v>0</v>
      </c>
      <c r="M51">
        <f>vlookup("925-076888-100",B:AZ,column(l1),0)*e51</f>
        <v>0</v>
      </c>
      <c r="N51">
        <f>vlookup("925-076888-100",B:AZ,column(m1),0)*e51</f>
        <v>0</v>
      </c>
      <c r="O51">
        <f>vlookup("925-076888-100",B:AZ,column(n1),0)*e51</f>
        <v>0</v>
      </c>
      <c r="P51">
        <f>vlookup("925-076888-100",B:AZ,column(o1),0)*e51</f>
        <v>0</v>
      </c>
      <c r="Q51">
        <f>vlookup("925-076888-100",B:AZ,column(p1),0)*e51</f>
        <v>0</v>
      </c>
      <c r="R51">
        <f>vlookup("925-076888-100",B:AZ,column(q1),0)*e51</f>
        <v>0</v>
      </c>
      <c r="S51">
        <f>vlookup("925-076888-100",B:AZ,column(r1),0)*e51</f>
        <v>0</v>
      </c>
      <c r="T51">
        <f>vlookup("925-076888-100",B:AZ,column(s1),0)*e51</f>
        <v>0</v>
      </c>
      <c r="U51">
        <f>vlookup("925-076888-100",B:AZ,column(t1),0)*e51</f>
        <v>0</v>
      </c>
      <c r="V51">
        <f>vlookup("925-076888-100",B:AZ,column(u1),0)*e51</f>
        <v>0</v>
      </c>
      <c r="W51">
        <f>vlookup("925-076888-100",B:AZ,column(v1),0)*e51</f>
        <v>0</v>
      </c>
      <c r="X51">
        <f>vlookup("925-076888-100",B:AZ,column(w1),0)*e51</f>
        <v>0</v>
      </c>
      <c r="Y51">
        <f>vlookup("925-076888-100",B:AZ,column(x1),0)*e51</f>
        <v>0</v>
      </c>
      <c r="Z51">
        <f>vlookup("925-076888-100",B:AZ,column(y1),0)*e51</f>
        <v>0</v>
      </c>
      <c r="AA51">
        <f>vlookup("925-076888-100",B:AZ,column(z1),0)*e51</f>
        <v>0</v>
      </c>
      <c r="AB51">
        <f>vlookup("925-076888-100",B:AZ,column(aa1),0)*e51</f>
        <v>0</v>
      </c>
      <c r="AC51">
        <f>vlookup("925-076888-100",B:AZ,column(ab1),0)*e51</f>
        <v>0</v>
      </c>
      <c r="AD51">
        <f>vlookup("925-076888-100",B:AZ,column(ac1),0)*e51</f>
        <v>0</v>
      </c>
      <c r="AE51">
        <f>vlookup("925-076888-100",B:AZ,column(ad1),0)*e51</f>
        <v>0</v>
      </c>
      <c r="AF51">
        <f>vlookup("925-076888-100",B:AZ,column(ae1),0)*e51</f>
        <v>0</v>
      </c>
      <c r="AG51">
        <f>vlookup("925-076888-100",B:AZ,column(af1),0)*e51</f>
        <v>0</v>
      </c>
      <c r="AH51">
        <f>vlookup("925-076888-100",B:AZ,column(ag1),0)*e51</f>
        <v>0</v>
      </c>
      <c r="AI51">
        <f>vlookup("925-076888-100",B:AZ,column(ah1),0)*e51</f>
        <v>0</v>
      </c>
      <c r="AJ51">
        <f>vlookup("925-076888-100",B:AZ,column(ai1),0)*e51</f>
        <v>0</v>
      </c>
      <c r="AK51">
        <f>vlookup("925-076888-100",B:AZ,column(aj1),0)*e51</f>
        <v>0</v>
      </c>
      <c r="AL51">
        <f>vlookup("925-076888-100",B:AZ,column(ak1),0)*e51</f>
        <v>0</v>
      </c>
      <c r="AM51">
        <f>vlookup("925-076888-100",B:AZ,column(al1),0)*e51</f>
        <v>0</v>
      </c>
      <c r="AN51">
        <f>vlookup("925-076888-100",B:AZ,column(am1),0)*e51</f>
        <v>0</v>
      </c>
      <c r="AO51">
        <f>vlookup("925-076888-100",B:AZ,column(an1),0)*e51</f>
        <v>0</v>
      </c>
    </row>
    <row r="52" spans="1:41">
      <c r="A52" t="s">
        <v>22</v>
      </c>
      <c r="B52" t="s">
        <v>76</v>
      </c>
      <c r="C52" t="s">
        <v>77</v>
      </c>
      <c r="E52">
        <v>1</v>
      </c>
      <c r="F52" t="s">
        <v>13</v>
      </c>
      <c r="I52" t="s">
        <v>15</v>
      </c>
      <c r="J52">
        <f>vlookup("925-076888-100",B:AZ,column(i1),0)*e52</f>
        <v>0</v>
      </c>
      <c r="K52">
        <f>vlookup("925-076888-100",B:AZ,column(j1),0)*e52</f>
        <v>0</v>
      </c>
      <c r="L52">
        <f>vlookup("925-076888-100",B:AZ,column(k1),0)*e52</f>
        <v>0</v>
      </c>
      <c r="M52">
        <f>vlookup("925-076888-100",B:AZ,column(l1),0)*e52</f>
        <v>0</v>
      </c>
      <c r="N52">
        <f>vlookup("925-076888-100",B:AZ,column(m1),0)*e52</f>
        <v>0</v>
      </c>
      <c r="O52">
        <f>vlookup("925-076888-100",B:AZ,column(n1),0)*e52</f>
        <v>0</v>
      </c>
      <c r="P52">
        <f>vlookup("925-076888-100",B:AZ,column(o1),0)*e52</f>
        <v>0</v>
      </c>
      <c r="Q52">
        <f>vlookup("925-076888-100",B:AZ,column(p1),0)*e52</f>
        <v>0</v>
      </c>
      <c r="R52">
        <f>vlookup("925-076888-100",B:AZ,column(q1),0)*e52</f>
        <v>0</v>
      </c>
      <c r="S52">
        <f>vlookup("925-076888-100",B:AZ,column(r1),0)*e52</f>
        <v>0</v>
      </c>
      <c r="T52">
        <f>vlookup("925-076888-100",B:AZ,column(s1),0)*e52</f>
        <v>0</v>
      </c>
      <c r="U52">
        <f>vlookup("925-076888-100",B:AZ,column(t1),0)*e52</f>
        <v>0</v>
      </c>
      <c r="V52">
        <f>vlookup("925-076888-100",B:AZ,column(u1),0)*e52</f>
        <v>0</v>
      </c>
      <c r="W52">
        <f>vlookup("925-076888-100",B:AZ,column(v1),0)*e52</f>
        <v>0</v>
      </c>
      <c r="X52">
        <f>vlookup("925-076888-100",B:AZ,column(w1),0)*e52</f>
        <v>0</v>
      </c>
      <c r="Y52">
        <f>vlookup("925-076888-100",B:AZ,column(x1),0)*e52</f>
        <v>0</v>
      </c>
      <c r="Z52">
        <f>vlookup("925-076888-100",B:AZ,column(y1),0)*e52</f>
        <v>0</v>
      </c>
      <c r="AA52">
        <f>vlookup("925-076888-100",B:AZ,column(z1),0)*e52</f>
        <v>0</v>
      </c>
      <c r="AB52">
        <f>vlookup("925-076888-100",B:AZ,column(aa1),0)*e52</f>
        <v>0</v>
      </c>
      <c r="AC52">
        <f>vlookup("925-076888-100",B:AZ,column(ab1),0)*e52</f>
        <v>0</v>
      </c>
      <c r="AD52">
        <f>vlookup("925-076888-100",B:AZ,column(ac1),0)*e52</f>
        <v>0</v>
      </c>
      <c r="AE52">
        <f>vlookup("925-076888-100",B:AZ,column(ad1),0)*e52</f>
        <v>0</v>
      </c>
      <c r="AF52">
        <f>vlookup("925-076888-100",B:AZ,column(ae1),0)*e52</f>
        <v>0</v>
      </c>
      <c r="AG52">
        <f>vlookup("925-076888-100",B:AZ,column(af1),0)*e52</f>
        <v>0</v>
      </c>
      <c r="AH52">
        <f>vlookup("925-076888-100",B:AZ,column(ag1),0)*e52</f>
        <v>0</v>
      </c>
      <c r="AI52">
        <f>vlookup("925-076888-100",B:AZ,column(ah1),0)*e52</f>
        <v>0</v>
      </c>
      <c r="AJ52">
        <f>vlookup("925-076888-100",B:AZ,column(ai1),0)*e52</f>
        <v>0</v>
      </c>
      <c r="AK52">
        <f>vlookup("925-076888-100",B:AZ,column(aj1),0)*e52</f>
        <v>0</v>
      </c>
      <c r="AL52">
        <f>vlookup("925-076888-100",B:AZ,column(ak1),0)*e52</f>
        <v>0</v>
      </c>
      <c r="AM52">
        <f>vlookup("925-076888-100",B:AZ,column(al1),0)*e52</f>
        <v>0</v>
      </c>
      <c r="AN52">
        <f>vlookup("925-076888-100",B:AZ,column(am1),0)*e52</f>
        <v>0</v>
      </c>
      <c r="AO52">
        <f>vlookup("925-076888-100",B:AZ,column(an1),0)*e52</f>
        <v>0</v>
      </c>
    </row>
    <row r="53" spans="1:41">
      <c r="A53" t="s">
        <v>43</v>
      </c>
      <c r="B53" t="s">
        <v>76</v>
      </c>
      <c r="C53" t="s">
        <v>43</v>
      </c>
      <c r="E53">
        <v>0.03</v>
      </c>
      <c r="F53" t="s">
        <v>13</v>
      </c>
      <c r="I53" t="s">
        <v>15</v>
      </c>
      <c r="J53">
        <f>vlookup("925-076888-100",B:AZ,column(i1),0)*e53</f>
        <v>0</v>
      </c>
      <c r="K53">
        <f>vlookup("925-076888-100",B:AZ,column(j1),0)*e53</f>
        <v>0</v>
      </c>
      <c r="L53">
        <f>vlookup("925-076888-100",B:AZ,column(k1),0)*e53</f>
        <v>0</v>
      </c>
      <c r="M53">
        <f>vlookup("925-076888-100",B:AZ,column(l1),0)*e53</f>
        <v>0</v>
      </c>
      <c r="N53">
        <f>vlookup("925-076888-100",B:AZ,column(m1),0)*e53</f>
        <v>0</v>
      </c>
      <c r="O53">
        <f>vlookup("925-076888-100",B:AZ,column(n1),0)*e53</f>
        <v>0</v>
      </c>
      <c r="P53">
        <f>vlookup("925-076888-100",B:AZ,column(o1),0)*e53</f>
        <v>0</v>
      </c>
      <c r="Q53">
        <f>vlookup("925-076888-100",B:AZ,column(p1),0)*e53</f>
        <v>0</v>
      </c>
      <c r="R53">
        <f>vlookup("925-076888-100",B:AZ,column(q1),0)*e53</f>
        <v>0</v>
      </c>
      <c r="S53">
        <f>vlookup("925-076888-100",B:AZ,column(r1),0)*e53</f>
        <v>0</v>
      </c>
      <c r="T53">
        <f>vlookup("925-076888-100",B:AZ,column(s1),0)*e53</f>
        <v>0</v>
      </c>
      <c r="U53">
        <f>vlookup("925-076888-100",B:AZ,column(t1),0)*e53</f>
        <v>0</v>
      </c>
      <c r="V53">
        <f>vlookup("925-076888-100",B:AZ,column(u1),0)*e53</f>
        <v>0</v>
      </c>
      <c r="W53">
        <f>vlookup("925-076888-100",B:AZ,column(v1),0)*e53</f>
        <v>0</v>
      </c>
      <c r="X53">
        <f>vlookup("925-076888-100",B:AZ,column(w1),0)*e53</f>
        <v>0</v>
      </c>
      <c r="Y53">
        <f>vlookup("925-076888-100",B:AZ,column(x1),0)*e53</f>
        <v>0</v>
      </c>
      <c r="Z53">
        <f>vlookup("925-076888-100",B:AZ,column(y1),0)*e53</f>
        <v>0</v>
      </c>
      <c r="AA53">
        <f>vlookup("925-076888-100",B:AZ,column(z1),0)*e53</f>
        <v>0</v>
      </c>
      <c r="AB53">
        <f>vlookup("925-076888-100",B:AZ,column(aa1),0)*e53</f>
        <v>0</v>
      </c>
      <c r="AC53">
        <f>vlookup("925-076888-100",B:AZ,column(ab1),0)*e53</f>
        <v>0</v>
      </c>
      <c r="AD53">
        <f>vlookup("925-076888-100",B:AZ,column(ac1),0)*e53</f>
        <v>0</v>
      </c>
      <c r="AE53">
        <f>vlookup("925-076888-100",B:AZ,column(ad1),0)*e53</f>
        <v>0</v>
      </c>
      <c r="AF53">
        <f>vlookup("925-076888-100",B:AZ,column(ae1),0)*e53</f>
        <v>0</v>
      </c>
      <c r="AG53">
        <f>vlookup("925-076888-100",B:AZ,column(af1),0)*e53</f>
        <v>0</v>
      </c>
      <c r="AH53">
        <f>vlookup("925-076888-100",B:AZ,column(ag1),0)*e53</f>
        <v>0</v>
      </c>
      <c r="AI53">
        <f>vlookup("925-076888-100",B:AZ,column(ah1),0)*e53</f>
        <v>0</v>
      </c>
      <c r="AJ53">
        <f>vlookup("925-076888-100",B:AZ,column(ai1),0)*e53</f>
        <v>0</v>
      </c>
      <c r="AK53">
        <f>vlookup("925-076888-100",B:AZ,column(aj1),0)*e53</f>
        <v>0</v>
      </c>
      <c r="AL53">
        <f>vlookup("925-076888-100",B:AZ,column(ak1),0)*e53</f>
        <v>0</v>
      </c>
      <c r="AM53">
        <f>vlookup("925-076888-100",B:AZ,column(al1),0)*e53</f>
        <v>0</v>
      </c>
      <c r="AN53">
        <f>vlookup("925-076888-100",B:AZ,column(am1),0)*e53</f>
        <v>0</v>
      </c>
      <c r="AO53">
        <f>vlookup("925-076888-100",B:AZ,column(an1),0)*e53</f>
        <v>0</v>
      </c>
    </row>
    <row r="54" spans="1:41">
      <c r="A54" t="s">
        <v>78</v>
      </c>
      <c r="B54" t="s">
        <v>76</v>
      </c>
      <c r="C54" t="s">
        <v>79</v>
      </c>
      <c r="E54">
        <v>0.03</v>
      </c>
      <c r="F54" t="s">
        <v>13</v>
      </c>
      <c r="I54" t="s">
        <v>15</v>
      </c>
      <c r="J54">
        <f>vlookup("925-076888-100",B:AZ,column(i1),0)*e54</f>
        <v>0</v>
      </c>
      <c r="K54">
        <f>vlookup("925-076888-100",B:AZ,column(j1),0)*e54</f>
        <v>0</v>
      </c>
      <c r="L54">
        <f>vlookup("925-076888-100",B:AZ,column(k1),0)*e54</f>
        <v>0</v>
      </c>
      <c r="M54">
        <f>vlookup("925-076888-100",B:AZ,column(l1),0)*e54</f>
        <v>0</v>
      </c>
      <c r="N54">
        <f>vlookup("925-076888-100",B:AZ,column(m1),0)*e54</f>
        <v>0</v>
      </c>
      <c r="O54">
        <f>vlookup("925-076888-100",B:AZ,column(n1),0)*e54</f>
        <v>0</v>
      </c>
      <c r="P54">
        <f>vlookup("925-076888-100",B:AZ,column(o1),0)*e54</f>
        <v>0</v>
      </c>
      <c r="Q54">
        <f>vlookup("925-076888-100",B:AZ,column(p1),0)*e54</f>
        <v>0</v>
      </c>
      <c r="R54">
        <f>vlookup("925-076888-100",B:AZ,column(q1),0)*e54</f>
        <v>0</v>
      </c>
      <c r="S54">
        <f>vlookup("925-076888-100",B:AZ,column(r1),0)*e54</f>
        <v>0</v>
      </c>
      <c r="T54">
        <f>vlookup("925-076888-100",B:AZ,column(s1),0)*e54</f>
        <v>0</v>
      </c>
      <c r="U54">
        <f>vlookup("925-076888-100",B:AZ,column(t1),0)*e54</f>
        <v>0</v>
      </c>
      <c r="V54">
        <f>vlookup("925-076888-100",B:AZ,column(u1),0)*e54</f>
        <v>0</v>
      </c>
      <c r="W54">
        <f>vlookup("925-076888-100",B:AZ,column(v1),0)*e54</f>
        <v>0</v>
      </c>
      <c r="X54">
        <f>vlookup("925-076888-100",B:AZ,column(w1),0)*e54</f>
        <v>0</v>
      </c>
      <c r="Y54">
        <f>vlookup("925-076888-100",B:AZ,column(x1),0)*e54</f>
        <v>0</v>
      </c>
      <c r="Z54">
        <f>vlookup("925-076888-100",B:AZ,column(y1),0)*e54</f>
        <v>0</v>
      </c>
      <c r="AA54">
        <f>vlookup("925-076888-100",B:AZ,column(z1),0)*e54</f>
        <v>0</v>
      </c>
      <c r="AB54">
        <f>vlookup("925-076888-100",B:AZ,column(aa1),0)*e54</f>
        <v>0</v>
      </c>
      <c r="AC54">
        <f>vlookup("925-076888-100",B:AZ,column(ab1),0)*e54</f>
        <v>0</v>
      </c>
      <c r="AD54">
        <f>vlookup("925-076888-100",B:AZ,column(ac1),0)*e54</f>
        <v>0</v>
      </c>
      <c r="AE54">
        <f>vlookup("925-076888-100",B:AZ,column(ad1),0)*e54</f>
        <v>0</v>
      </c>
      <c r="AF54">
        <f>vlookup("925-076888-100",B:AZ,column(ae1),0)*e54</f>
        <v>0</v>
      </c>
      <c r="AG54">
        <f>vlookup("925-076888-100",B:AZ,column(af1),0)*e54</f>
        <v>0</v>
      </c>
      <c r="AH54">
        <f>vlookup("925-076888-100",B:AZ,column(ag1),0)*e54</f>
        <v>0</v>
      </c>
      <c r="AI54">
        <f>vlookup("925-076888-100",B:AZ,column(ah1),0)*e54</f>
        <v>0</v>
      </c>
      <c r="AJ54">
        <f>vlookup("925-076888-100",B:AZ,column(ai1),0)*e54</f>
        <v>0</v>
      </c>
      <c r="AK54">
        <f>vlookup("925-076888-100",B:AZ,column(aj1),0)*e54</f>
        <v>0</v>
      </c>
      <c r="AL54">
        <f>vlookup("925-076888-100",B:AZ,column(ak1),0)*e54</f>
        <v>0</v>
      </c>
      <c r="AM54">
        <f>vlookup("925-076888-100",B:AZ,column(al1),0)*e54</f>
        <v>0</v>
      </c>
      <c r="AN54">
        <f>vlookup("925-076888-100",B:AZ,column(am1),0)*e54</f>
        <v>0</v>
      </c>
      <c r="AO54">
        <f>vlookup("925-076888-100",B:AZ,column(an1),0)*e54</f>
        <v>0</v>
      </c>
    </row>
    <row r="55" spans="1:41">
      <c r="A55" t="s">
        <v>10</v>
      </c>
      <c r="B55" t="s">
        <v>80</v>
      </c>
      <c r="C55" t="s">
        <v>81</v>
      </c>
      <c r="E55">
        <v>1</v>
      </c>
      <c r="F55" t="s">
        <v>13</v>
      </c>
      <c r="I55" t="s">
        <v>14</v>
      </c>
      <c r="AO55">
        <f>sum(j55:an55)</f>
        <v>0</v>
      </c>
    </row>
    <row r="56" spans="1:41">
      <c r="I56" t="s">
        <v>15</v>
      </c>
      <c r="J56">
        <f>vlookup("927-054000-100",Out!B:AZ,column(i1),0)</f>
        <v>0</v>
      </c>
      <c r="K56">
        <f>vlookup("927-054000-100",Out!B:AZ,column(j1),0)</f>
        <v>0</v>
      </c>
      <c r="L56">
        <f>vlookup("927-054000-100",Out!B:AZ,column(k1),0)</f>
        <v>0</v>
      </c>
      <c r="M56">
        <f>vlookup("927-054000-100",Out!B:AZ,column(l1),0)</f>
        <v>0</v>
      </c>
      <c r="N56">
        <f>vlookup("927-054000-100",Out!B:AZ,column(m1),0)</f>
        <v>0</v>
      </c>
      <c r="O56">
        <f>vlookup("927-054000-100",Out!B:AZ,column(n1),0)</f>
        <v>0</v>
      </c>
      <c r="P56">
        <f>vlookup("927-054000-100",Out!B:AZ,column(o1),0)</f>
        <v>0</v>
      </c>
      <c r="Q56">
        <f>vlookup("927-054000-100",Out!B:AZ,column(p1),0)</f>
        <v>0</v>
      </c>
      <c r="R56">
        <f>vlookup("927-054000-100",Out!B:AZ,column(q1),0)</f>
        <v>0</v>
      </c>
      <c r="S56">
        <f>vlookup("927-054000-100",Out!B:AZ,column(r1),0)</f>
        <v>0</v>
      </c>
      <c r="T56">
        <f>vlookup("927-054000-100",Out!B:AZ,column(s1),0)</f>
        <v>0</v>
      </c>
      <c r="U56">
        <f>vlookup("927-054000-100",Out!B:AZ,column(t1),0)</f>
        <v>0</v>
      </c>
      <c r="V56">
        <f>vlookup("927-054000-100",Out!B:AZ,column(u1),0)</f>
        <v>0</v>
      </c>
      <c r="W56">
        <f>vlookup("927-054000-100",Out!B:AZ,column(v1),0)</f>
        <v>0</v>
      </c>
      <c r="X56">
        <f>vlookup("927-054000-100",Out!B:AZ,column(w1),0)</f>
        <v>0</v>
      </c>
      <c r="Y56">
        <f>vlookup("927-054000-100",Out!B:AZ,column(x1),0)</f>
        <v>0</v>
      </c>
      <c r="Z56">
        <f>vlookup("927-054000-100",Out!B:AZ,column(y1),0)</f>
        <v>0</v>
      </c>
      <c r="AA56">
        <f>vlookup("927-054000-100",Out!B:AZ,column(z1),0)</f>
        <v>0</v>
      </c>
      <c r="AB56">
        <f>vlookup("927-054000-100",Out!B:AZ,column(aa1),0)</f>
        <v>0</v>
      </c>
      <c r="AC56">
        <f>vlookup("927-054000-100",Out!B:AZ,column(ab1),0)</f>
        <v>0</v>
      </c>
      <c r="AD56">
        <f>vlookup("927-054000-100",Out!B:AZ,column(ac1),0)</f>
        <v>0</v>
      </c>
      <c r="AE56">
        <f>vlookup("927-054000-100",Out!B:AZ,column(ad1),0)</f>
        <v>0</v>
      </c>
      <c r="AF56">
        <f>vlookup("927-054000-100",Out!B:AZ,column(ae1),0)</f>
        <v>0</v>
      </c>
      <c r="AG56">
        <f>vlookup("927-054000-100",Out!B:AZ,column(af1),0)</f>
        <v>0</v>
      </c>
      <c r="AH56">
        <f>vlookup("927-054000-100",Out!B:AZ,column(ag1),0)</f>
        <v>0</v>
      </c>
      <c r="AI56">
        <f>vlookup("927-054000-100",Out!B:AZ,column(ah1),0)</f>
        <v>0</v>
      </c>
      <c r="AJ56">
        <f>vlookup("927-054000-100",Out!B:AZ,column(ai1),0)</f>
        <v>0</v>
      </c>
      <c r="AK56">
        <f>vlookup("927-054000-100",Out!B:AZ,column(aj1),0)</f>
        <v>0</v>
      </c>
      <c r="AL56">
        <f>vlookup("927-054000-100",Out!B:AZ,column(ak1),0)</f>
        <v>0</v>
      </c>
      <c r="AM56">
        <f>vlookup("927-054000-100",Out!B:AZ,column(al1),0)</f>
        <v>0</v>
      </c>
      <c r="AN56">
        <f>vlookup("927-054000-100",Out!B:AZ,column(am1),0)</f>
        <v>0</v>
      </c>
      <c r="AO56">
        <f>vlookup("927-054000-100",Out!B:AZ,column(an1),0)</f>
        <v>0</v>
      </c>
    </row>
    <row r="57" spans="1:41">
      <c r="H57" t="s">
        <v>16</v>
      </c>
      <c r="J57">
        <f>indirect(address(57,9))+indirect(address(55,10))-indirect(address(56,10))</f>
        <v>0</v>
      </c>
      <c r="K57">
        <f>indirect(address(57,10))+indirect(address(55,11))-indirect(address(56,11))</f>
        <v>0</v>
      </c>
      <c r="L57">
        <f>indirect(address(57,11))+indirect(address(55,12))-indirect(address(56,12))</f>
        <v>0</v>
      </c>
      <c r="M57">
        <f>indirect(address(57,12))+indirect(address(55,13))-indirect(address(56,13))</f>
        <v>0</v>
      </c>
      <c r="N57">
        <f>indirect(address(57,13))+indirect(address(55,14))-indirect(address(56,14))</f>
        <v>0</v>
      </c>
      <c r="O57">
        <f>indirect(address(57,14))+indirect(address(55,15))-indirect(address(56,15))</f>
        <v>0</v>
      </c>
      <c r="P57">
        <f>indirect(address(57,15))+indirect(address(55,16))-indirect(address(56,16))</f>
        <v>0</v>
      </c>
      <c r="Q57">
        <f>indirect(address(57,16))+indirect(address(55,17))-indirect(address(56,17))</f>
        <v>0</v>
      </c>
      <c r="R57">
        <f>indirect(address(57,17))+indirect(address(55,18))-indirect(address(56,18))</f>
        <v>0</v>
      </c>
      <c r="S57">
        <f>indirect(address(57,18))+indirect(address(55,19))-indirect(address(56,19))</f>
        <v>0</v>
      </c>
      <c r="T57">
        <f>indirect(address(57,19))+indirect(address(55,20))-indirect(address(56,20))</f>
        <v>0</v>
      </c>
      <c r="U57">
        <f>indirect(address(57,20))+indirect(address(55,21))-indirect(address(56,21))</f>
        <v>0</v>
      </c>
      <c r="V57">
        <f>indirect(address(57,21))+indirect(address(55,22))-indirect(address(56,22))</f>
        <v>0</v>
      </c>
      <c r="W57">
        <f>indirect(address(57,22))+indirect(address(55,23))-indirect(address(56,23))</f>
        <v>0</v>
      </c>
      <c r="X57">
        <f>indirect(address(57,23))+indirect(address(55,24))-indirect(address(56,24))</f>
        <v>0</v>
      </c>
      <c r="Y57">
        <f>indirect(address(57,24))+indirect(address(55,25))-indirect(address(56,25))</f>
        <v>0</v>
      </c>
      <c r="Z57">
        <f>indirect(address(57,25))+indirect(address(55,26))-indirect(address(56,26))</f>
        <v>0</v>
      </c>
      <c r="AA57">
        <f>indirect(address(57,26))+indirect(address(55,27))-indirect(address(56,27))</f>
        <v>0</v>
      </c>
      <c r="AB57">
        <f>indirect(address(57,27))+indirect(address(55,28))-indirect(address(56,28))</f>
        <v>0</v>
      </c>
      <c r="AC57">
        <f>indirect(address(57,28))+indirect(address(55,29))-indirect(address(56,29))</f>
        <v>0</v>
      </c>
      <c r="AD57">
        <f>indirect(address(57,29))+indirect(address(55,30))-indirect(address(56,30))</f>
        <v>0</v>
      </c>
      <c r="AE57">
        <f>indirect(address(57,30))+indirect(address(55,31))-indirect(address(56,31))</f>
        <v>0</v>
      </c>
      <c r="AF57">
        <f>indirect(address(57,31))+indirect(address(55,32))-indirect(address(56,32))</f>
        <v>0</v>
      </c>
      <c r="AG57">
        <f>indirect(address(57,32))+indirect(address(55,33))-indirect(address(56,33))</f>
        <v>0</v>
      </c>
      <c r="AH57">
        <f>indirect(address(57,33))+indirect(address(55,34))-indirect(address(56,34))</f>
        <v>0</v>
      </c>
      <c r="AI57">
        <f>indirect(address(57,34))+indirect(address(55,35))-indirect(address(56,35))</f>
        <v>0</v>
      </c>
      <c r="AJ57">
        <f>indirect(address(57,35))+indirect(address(55,36))-indirect(address(56,36))</f>
        <v>0</v>
      </c>
      <c r="AK57">
        <f>indirect(address(57,36))+indirect(address(55,37))-indirect(address(56,37))</f>
        <v>0</v>
      </c>
      <c r="AL57">
        <f>indirect(address(57,37))+indirect(address(55,38))-indirect(address(56,38))</f>
        <v>0</v>
      </c>
      <c r="AM57">
        <f>indirect(address(57,38))+indirect(address(55,39))-indirect(address(56,39))</f>
        <v>0</v>
      </c>
      <c r="AN57">
        <f>indirect(address(57,39))+indirect(address(55,40))-indirect(address(56,40))</f>
        <v>0</v>
      </c>
      <c r="AO57">
        <f>indirect(address(57,40))</f>
        <v>0</v>
      </c>
    </row>
    <row r="58" spans="1:41">
      <c r="A58" t="s">
        <v>17</v>
      </c>
      <c r="B58" t="s">
        <v>82</v>
      </c>
      <c r="C58" t="s">
        <v>83</v>
      </c>
      <c r="E58">
        <v>1</v>
      </c>
      <c r="F58" t="s">
        <v>13</v>
      </c>
      <c r="I58" t="s">
        <v>15</v>
      </c>
      <c r="J58">
        <f>vlookup("927-054000-100",B:AZ,column(i1),0)*e58</f>
        <v>0</v>
      </c>
      <c r="K58">
        <f>vlookup("927-054000-100",B:AZ,column(j1),0)*e58</f>
        <v>0</v>
      </c>
      <c r="L58">
        <f>vlookup("927-054000-100",B:AZ,column(k1),0)*e58</f>
        <v>0</v>
      </c>
      <c r="M58">
        <f>vlookup("927-054000-100",B:AZ,column(l1),0)*e58</f>
        <v>0</v>
      </c>
      <c r="N58">
        <f>vlookup("927-054000-100",B:AZ,column(m1),0)*e58</f>
        <v>0</v>
      </c>
      <c r="O58">
        <f>vlookup("927-054000-100",B:AZ,column(n1),0)*e58</f>
        <v>0</v>
      </c>
      <c r="P58">
        <f>vlookup("927-054000-100",B:AZ,column(o1),0)*e58</f>
        <v>0</v>
      </c>
      <c r="Q58">
        <f>vlookup("927-054000-100",B:AZ,column(p1),0)*e58</f>
        <v>0</v>
      </c>
      <c r="R58">
        <f>vlookup("927-054000-100",B:AZ,column(q1),0)*e58</f>
        <v>0</v>
      </c>
      <c r="S58">
        <f>vlookup("927-054000-100",B:AZ,column(r1),0)*e58</f>
        <v>0</v>
      </c>
      <c r="T58">
        <f>vlookup("927-054000-100",B:AZ,column(s1),0)*e58</f>
        <v>0</v>
      </c>
      <c r="U58">
        <f>vlookup("927-054000-100",B:AZ,column(t1),0)*e58</f>
        <v>0</v>
      </c>
      <c r="V58">
        <f>vlookup("927-054000-100",B:AZ,column(u1),0)*e58</f>
        <v>0</v>
      </c>
      <c r="W58">
        <f>vlookup("927-054000-100",B:AZ,column(v1),0)*e58</f>
        <v>0</v>
      </c>
      <c r="X58">
        <f>vlookup("927-054000-100",B:AZ,column(w1),0)*e58</f>
        <v>0</v>
      </c>
      <c r="Y58">
        <f>vlookup("927-054000-100",B:AZ,column(x1),0)*e58</f>
        <v>0</v>
      </c>
      <c r="Z58">
        <f>vlookup("927-054000-100",B:AZ,column(y1),0)*e58</f>
        <v>0</v>
      </c>
      <c r="AA58">
        <f>vlookup("927-054000-100",B:AZ,column(z1),0)*e58</f>
        <v>0</v>
      </c>
      <c r="AB58">
        <f>vlookup("927-054000-100",B:AZ,column(aa1),0)*e58</f>
        <v>0</v>
      </c>
      <c r="AC58">
        <f>vlookup("927-054000-100",B:AZ,column(ab1),0)*e58</f>
        <v>0</v>
      </c>
      <c r="AD58">
        <f>vlookup("927-054000-100",B:AZ,column(ac1),0)*e58</f>
        <v>0</v>
      </c>
      <c r="AE58">
        <f>vlookup("927-054000-100",B:AZ,column(ad1),0)*e58</f>
        <v>0</v>
      </c>
      <c r="AF58">
        <f>vlookup("927-054000-100",B:AZ,column(ae1),0)*e58</f>
        <v>0</v>
      </c>
      <c r="AG58">
        <f>vlookup("927-054000-100",B:AZ,column(af1),0)*e58</f>
        <v>0</v>
      </c>
      <c r="AH58">
        <f>vlookup("927-054000-100",B:AZ,column(ag1),0)*e58</f>
        <v>0</v>
      </c>
      <c r="AI58">
        <f>vlookup("927-054000-100",B:AZ,column(ah1),0)*e58</f>
        <v>0</v>
      </c>
      <c r="AJ58">
        <f>vlookup("927-054000-100",B:AZ,column(ai1),0)*e58</f>
        <v>0</v>
      </c>
      <c r="AK58">
        <f>vlookup("927-054000-100",B:AZ,column(aj1),0)*e58</f>
        <v>0</v>
      </c>
      <c r="AL58">
        <f>vlookup("927-054000-100",B:AZ,column(ak1),0)*e58</f>
        <v>0</v>
      </c>
      <c r="AM58">
        <f>vlookup("927-054000-100",B:AZ,column(al1),0)*e58</f>
        <v>0</v>
      </c>
      <c r="AN58">
        <f>vlookup("927-054000-100",B:AZ,column(am1),0)*e58</f>
        <v>0</v>
      </c>
      <c r="AO58">
        <f>vlookup("927-054000-100",B:AZ,column(an1),0)*e58</f>
        <v>0</v>
      </c>
    </row>
    <row r="59" spans="1:41">
      <c r="A59" t="s">
        <v>22</v>
      </c>
      <c r="B59" t="s">
        <v>49</v>
      </c>
      <c r="C59" t="s">
        <v>61</v>
      </c>
      <c r="E59">
        <v>1</v>
      </c>
      <c r="F59" t="s">
        <v>13</v>
      </c>
      <c r="I59" t="s">
        <v>15</v>
      </c>
      <c r="J59">
        <f>vlookup("927-054000-100",B:AZ,column(i1),0)*e59</f>
        <v>0</v>
      </c>
      <c r="K59">
        <f>vlookup("927-054000-100",B:AZ,column(j1),0)*e59</f>
        <v>0</v>
      </c>
      <c r="L59">
        <f>vlookup("927-054000-100",B:AZ,column(k1),0)*e59</f>
        <v>0</v>
      </c>
      <c r="M59">
        <f>vlookup("927-054000-100",B:AZ,column(l1),0)*e59</f>
        <v>0</v>
      </c>
      <c r="N59">
        <f>vlookup("927-054000-100",B:AZ,column(m1),0)*e59</f>
        <v>0</v>
      </c>
      <c r="O59">
        <f>vlookup("927-054000-100",B:AZ,column(n1),0)*e59</f>
        <v>0</v>
      </c>
      <c r="P59">
        <f>vlookup("927-054000-100",B:AZ,column(o1),0)*e59</f>
        <v>0</v>
      </c>
      <c r="Q59">
        <f>vlookup("927-054000-100",B:AZ,column(p1),0)*e59</f>
        <v>0</v>
      </c>
      <c r="R59">
        <f>vlookup("927-054000-100",B:AZ,column(q1),0)*e59</f>
        <v>0</v>
      </c>
      <c r="S59">
        <f>vlookup("927-054000-100",B:AZ,column(r1),0)*e59</f>
        <v>0</v>
      </c>
      <c r="T59">
        <f>vlookup("927-054000-100",B:AZ,column(s1),0)*e59</f>
        <v>0</v>
      </c>
      <c r="U59">
        <f>vlookup("927-054000-100",B:AZ,column(t1),0)*e59</f>
        <v>0</v>
      </c>
      <c r="V59">
        <f>vlookup("927-054000-100",B:AZ,column(u1),0)*e59</f>
        <v>0</v>
      </c>
      <c r="W59">
        <f>vlookup("927-054000-100",B:AZ,column(v1),0)*e59</f>
        <v>0</v>
      </c>
      <c r="X59">
        <f>vlookup("927-054000-100",B:AZ,column(w1),0)*e59</f>
        <v>0</v>
      </c>
      <c r="Y59">
        <f>vlookup("927-054000-100",B:AZ,column(x1),0)*e59</f>
        <v>0</v>
      </c>
      <c r="Z59">
        <f>vlookup("927-054000-100",B:AZ,column(y1),0)*e59</f>
        <v>0</v>
      </c>
      <c r="AA59">
        <f>vlookup("927-054000-100",B:AZ,column(z1),0)*e59</f>
        <v>0</v>
      </c>
      <c r="AB59">
        <f>vlookup("927-054000-100",B:AZ,column(aa1),0)*e59</f>
        <v>0</v>
      </c>
      <c r="AC59">
        <f>vlookup("927-054000-100",B:AZ,column(ab1),0)*e59</f>
        <v>0</v>
      </c>
      <c r="AD59">
        <f>vlookup("927-054000-100",B:AZ,column(ac1),0)*e59</f>
        <v>0</v>
      </c>
      <c r="AE59">
        <f>vlookup("927-054000-100",B:AZ,column(ad1),0)*e59</f>
        <v>0</v>
      </c>
      <c r="AF59">
        <f>vlookup("927-054000-100",B:AZ,column(ae1),0)*e59</f>
        <v>0</v>
      </c>
      <c r="AG59">
        <f>vlookup("927-054000-100",B:AZ,column(af1),0)*e59</f>
        <v>0</v>
      </c>
      <c r="AH59">
        <f>vlookup("927-054000-100",B:AZ,column(ag1),0)*e59</f>
        <v>0</v>
      </c>
      <c r="AI59">
        <f>vlookup("927-054000-100",B:AZ,column(ah1),0)*e59</f>
        <v>0</v>
      </c>
      <c r="AJ59">
        <f>vlookup("927-054000-100",B:AZ,column(ai1),0)*e59</f>
        <v>0</v>
      </c>
      <c r="AK59">
        <f>vlookup("927-054000-100",B:AZ,column(aj1),0)*e59</f>
        <v>0</v>
      </c>
      <c r="AL59">
        <f>vlookup("927-054000-100",B:AZ,column(ak1),0)*e59</f>
        <v>0</v>
      </c>
      <c r="AM59">
        <f>vlookup("927-054000-100",B:AZ,column(al1),0)*e59</f>
        <v>0</v>
      </c>
      <c r="AN59">
        <f>vlookup("927-054000-100",B:AZ,column(am1),0)*e59</f>
        <v>0</v>
      </c>
      <c r="AO59">
        <f>vlookup("927-054000-100",B:AZ,column(an1),0)*e59</f>
        <v>0</v>
      </c>
    </row>
    <row r="60" spans="1:41">
      <c r="A60" t="s">
        <v>17</v>
      </c>
      <c r="B60" t="s">
        <v>84</v>
      </c>
      <c r="C60" t="s">
        <v>85</v>
      </c>
      <c r="E60">
        <v>1</v>
      </c>
      <c r="F60" t="s">
        <v>13</v>
      </c>
      <c r="I60" t="s">
        <v>15</v>
      </c>
      <c r="J60">
        <f>vlookup("927-054000-100",B:AZ,column(i1),0)*e60</f>
        <v>0</v>
      </c>
      <c r="K60">
        <f>vlookup("927-054000-100",B:AZ,column(j1),0)*e60</f>
        <v>0</v>
      </c>
      <c r="L60">
        <f>vlookup("927-054000-100",B:AZ,column(k1),0)*e60</f>
        <v>0</v>
      </c>
      <c r="M60">
        <f>vlookup("927-054000-100",B:AZ,column(l1),0)*e60</f>
        <v>0</v>
      </c>
      <c r="N60">
        <f>vlookup("927-054000-100",B:AZ,column(m1),0)*e60</f>
        <v>0</v>
      </c>
      <c r="O60">
        <f>vlookup("927-054000-100",B:AZ,column(n1),0)*e60</f>
        <v>0</v>
      </c>
      <c r="P60">
        <f>vlookup("927-054000-100",B:AZ,column(o1),0)*e60</f>
        <v>0</v>
      </c>
      <c r="Q60">
        <f>vlookup("927-054000-100",B:AZ,column(p1),0)*e60</f>
        <v>0</v>
      </c>
      <c r="R60">
        <f>vlookup("927-054000-100",B:AZ,column(q1),0)*e60</f>
        <v>0</v>
      </c>
      <c r="S60">
        <f>vlookup("927-054000-100",B:AZ,column(r1),0)*e60</f>
        <v>0</v>
      </c>
      <c r="T60">
        <f>vlookup("927-054000-100",B:AZ,column(s1),0)*e60</f>
        <v>0</v>
      </c>
      <c r="U60">
        <f>vlookup("927-054000-100",B:AZ,column(t1),0)*e60</f>
        <v>0</v>
      </c>
      <c r="V60">
        <f>vlookup("927-054000-100",B:AZ,column(u1),0)*e60</f>
        <v>0</v>
      </c>
      <c r="W60">
        <f>vlookup("927-054000-100",B:AZ,column(v1),0)*e60</f>
        <v>0</v>
      </c>
      <c r="X60">
        <f>vlookup("927-054000-100",B:AZ,column(w1),0)*e60</f>
        <v>0</v>
      </c>
      <c r="Y60">
        <f>vlookup("927-054000-100",B:AZ,column(x1),0)*e60</f>
        <v>0</v>
      </c>
      <c r="Z60">
        <f>vlookup("927-054000-100",B:AZ,column(y1),0)*e60</f>
        <v>0</v>
      </c>
      <c r="AA60">
        <f>vlookup("927-054000-100",B:AZ,column(z1),0)*e60</f>
        <v>0</v>
      </c>
      <c r="AB60">
        <f>vlookup("927-054000-100",B:AZ,column(aa1),0)*e60</f>
        <v>0</v>
      </c>
      <c r="AC60">
        <f>vlookup("927-054000-100",B:AZ,column(ab1),0)*e60</f>
        <v>0</v>
      </c>
      <c r="AD60">
        <f>vlookup("927-054000-100",B:AZ,column(ac1),0)*e60</f>
        <v>0</v>
      </c>
      <c r="AE60">
        <f>vlookup("927-054000-100",B:AZ,column(ad1),0)*e60</f>
        <v>0</v>
      </c>
      <c r="AF60">
        <f>vlookup("927-054000-100",B:AZ,column(ae1),0)*e60</f>
        <v>0</v>
      </c>
      <c r="AG60">
        <f>vlookup("927-054000-100",B:AZ,column(af1),0)*e60</f>
        <v>0</v>
      </c>
      <c r="AH60">
        <f>vlookup("927-054000-100",B:AZ,column(ag1),0)*e60</f>
        <v>0</v>
      </c>
      <c r="AI60">
        <f>vlookup("927-054000-100",B:AZ,column(ah1),0)*e60</f>
        <v>0</v>
      </c>
      <c r="AJ60">
        <f>vlookup("927-054000-100",B:AZ,column(ai1),0)*e60</f>
        <v>0</v>
      </c>
      <c r="AK60">
        <f>vlookup("927-054000-100",B:AZ,column(aj1),0)*e60</f>
        <v>0</v>
      </c>
      <c r="AL60">
        <f>vlookup("927-054000-100",B:AZ,column(ak1),0)*e60</f>
        <v>0</v>
      </c>
      <c r="AM60">
        <f>vlookup("927-054000-100",B:AZ,column(al1),0)*e60</f>
        <v>0</v>
      </c>
      <c r="AN60">
        <f>vlookup("927-054000-100",B:AZ,column(am1),0)*e60</f>
        <v>0</v>
      </c>
      <c r="AO60">
        <f>vlookup("927-054000-100",B:AZ,column(an1),0)*e60</f>
        <v>0</v>
      </c>
    </row>
    <row r="61" spans="1:41">
      <c r="A61" t="s">
        <v>22</v>
      </c>
      <c r="B61" t="s">
        <v>59</v>
      </c>
      <c r="C61" t="s">
        <v>60</v>
      </c>
      <c r="E61">
        <v>1</v>
      </c>
      <c r="F61" t="s">
        <v>13</v>
      </c>
      <c r="I61" t="s">
        <v>15</v>
      </c>
      <c r="J61">
        <f>vlookup("927-054000-100",B:AZ,column(i1),0)*e61</f>
        <v>0</v>
      </c>
      <c r="K61">
        <f>vlookup("927-054000-100",B:AZ,column(j1),0)*e61</f>
        <v>0</v>
      </c>
      <c r="L61">
        <f>vlookup("927-054000-100",B:AZ,column(k1),0)*e61</f>
        <v>0</v>
      </c>
      <c r="M61">
        <f>vlookup("927-054000-100",B:AZ,column(l1),0)*e61</f>
        <v>0</v>
      </c>
      <c r="N61">
        <f>vlookup("927-054000-100",B:AZ,column(m1),0)*e61</f>
        <v>0</v>
      </c>
      <c r="O61">
        <f>vlookup("927-054000-100",B:AZ,column(n1),0)*e61</f>
        <v>0</v>
      </c>
      <c r="P61">
        <f>vlookup("927-054000-100",B:AZ,column(o1),0)*e61</f>
        <v>0</v>
      </c>
      <c r="Q61">
        <f>vlookup("927-054000-100",B:AZ,column(p1),0)*e61</f>
        <v>0</v>
      </c>
      <c r="R61">
        <f>vlookup("927-054000-100",B:AZ,column(q1),0)*e61</f>
        <v>0</v>
      </c>
      <c r="S61">
        <f>vlookup("927-054000-100",B:AZ,column(r1),0)*e61</f>
        <v>0</v>
      </c>
      <c r="T61">
        <f>vlookup("927-054000-100",B:AZ,column(s1),0)*e61</f>
        <v>0</v>
      </c>
      <c r="U61">
        <f>vlookup("927-054000-100",B:AZ,column(t1),0)*e61</f>
        <v>0</v>
      </c>
      <c r="V61">
        <f>vlookup("927-054000-100",B:AZ,column(u1),0)*e61</f>
        <v>0</v>
      </c>
      <c r="W61">
        <f>vlookup("927-054000-100",B:AZ,column(v1),0)*e61</f>
        <v>0</v>
      </c>
      <c r="X61">
        <f>vlookup("927-054000-100",B:AZ,column(w1),0)*e61</f>
        <v>0</v>
      </c>
      <c r="Y61">
        <f>vlookup("927-054000-100",B:AZ,column(x1),0)*e61</f>
        <v>0</v>
      </c>
      <c r="Z61">
        <f>vlookup("927-054000-100",B:AZ,column(y1),0)*e61</f>
        <v>0</v>
      </c>
      <c r="AA61">
        <f>vlookup("927-054000-100",B:AZ,column(z1),0)*e61</f>
        <v>0</v>
      </c>
      <c r="AB61">
        <f>vlookup("927-054000-100",B:AZ,column(aa1),0)*e61</f>
        <v>0</v>
      </c>
      <c r="AC61">
        <f>vlookup("927-054000-100",B:AZ,column(ab1),0)*e61</f>
        <v>0</v>
      </c>
      <c r="AD61">
        <f>vlookup("927-054000-100",B:AZ,column(ac1),0)*e61</f>
        <v>0</v>
      </c>
      <c r="AE61">
        <f>vlookup("927-054000-100",B:AZ,column(ad1),0)*e61</f>
        <v>0</v>
      </c>
      <c r="AF61">
        <f>vlookup("927-054000-100",B:AZ,column(ae1),0)*e61</f>
        <v>0</v>
      </c>
      <c r="AG61">
        <f>vlookup("927-054000-100",B:AZ,column(af1),0)*e61</f>
        <v>0</v>
      </c>
      <c r="AH61">
        <f>vlookup("927-054000-100",B:AZ,column(ag1),0)*e61</f>
        <v>0</v>
      </c>
      <c r="AI61">
        <f>vlookup("927-054000-100",B:AZ,column(ah1),0)*e61</f>
        <v>0</v>
      </c>
      <c r="AJ61">
        <f>vlookup("927-054000-100",B:AZ,column(ai1),0)*e61</f>
        <v>0</v>
      </c>
      <c r="AK61">
        <f>vlookup("927-054000-100",B:AZ,column(aj1),0)*e61</f>
        <v>0</v>
      </c>
      <c r="AL61">
        <f>vlookup("927-054000-100",B:AZ,column(ak1),0)*e61</f>
        <v>0</v>
      </c>
      <c r="AM61">
        <f>vlookup("927-054000-100",B:AZ,column(al1),0)*e61</f>
        <v>0</v>
      </c>
      <c r="AN61">
        <f>vlookup("927-054000-100",B:AZ,column(am1),0)*e61</f>
        <v>0</v>
      </c>
      <c r="AO61">
        <f>vlookup("927-054000-100",B:AZ,column(an1),0)*e61</f>
        <v>0</v>
      </c>
    </row>
    <row r="62" spans="1:41">
      <c r="A62" t="s">
        <v>78</v>
      </c>
      <c r="B62" t="s">
        <v>49</v>
      </c>
      <c r="C62" t="s">
        <v>86</v>
      </c>
      <c r="E62">
        <v>0.17</v>
      </c>
      <c r="F62" t="s">
        <v>13</v>
      </c>
      <c r="I62" t="s">
        <v>15</v>
      </c>
      <c r="J62">
        <f>vlookup("927-054000-100",B:AZ,column(i1),0)*e62</f>
        <v>0</v>
      </c>
      <c r="K62">
        <f>vlookup("927-054000-100",B:AZ,column(j1),0)*e62</f>
        <v>0</v>
      </c>
      <c r="L62">
        <f>vlookup("927-054000-100",B:AZ,column(k1),0)*e62</f>
        <v>0</v>
      </c>
      <c r="M62">
        <f>vlookup("927-054000-100",B:AZ,column(l1),0)*e62</f>
        <v>0</v>
      </c>
      <c r="N62">
        <f>vlookup("927-054000-100",B:AZ,column(m1),0)*e62</f>
        <v>0</v>
      </c>
      <c r="O62">
        <f>vlookup("927-054000-100",B:AZ,column(n1),0)*e62</f>
        <v>0</v>
      </c>
      <c r="P62">
        <f>vlookup("927-054000-100",B:AZ,column(o1),0)*e62</f>
        <v>0</v>
      </c>
      <c r="Q62">
        <f>vlookup("927-054000-100",B:AZ,column(p1),0)*e62</f>
        <v>0</v>
      </c>
      <c r="R62">
        <f>vlookup("927-054000-100",B:AZ,column(q1),0)*e62</f>
        <v>0</v>
      </c>
      <c r="S62">
        <f>vlookup("927-054000-100",B:AZ,column(r1),0)*e62</f>
        <v>0</v>
      </c>
      <c r="T62">
        <f>vlookup("927-054000-100",B:AZ,column(s1),0)*e62</f>
        <v>0</v>
      </c>
      <c r="U62">
        <f>vlookup("927-054000-100",B:AZ,column(t1),0)*e62</f>
        <v>0</v>
      </c>
      <c r="V62">
        <f>vlookup("927-054000-100",B:AZ,column(u1),0)*e62</f>
        <v>0</v>
      </c>
      <c r="W62">
        <f>vlookup("927-054000-100",B:AZ,column(v1),0)*e62</f>
        <v>0</v>
      </c>
      <c r="X62">
        <f>vlookup("927-054000-100",B:AZ,column(w1),0)*e62</f>
        <v>0</v>
      </c>
      <c r="Y62">
        <f>vlookup("927-054000-100",B:AZ,column(x1),0)*e62</f>
        <v>0</v>
      </c>
      <c r="Z62">
        <f>vlookup("927-054000-100",B:AZ,column(y1),0)*e62</f>
        <v>0</v>
      </c>
      <c r="AA62">
        <f>vlookup("927-054000-100",B:AZ,column(z1),0)*e62</f>
        <v>0</v>
      </c>
      <c r="AB62">
        <f>vlookup("927-054000-100",B:AZ,column(aa1),0)*e62</f>
        <v>0</v>
      </c>
      <c r="AC62">
        <f>vlookup("927-054000-100",B:AZ,column(ab1),0)*e62</f>
        <v>0</v>
      </c>
      <c r="AD62">
        <f>vlookup("927-054000-100",B:AZ,column(ac1),0)*e62</f>
        <v>0</v>
      </c>
      <c r="AE62">
        <f>vlookup("927-054000-100",B:AZ,column(ad1),0)*e62</f>
        <v>0</v>
      </c>
      <c r="AF62">
        <f>vlookup("927-054000-100",B:AZ,column(ae1),0)*e62</f>
        <v>0</v>
      </c>
      <c r="AG62">
        <f>vlookup("927-054000-100",B:AZ,column(af1),0)*e62</f>
        <v>0</v>
      </c>
      <c r="AH62">
        <f>vlookup("927-054000-100",B:AZ,column(ag1),0)*e62</f>
        <v>0</v>
      </c>
      <c r="AI62">
        <f>vlookup("927-054000-100",B:AZ,column(ah1),0)*e62</f>
        <v>0</v>
      </c>
      <c r="AJ62">
        <f>vlookup("927-054000-100",B:AZ,column(ai1),0)*e62</f>
        <v>0</v>
      </c>
      <c r="AK62">
        <f>vlookup("927-054000-100",B:AZ,column(aj1),0)*e62</f>
        <v>0</v>
      </c>
      <c r="AL62">
        <f>vlookup("927-054000-100",B:AZ,column(ak1),0)*e62</f>
        <v>0</v>
      </c>
      <c r="AM62">
        <f>vlookup("927-054000-100",B:AZ,column(al1),0)*e62</f>
        <v>0</v>
      </c>
      <c r="AN62">
        <f>vlookup("927-054000-100",B:AZ,column(am1),0)*e62</f>
        <v>0</v>
      </c>
      <c r="AO62">
        <f>vlookup("927-054000-100",B:AZ,column(an1),0)*e62</f>
        <v>0</v>
      </c>
    </row>
    <row r="63" spans="1:41">
      <c r="A63" t="s">
        <v>43</v>
      </c>
      <c r="B63" t="s">
        <v>87</v>
      </c>
      <c r="C63" t="s">
        <v>88</v>
      </c>
      <c r="E63">
        <v>0.17</v>
      </c>
      <c r="F63" t="s">
        <v>13</v>
      </c>
      <c r="I63" t="s">
        <v>15</v>
      </c>
      <c r="J63">
        <f>vlookup("927-054000-100",B:AZ,column(i1),0)*e63</f>
        <v>0</v>
      </c>
      <c r="K63">
        <f>vlookup("927-054000-100",B:AZ,column(j1),0)*e63</f>
        <v>0</v>
      </c>
      <c r="L63">
        <f>vlookup("927-054000-100",B:AZ,column(k1),0)*e63</f>
        <v>0</v>
      </c>
      <c r="M63">
        <f>vlookup("927-054000-100",B:AZ,column(l1),0)*e63</f>
        <v>0</v>
      </c>
      <c r="N63">
        <f>vlookup("927-054000-100",B:AZ,column(m1),0)*e63</f>
        <v>0</v>
      </c>
      <c r="O63">
        <f>vlookup("927-054000-100",B:AZ,column(n1),0)*e63</f>
        <v>0</v>
      </c>
      <c r="P63">
        <f>vlookup("927-054000-100",B:AZ,column(o1),0)*e63</f>
        <v>0</v>
      </c>
      <c r="Q63">
        <f>vlookup("927-054000-100",B:AZ,column(p1),0)*e63</f>
        <v>0</v>
      </c>
      <c r="R63">
        <f>vlookup("927-054000-100",B:AZ,column(q1),0)*e63</f>
        <v>0</v>
      </c>
      <c r="S63">
        <f>vlookup("927-054000-100",B:AZ,column(r1),0)*e63</f>
        <v>0</v>
      </c>
      <c r="T63">
        <f>vlookup("927-054000-100",B:AZ,column(s1),0)*e63</f>
        <v>0</v>
      </c>
      <c r="U63">
        <f>vlookup("927-054000-100",B:AZ,column(t1),0)*e63</f>
        <v>0</v>
      </c>
      <c r="V63">
        <f>vlookup("927-054000-100",B:AZ,column(u1),0)*e63</f>
        <v>0</v>
      </c>
      <c r="W63">
        <f>vlookup("927-054000-100",B:AZ,column(v1),0)*e63</f>
        <v>0</v>
      </c>
      <c r="X63">
        <f>vlookup("927-054000-100",B:AZ,column(w1),0)*e63</f>
        <v>0</v>
      </c>
      <c r="Y63">
        <f>vlookup("927-054000-100",B:AZ,column(x1),0)*e63</f>
        <v>0</v>
      </c>
      <c r="Z63">
        <f>vlookup("927-054000-100",B:AZ,column(y1),0)*e63</f>
        <v>0</v>
      </c>
      <c r="AA63">
        <f>vlookup("927-054000-100",B:AZ,column(z1),0)*e63</f>
        <v>0</v>
      </c>
      <c r="AB63">
        <f>vlookup("927-054000-100",B:AZ,column(aa1),0)*e63</f>
        <v>0</v>
      </c>
      <c r="AC63">
        <f>vlookup("927-054000-100",B:AZ,column(ab1),0)*e63</f>
        <v>0</v>
      </c>
      <c r="AD63">
        <f>vlookup("927-054000-100",B:AZ,column(ac1),0)*e63</f>
        <v>0</v>
      </c>
      <c r="AE63">
        <f>vlookup("927-054000-100",B:AZ,column(ad1),0)*e63</f>
        <v>0</v>
      </c>
      <c r="AF63">
        <f>vlookup("927-054000-100",B:AZ,column(ae1),0)*e63</f>
        <v>0</v>
      </c>
      <c r="AG63">
        <f>vlookup("927-054000-100",B:AZ,column(af1),0)*e63</f>
        <v>0</v>
      </c>
      <c r="AH63">
        <f>vlookup("927-054000-100",B:AZ,column(ag1),0)*e63</f>
        <v>0</v>
      </c>
      <c r="AI63">
        <f>vlookup("927-054000-100",B:AZ,column(ah1),0)*e63</f>
        <v>0</v>
      </c>
      <c r="AJ63">
        <f>vlookup("927-054000-100",B:AZ,column(ai1),0)*e63</f>
        <v>0</v>
      </c>
      <c r="AK63">
        <f>vlookup("927-054000-100",B:AZ,column(aj1),0)*e63</f>
        <v>0</v>
      </c>
      <c r="AL63">
        <f>vlookup("927-054000-100",B:AZ,column(ak1),0)*e63</f>
        <v>0</v>
      </c>
      <c r="AM63">
        <f>vlookup("927-054000-100",B:AZ,column(al1),0)*e63</f>
        <v>0</v>
      </c>
      <c r="AN63">
        <f>vlookup("927-054000-100",B:AZ,column(am1),0)*e63</f>
        <v>0</v>
      </c>
      <c r="AO63">
        <f>vlookup("927-054000-100",B:AZ,column(an1),0)*e63</f>
        <v>0</v>
      </c>
    </row>
    <row r="64" spans="1:41">
      <c r="A64" t="s">
        <v>10</v>
      </c>
      <c r="B64" t="s">
        <v>89</v>
      </c>
      <c r="C64" t="s">
        <v>90</v>
      </c>
      <c r="E64">
        <v>1</v>
      </c>
      <c r="F64" t="s">
        <v>13</v>
      </c>
      <c r="I64" t="s">
        <v>14</v>
      </c>
      <c r="AO64">
        <f>sum(j64:an64)</f>
        <v>0</v>
      </c>
    </row>
    <row r="65" spans="1:41">
      <c r="I65" t="s">
        <v>15</v>
      </c>
      <c r="J65">
        <f>vlookup("927-007000-500",Out!B:AZ,column(i1),0)</f>
        <v>0</v>
      </c>
      <c r="K65">
        <f>vlookup("927-007000-500",Out!B:AZ,column(j1),0)</f>
        <v>0</v>
      </c>
      <c r="L65">
        <f>vlookup("927-007000-500",Out!B:AZ,column(k1),0)</f>
        <v>0</v>
      </c>
      <c r="M65">
        <f>vlookup("927-007000-500",Out!B:AZ,column(l1),0)</f>
        <v>0</v>
      </c>
      <c r="N65">
        <f>vlookup("927-007000-500",Out!B:AZ,column(m1),0)</f>
        <v>0</v>
      </c>
      <c r="O65">
        <f>vlookup("927-007000-500",Out!B:AZ,column(n1),0)</f>
        <v>0</v>
      </c>
      <c r="P65">
        <f>vlookup("927-007000-500",Out!B:AZ,column(o1),0)</f>
        <v>0</v>
      </c>
      <c r="Q65">
        <f>vlookup("927-007000-500",Out!B:AZ,column(p1),0)</f>
        <v>0</v>
      </c>
      <c r="R65">
        <f>vlookup("927-007000-500",Out!B:AZ,column(q1),0)</f>
        <v>0</v>
      </c>
      <c r="S65">
        <f>vlookup("927-007000-500",Out!B:AZ,column(r1),0)</f>
        <v>0</v>
      </c>
      <c r="T65">
        <f>vlookup("927-007000-500",Out!B:AZ,column(s1),0)</f>
        <v>0</v>
      </c>
      <c r="U65">
        <f>vlookup("927-007000-500",Out!B:AZ,column(t1),0)</f>
        <v>0</v>
      </c>
      <c r="V65">
        <f>vlookup("927-007000-500",Out!B:AZ,column(u1),0)</f>
        <v>0</v>
      </c>
      <c r="W65">
        <f>vlookup("927-007000-500",Out!B:AZ,column(v1),0)</f>
        <v>0</v>
      </c>
      <c r="X65">
        <f>vlookup("927-007000-500",Out!B:AZ,column(w1),0)</f>
        <v>0</v>
      </c>
      <c r="Y65">
        <f>vlookup("927-007000-500",Out!B:AZ,column(x1),0)</f>
        <v>0</v>
      </c>
      <c r="Z65">
        <f>vlookup("927-007000-500",Out!B:AZ,column(y1),0)</f>
        <v>0</v>
      </c>
      <c r="AA65">
        <f>vlookup("927-007000-500",Out!B:AZ,column(z1),0)</f>
        <v>0</v>
      </c>
      <c r="AB65">
        <f>vlookup("927-007000-500",Out!B:AZ,column(aa1),0)</f>
        <v>0</v>
      </c>
      <c r="AC65">
        <f>vlookup("927-007000-500",Out!B:AZ,column(ab1),0)</f>
        <v>0</v>
      </c>
      <c r="AD65">
        <f>vlookup("927-007000-500",Out!B:AZ,column(ac1),0)</f>
        <v>0</v>
      </c>
      <c r="AE65">
        <f>vlookup("927-007000-500",Out!B:AZ,column(ad1),0)</f>
        <v>0</v>
      </c>
      <c r="AF65">
        <f>vlookup("927-007000-500",Out!B:AZ,column(ae1),0)</f>
        <v>0</v>
      </c>
      <c r="AG65">
        <f>vlookup("927-007000-500",Out!B:AZ,column(af1),0)</f>
        <v>0</v>
      </c>
      <c r="AH65">
        <f>vlookup("927-007000-500",Out!B:AZ,column(ag1),0)</f>
        <v>0</v>
      </c>
      <c r="AI65">
        <f>vlookup("927-007000-500",Out!B:AZ,column(ah1),0)</f>
        <v>0</v>
      </c>
      <c r="AJ65">
        <f>vlookup("927-007000-500",Out!B:AZ,column(ai1),0)</f>
        <v>0</v>
      </c>
      <c r="AK65">
        <f>vlookup("927-007000-500",Out!B:AZ,column(aj1),0)</f>
        <v>0</v>
      </c>
      <c r="AL65">
        <f>vlookup("927-007000-500",Out!B:AZ,column(ak1),0)</f>
        <v>0</v>
      </c>
      <c r="AM65">
        <f>vlookup("927-007000-500",Out!B:AZ,column(al1),0)</f>
        <v>0</v>
      </c>
      <c r="AN65">
        <f>vlookup("927-007000-500",Out!B:AZ,column(am1),0)</f>
        <v>0</v>
      </c>
      <c r="AO65">
        <f>vlookup("927-007000-500",Out!B:AZ,column(an1),0)</f>
        <v>0</v>
      </c>
    </row>
    <row r="66" spans="1:41">
      <c r="H66" t="s">
        <v>16</v>
      </c>
      <c r="J66">
        <f>indirect(address(66,9))+indirect(address(64,10))-indirect(address(65,10))</f>
        <v>0</v>
      </c>
      <c r="K66">
        <f>indirect(address(66,10))+indirect(address(64,11))-indirect(address(65,11))</f>
        <v>0</v>
      </c>
      <c r="L66">
        <f>indirect(address(66,11))+indirect(address(64,12))-indirect(address(65,12))</f>
        <v>0</v>
      </c>
      <c r="M66">
        <f>indirect(address(66,12))+indirect(address(64,13))-indirect(address(65,13))</f>
        <v>0</v>
      </c>
      <c r="N66">
        <f>indirect(address(66,13))+indirect(address(64,14))-indirect(address(65,14))</f>
        <v>0</v>
      </c>
      <c r="O66">
        <f>indirect(address(66,14))+indirect(address(64,15))-indirect(address(65,15))</f>
        <v>0</v>
      </c>
      <c r="P66">
        <f>indirect(address(66,15))+indirect(address(64,16))-indirect(address(65,16))</f>
        <v>0</v>
      </c>
      <c r="Q66">
        <f>indirect(address(66,16))+indirect(address(64,17))-indirect(address(65,17))</f>
        <v>0</v>
      </c>
      <c r="R66">
        <f>indirect(address(66,17))+indirect(address(64,18))-indirect(address(65,18))</f>
        <v>0</v>
      </c>
      <c r="S66">
        <f>indirect(address(66,18))+indirect(address(64,19))-indirect(address(65,19))</f>
        <v>0</v>
      </c>
      <c r="T66">
        <f>indirect(address(66,19))+indirect(address(64,20))-indirect(address(65,20))</f>
        <v>0</v>
      </c>
      <c r="U66">
        <f>indirect(address(66,20))+indirect(address(64,21))-indirect(address(65,21))</f>
        <v>0</v>
      </c>
      <c r="V66">
        <f>indirect(address(66,21))+indirect(address(64,22))-indirect(address(65,22))</f>
        <v>0</v>
      </c>
      <c r="W66">
        <f>indirect(address(66,22))+indirect(address(64,23))-indirect(address(65,23))</f>
        <v>0</v>
      </c>
      <c r="X66">
        <f>indirect(address(66,23))+indirect(address(64,24))-indirect(address(65,24))</f>
        <v>0</v>
      </c>
      <c r="Y66">
        <f>indirect(address(66,24))+indirect(address(64,25))-indirect(address(65,25))</f>
        <v>0</v>
      </c>
      <c r="Z66">
        <f>indirect(address(66,25))+indirect(address(64,26))-indirect(address(65,26))</f>
        <v>0</v>
      </c>
      <c r="AA66">
        <f>indirect(address(66,26))+indirect(address(64,27))-indirect(address(65,27))</f>
        <v>0</v>
      </c>
      <c r="AB66">
        <f>indirect(address(66,27))+indirect(address(64,28))-indirect(address(65,28))</f>
        <v>0</v>
      </c>
      <c r="AC66">
        <f>indirect(address(66,28))+indirect(address(64,29))-indirect(address(65,29))</f>
        <v>0</v>
      </c>
      <c r="AD66">
        <f>indirect(address(66,29))+indirect(address(64,30))-indirect(address(65,30))</f>
        <v>0</v>
      </c>
      <c r="AE66">
        <f>indirect(address(66,30))+indirect(address(64,31))-indirect(address(65,31))</f>
        <v>0</v>
      </c>
      <c r="AF66">
        <f>indirect(address(66,31))+indirect(address(64,32))-indirect(address(65,32))</f>
        <v>0</v>
      </c>
      <c r="AG66">
        <f>indirect(address(66,32))+indirect(address(64,33))-indirect(address(65,33))</f>
        <v>0</v>
      </c>
      <c r="AH66">
        <f>indirect(address(66,33))+indirect(address(64,34))-indirect(address(65,34))</f>
        <v>0</v>
      </c>
      <c r="AI66">
        <f>indirect(address(66,34))+indirect(address(64,35))-indirect(address(65,35))</f>
        <v>0</v>
      </c>
      <c r="AJ66">
        <f>indirect(address(66,35))+indirect(address(64,36))-indirect(address(65,36))</f>
        <v>0</v>
      </c>
      <c r="AK66">
        <f>indirect(address(66,36))+indirect(address(64,37))-indirect(address(65,37))</f>
        <v>0</v>
      </c>
      <c r="AL66">
        <f>indirect(address(66,37))+indirect(address(64,38))-indirect(address(65,38))</f>
        <v>0</v>
      </c>
      <c r="AM66">
        <f>indirect(address(66,38))+indirect(address(64,39))-indirect(address(65,39))</f>
        <v>0</v>
      </c>
      <c r="AN66">
        <f>indirect(address(66,39))+indirect(address(64,40))-indirect(address(65,40))</f>
        <v>0</v>
      </c>
      <c r="AO66">
        <f>indirect(address(66,40))</f>
        <v>0</v>
      </c>
    </row>
    <row r="67" spans="1:41">
      <c r="A67" t="s">
        <v>17</v>
      </c>
      <c r="B67" t="s">
        <v>91</v>
      </c>
      <c r="C67" t="s">
        <v>92</v>
      </c>
      <c r="E67">
        <v>1</v>
      </c>
      <c r="F67" t="s">
        <v>13</v>
      </c>
      <c r="I67" t="s">
        <v>15</v>
      </c>
      <c r="J67">
        <f>vlookup("927-007000-500",B:AZ,column(i1),0)*e67</f>
        <v>0</v>
      </c>
      <c r="K67">
        <f>vlookup("927-007000-500",B:AZ,column(j1),0)*e67</f>
        <v>0</v>
      </c>
      <c r="L67">
        <f>vlookup("927-007000-500",B:AZ,column(k1),0)*e67</f>
        <v>0</v>
      </c>
      <c r="M67">
        <f>vlookup("927-007000-500",B:AZ,column(l1),0)*e67</f>
        <v>0</v>
      </c>
      <c r="N67">
        <f>vlookup("927-007000-500",B:AZ,column(m1),0)*e67</f>
        <v>0</v>
      </c>
      <c r="O67">
        <f>vlookup("927-007000-500",B:AZ,column(n1),0)*e67</f>
        <v>0</v>
      </c>
      <c r="P67">
        <f>vlookup("927-007000-500",B:AZ,column(o1),0)*e67</f>
        <v>0</v>
      </c>
      <c r="Q67">
        <f>vlookup("927-007000-500",B:AZ,column(p1),0)*e67</f>
        <v>0</v>
      </c>
      <c r="R67">
        <f>vlookup("927-007000-500",B:AZ,column(q1),0)*e67</f>
        <v>0</v>
      </c>
      <c r="S67">
        <f>vlookup("927-007000-500",B:AZ,column(r1),0)*e67</f>
        <v>0</v>
      </c>
      <c r="T67">
        <f>vlookup("927-007000-500",B:AZ,column(s1),0)*e67</f>
        <v>0</v>
      </c>
      <c r="U67">
        <f>vlookup("927-007000-500",B:AZ,column(t1),0)*e67</f>
        <v>0</v>
      </c>
      <c r="V67">
        <f>vlookup("927-007000-500",B:AZ,column(u1),0)*e67</f>
        <v>0</v>
      </c>
      <c r="W67">
        <f>vlookup("927-007000-500",B:AZ,column(v1),0)*e67</f>
        <v>0</v>
      </c>
      <c r="X67">
        <f>vlookup("927-007000-500",B:AZ,column(w1),0)*e67</f>
        <v>0</v>
      </c>
      <c r="Y67">
        <f>vlookup("927-007000-500",B:AZ,column(x1),0)*e67</f>
        <v>0</v>
      </c>
      <c r="Z67">
        <f>vlookup("927-007000-500",B:AZ,column(y1),0)*e67</f>
        <v>0</v>
      </c>
      <c r="AA67">
        <f>vlookup("927-007000-500",B:AZ,column(z1),0)*e67</f>
        <v>0</v>
      </c>
      <c r="AB67">
        <f>vlookup("927-007000-500",B:AZ,column(aa1),0)*e67</f>
        <v>0</v>
      </c>
      <c r="AC67">
        <f>vlookup("927-007000-500",B:AZ,column(ab1),0)*e67</f>
        <v>0</v>
      </c>
      <c r="AD67">
        <f>vlookup("927-007000-500",B:AZ,column(ac1),0)*e67</f>
        <v>0</v>
      </c>
      <c r="AE67">
        <f>vlookup("927-007000-500",B:AZ,column(ad1),0)*e67</f>
        <v>0</v>
      </c>
      <c r="AF67">
        <f>vlookup("927-007000-500",B:AZ,column(ae1),0)*e67</f>
        <v>0</v>
      </c>
      <c r="AG67">
        <f>vlookup("927-007000-500",B:AZ,column(af1),0)*e67</f>
        <v>0</v>
      </c>
      <c r="AH67">
        <f>vlookup("927-007000-500",B:AZ,column(ag1),0)*e67</f>
        <v>0</v>
      </c>
      <c r="AI67">
        <f>vlookup("927-007000-500",B:AZ,column(ah1),0)*e67</f>
        <v>0</v>
      </c>
      <c r="AJ67">
        <f>vlookup("927-007000-500",B:AZ,column(ai1),0)*e67</f>
        <v>0</v>
      </c>
      <c r="AK67">
        <f>vlookup("927-007000-500",B:AZ,column(aj1),0)*e67</f>
        <v>0</v>
      </c>
      <c r="AL67">
        <f>vlookup("927-007000-500",B:AZ,column(ak1),0)*e67</f>
        <v>0</v>
      </c>
      <c r="AM67">
        <f>vlookup("927-007000-500",B:AZ,column(al1),0)*e67</f>
        <v>0</v>
      </c>
      <c r="AN67">
        <f>vlookup("927-007000-500",B:AZ,column(am1),0)*e67</f>
        <v>0</v>
      </c>
      <c r="AO67">
        <f>vlookup("927-007000-500",B:AZ,column(an1),0)*e67</f>
        <v>0</v>
      </c>
    </row>
    <row r="68" spans="1:41">
      <c r="A68" t="s">
        <v>22</v>
      </c>
      <c r="B68" t="s">
        <v>93</v>
      </c>
      <c r="C68" t="s">
        <v>94</v>
      </c>
      <c r="E68">
        <v>1</v>
      </c>
      <c r="F68" t="s">
        <v>13</v>
      </c>
      <c r="I68" t="s">
        <v>15</v>
      </c>
      <c r="J68">
        <f>vlookup("927-007000-500",B:AZ,column(i1),0)*e68</f>
        <v>0</v>
      </c>
      <c r="K68">
        <f>vlookup("927-007000-500",B:AZ,column(j1),0)*e68</f>
        <v>0</v>
      </c>
      <c r="L68">
        <f>vlookup("927-007000-500",B:AZ,column(k1),0)*e68</f>
        <v>0</v>
      </c>
      <c r="M68">
        <f>vlookup("927-007000-500",B:AZ,column(l1),0)*e68</f>
        <v>0</v>
      </c>
      <c r="N68">
        <f>vlookup("927-007000-500",B:AZ,column(m1),0)*e68</f>
        <v>0</v>
      </c>
      <c r="O68">
        <f>vlookup("927-007000-500",B:AZ,column(n1),0)*e68</f>
        <v>0</v>
      </c>
      <c r="P68">
        <f>vlookup("927-007000-500",B:AZ,column(o1),0)*e68</f>
        <v>0</v>
      </c>
      <c r="Q68">
        <f>vlookup("927-007000-500",B:AZ,column(p1),0)*e68</f>
        <v>0</v>
      </c>
      <c r="R68">
        <f>vlookup("927-007000-500",B:AZ,column(q1),0)*e68</f>
        <v>0</v>
      </c>
      <c r="S68">
        <f>vlookup("927-007000-500",B:AZ,column(r1),0)*e68</f>
        <v>0</v>
      </c>
      <c r="T68">
        <f>vlookup("927-007000-500",B:AZ,column(s1),0)*e68</f>
        <v>0</v>
      </c>
      <c r="U68">
        <f>vlookup("927-007000-500",B:AZ,column(t1),0)*e68</f>
        <v>0</v>
      </c>
      <c r="V68">
        <f>vlookup("927-007000-500",B:AZ,column(u1),0)*e68</f>
        <v>0</v>
      </c>
      <c r="W68">
        <f>vlookup("927-007000-500",B:AZ,column(v1),0)*e68</f>
        <v>0</v>
      </c>
      <c r="X68">
        <f>vlookup("927-007000-500",B:AZ,column(w1),0)*e68</f>
        <v>0</v>
      </c>
      <c r="Y68">
        <f>vlookup("927-007000-500",B:AZ,column(x1),0)*e68</f>
        <v>0</v>
      </c>
      <c r="Z68">
        <f>vlookup("927-007000-500",B:AZ,column(y1),0)*e68</f>
        <v>0</v>
      </c>
      <c r="AA68">
        <f>vlookup("927-007000-500",B:AZ,column(z1),0)*e68</f>
        <v>0</v>
      </c>
      <c r="AB68">
        <f>vlookup("927-007000-500",B:AZ,column(aa1),0)*e68</f>
        <v>0</v>
      </c>
      <c r="AC68">
        <f>vlookup("927-007000-500",B:AZ,column(ab1),0)*e68</f>
        <v>0</v>
      </c>
      <c r="AD68">
        <f>vlookup("927-007000-500",B:AZ,column(ac1),0)*e68</f>
        <v>0</v>
      </c>
      <c r="AE68">
        <f>vlookup("927-007000-500",B:AZ,column(ad1),0)*e68</f>
        <v>0</v>
      </c>
      <c r="AF68">
        <f>vlookup("927-007000-500",B:AZ,column(ae1),0)*e68</f>
        <v>0</v>
      </c>
      <c r="AG68">
        <f>vlookup("927-007000-500",B:AZ,column(af1),0)*e68</f>
        <v>0</v>
      </c>
      <c r="AH68">
        <f>vlookup("927-007000-500",B:AZ,column(ag1),0)*e68</f>
        <v>0</v>
      </c>
      <c r="AI68">
        <f>vlookup("927-007000-500",B:AZ,column(ah1),0)*e68</f>
        <v>0</v>
      </c>
      <c r="AJ68">
        <f>vlookup("927-007000-500",B:AZ,column(ai1),0)*e68</f>
        <v>0</v>
      </c>
      <c r="AK68">
        <f>vlookup("927-007000-500",B:AZ,column(aj1),0)*e68</f>
        <v>0</v>
      </c>
      <c r="AL68">
        <f>vlookup("927-007000-500",B:AZ,column(ak1),0)*e68</f>
        <v>0</v>
      </c>
      <c r="AM68">
        <f>vlookup("927-007000-500",B:AZ,column(al1),0)*e68</f>
        <v>0</v>
      </c>
      <c r="AN68">
        <f>vlookup("927-007000-500",B:AZ,column(am1),0)*e68</f>
        <v>0</v>
      </c>
      <c r="AO68">
        <f>vlookup("927-007000-500",B:AZ,column(an1),0)*e68</f>
        <v>0</v>
      </c>
    </row>
    <row r="69" spans="1:41">
      <c r="A69" t="s">
        <v>22</v>
      </c>
      <c r="B69" t="s">
        <v>95</v>
      </c>
      <c r="C69" t="s">
        <v>96</v>
      </c>
      <c r="E69">
        <v>2</v>
      </c>
      <c r="F69" t="s">
        <v>13</v>
      </c>
      <c r="I69" t="s">
        <v>15</v>
      </c>
      <c r="J69">
        <f>vlookup("927-007000-500",B:AZ,column(i1),0)*e69</f>
        <v>0</v>
      </c>
      <c r="K69">
        <f>vlookup("927-007000-500",B:AZ,column(j1),0)*e69</f>
        <v>0</v>
      </c>
      <c r="L69">
        <f>vlookup("927-007000-500",B:AZ,column(k1),0)*e69</f>
        <v>0</v>
      </c>
      <c r="M69">
        <f>vlookup("927-007000-500",B:AZ,column(l1),0)*e69</f>
        <v>0</v>
      </c>
      <c r="N69">
        <f>vlookup("927-007000-500",B:AZ,column(m1),0)*e69</f>
        <v>0</v>
      </c>
      <c r="O69">
        <f>vlookup("927-007000-500",B:AZ,column(n1),0)*e69</f>
        <v>0</v>
      </c>
      <c r="P69">
        <f>vlookup("927-007000-500",B:AZ,column(o1),0)*e69</f>
        <v>0</v>
      </c>
      <c r="Q69">
        <f>vlookup("927-007000-500",B:AZ,column(p1),0)*e69</f>
        <v>0</v>
      </c>
      <c r="R69">
        <f>vlookup("927-007000-500",B:AZ,column(q1),0)*e69</f>
        <v>0</v>
      </c>
      <c r="S69">
        <f>vlookup("927-007000-500",B:AZ,column(r1),0)*e69</f>
        <v>0</v>
      </c>
      <c r="T69">
        <f>vlookup("927-007000-500",B:AZ,column(s1),0)*e69</f>
        <v>0</v>
      </c>
      <c r="U69">
        <f>vlookup("927-007000-500",B:AZ,column(t1),0)*e69</f>
        <v>0</v>
      </c>
      <c r="V69">
        <f>vlookup("927-007000-500",B:AZ,column(u1),0)*e69</f>
        <v>0</v>
      </c>
      <c r="W69">
        <f>vlookup("927-007000-500",B:AZ,column(v1),0)*e69</f>
        <v>0</v>
      </c>
      <c r="X69">
        <f>vlookup("927-007000-500",B:AZ,column(w1),0)*e69</f>
        <v>0</v>
      </c>
      <c r="Y69">
        <f>vlookup("927-007000-500",B:AZ,column(x1),0)*e69</f>
        <v>0</v>
      </c>
      <c r="Z69">
        <f>vlookup("927-007000-500",B:AZ,column(y1),0)*e69</f>
        <v>0</v>
      </c>
      <c r="AA69">
        <f>vlookup("927-007000-500",B:AZ,column(z1),0)*e69</f>
        <v>0</v>
      </c>
      <c r="AB69">
        <f>vlookup("927-007000-500",B:AZ,column(aa1),0)*e69</f>
        <v>0</v>
      </c>
      <c r="AC69">
        <f>vlookup("927-007000-500",B:AZ,column(ab1),0)*e69</f>
        <v>0</v>
      </c>
      <c r="AD69">
        <f>vlookup("927-007000-500",B:AZ,column(ac1),0)*e69</f>
        <v>0</v>
      </c>
      <c r="AE69">
        <f>vlookup("927-007000-500",B:AZ,column(ad1),0)*e69</f>
        <v>0</v>
      </c>
      <c r="AF69">
        <f>vlookup("927-007000-500",B:AZ,column(ae1),0)*e69</f>
        <v>0</v>
      </c>
      <c r="AG69">
        <f>vlookup("927-007000-500",B:AZ,column(af1),0)*e69</f>
        <v>0</v>
      </c>
      <c r="AH69">
        <f>vlookup("927-007000-500",B:AZ,column(ag1),0)*e69</f>
        <v>0</v>
      </c>
      <c r="AI69">
        <f>vlookup("927-007000-500",B:AZ,column(ah1),0)*e69</f>
        <v>0</v>
      </c>
      <c r="AJ69">
        <f>vlookup("927-007000-500",B:AZ,column(ai1),0)*e69</f>
        <v>0</v>
      </c>
      <c r="AK69">
        <f>vlookup("927-007000-500",B:AZ,column(aj1),0)*e69</f>
        <v>0</v>
      </c>
      <c r="AL69">
        <f>vlookup("927-007000-500",B:AZ,column(ak1),0)*e69</f>
        <v>0</v>
      </c>
      <c r="AM69">
        <f>vlookup("927-007000-500",B:AZ,column(al1),0)*e69</f>
        <v>0</v>
      </c>
      <c r="AN69">
        <f>vlookup("927-007000-500",B:AZ,column(am1),0)*e69</f>
        <v>0</v>
      </c>
      <c r="AO69">
        <f>vlookup("927-007000-500",B:AZ,column(an1),0)*e69</f>
        <v>0</v>
      </c>
    </row>
    <row r="70" spans="1:41">
      <c r="A70" t="s">
        <v>22</v>
      </c>
      <c r="B70" t="s">
        <v>33</v>
      </c>
      <c r="C70" t="s">
        <v>34</v>
      </c>
      <c r="E70">
        <v>2</v>
      </c>
      <c r="F70" t="s">
        <v>13</v>
      </c>
      <c r="I70" t="s">
        <v>15</v>
      </c>
      <c r="J70">
        <f>vlookup("927-007000-500",B:AZ,column(i1),0)*e70</f>
        <v>0</v>
      </c>
      <c r="K70">
        <f>vlookup("927-007000-500",B:AZ,column(j1),0)*e70</f>
        <v>0</v>
      </c>
      <c r="L70">
        <f>vlookup("927-007000-500",B:AZ,column(k1),0)*e70</f>
        <v>0</v>
      </c>
      <c r="M70">
        <f>vlookup("927-007000-500",B:AZ,column(l1),0)*e70</f>
        <v>0</v>
      </c>
      <c r="N70">
        <f>vlookup("927-007000-500",B:AZ,column(m1),0)*e70</f>
        <v>0</v>
      </c>
      <c r="O70">
        <f>vlookup("927-007000-500",B:AZ,column(n1),0)*e70</f>
        <v>0</v>
      </c>
      <c r="P70">
        <f>vlookup("927-007000-500",B:AZ,column(o1),0)*e70</f>
        <v>0</v>
      </c>
      <c r="Q70">
        <f>vlookup("927-007000-500",B:AZ,column(p1),0)*e70</f>
        <v>0</v>
      </c>
      <c r="R70">
        <f>vlookup("927-007000-500",B:AZ,column(q1),0)*e70</f>
        <v>0</v>
      </c>
      <c r="S70">
        <f>vlookup("927-007000-500",B:AZ,column(r1),0)*e70</f>
        <v>0</v>
      </c>
      <c r="T70">
        <f>vlookup("927-007000-500",B:AZ,column(s1),0)*e70</f>
        <v>0</v>
      </c>
      <c r="U70">
        <f>vlookup("927-007000-500",B:AZ,column(t1),0)*e70</f>
        <v>0</v>
      </c>
      <c r="V70">
        <f>vlookup("927-007000-500",B:AZ,column(u1),0)*e70</f>
        <v>0</v>
      </c>
      <c r="W70">
        <f>vlookup("927-007000-500",B:AZ,column(v1),0)*e70</f>
        <v>0</v>
      </c>
      <c r="X70">
        <f>vlookup("927-007000-500",B:AZ,column(w1),0)*e70</f>
        <v>0</v>
      </c>
      <c r="Y70">
        <f>vlookup("927-007000-500",B:AZ,column(x1),0)*e70</f>
        <v>0</v>
      </c>
      <c r="Z70">
        <f>vlookup("927-007000-500",B:AZ,column(y1),0)*e70</f>
        <v>0</v>
      </c>
      <c r="AA70">
        <f>vlookup("927-007000-500",B:AZ,column(z1),0)*e70</f>
        <v>0</v>
      </c>
      <c r="AB70">
        <f>vlookup("927-007000-500",B:AZ,column(aa1),0)*e70</f>
        <v>0</v>
      </c>
      <c r="AC70">
        <f>vlookup("927-007000-500",B:AZ,column(ab1),0)*e70</f>
        <v>0</v>
      </c>
      <c r="AD70">
        <f>vlookup("927-007000-500",B:AZ,column(ac1),0)*e70</f>
        <v>0</v>
      </c>
      <c r="AE70">
        <f>vlookup("927-007000-500",B:AZ,column(ad1),0)*e70</f>
        <v>0</v>
      </c>
      <c r="AF70">
        <f>vlookup("927-007000-500",B:AZ,column(ae1),0)*e70</f>
        <v>0</v>
      </c>
      <c r="AG70">
        <f>vlookup("927-007000-500",B:AZ,column(af1),0)*e70</f>
        <v>0</v>
      </c>
      <c r="AH70">
        <f>vlookup("927-007000-500",B:AZ,column(ag1),0)*e70</f>
        <v>0</v>
      </c>
      <c r="AI70">
        <f>vlookup("927-007000-500",B:AZ,column(ah1),0)*e70</f>
        <v>0</v>
      </c>
      <c r="AJ70">
        <f>vlookup("927-007000-500",B:AZ,column(ai1),0)*e70</f>
        <v>0</v>
      </c>
      <c r="AK70">
        <f>vlookup("927-007000-500",B:AZ,column(aj1),0)*e70</f>
        <v>0</v>
      </c>
      <c r="AL70">
        <f>vlookup("927-007000-500",B:AZ,column(ak1),0)*e70</f>
        <v>0</v>
      </c>
      <c r="AM70">
        <f>vlookup("927-007000-500",B:AZ,column(al1),0)*e70</f>
        <v>0</v>
      </c>
      <c r="AN70">
        <f>vlookup("927-007000-500",B:AZ,column(am1),0)*e70</f>
        <v>0</v>
      </c>
      <c r="AO70">
        <f>vlookup("927-007000-500",B:AZ,column(an1),0)*e70</f>
        <v>0</v>
      </c>
    </row>
    <row r="71" spans="1:41">
      <c r="A71" t="s">
        <v>17</v>
      </c>
      <c r="B71" t="s">
        <v>97</v>
      </c>
      <c r="C71" t="s">
        <v>98</v>
      </c>
      <c r="E71">
        <v>1</v>
      </c>
      <c r="F71" t="s">
        <v>13</v>
      </c>
      <c r="I71" t="s">
        <v>15</v>
      </c>
      <c r="J71">
        <f>vlookup("927-007000-500",B:AZ,column(i1),0)*e71</f>
        <v>0</v>
      </c>
      <c r="K71">
        <f>vlookup("927-007000-500",B:AZ,column(j1),0)*e71</f>
        <v>0</v>
      </c>
      <c r="L71">
        <f>vlookup("927-007000-500",B:AZ,column(k1),0)*e71</f>
        <v>0</v>
      </c>
      <c r="M71">
        <f>vlookup("927-007000-500",B:AZ,column(l1),0)*e71</f>
        <v>0</v>
      </c>
      <c r="N71">
        <f>vlookup("927-007000-500",B:AZ,column(m1),0)*e71</f>
        <v>0</v>
      </c>
      <c r="O71">
        <f>vlookup("927-007000-500",B:AZ,column(n1),0)*e71</f>
        <v>0</v>
      </c>
      <c r="P71">
        <f>vlookup("927-007000-500",B:AZ,column(o1),0)*e71</f>
        <v>0</v>
      </c>
      <c r="Q71">
        <f>vlookup("927-007000-500",B:AZ,column(p1),0)*e71</f>
        <v>0</v>
      </c>
      <c r="R71">
        <f>vlookup("927-007000-500",B:AZ,column(q1),0)*e71</f>
        <v>0</v>
      </c>
      <c r="S71">
        <f>vlookup("927-007000-500",B:AZ,column(r1),0)*e71</f>
        <v>0</v>
      </c>
      <c r="T71">
        <f>vlookup("927-007000-500",B:AZ,column(s1),0)*e71</f>
        <v>0</v>
      </c>
      <c r="U71">
        <f>vlookup("927-007000-500",B:AZ,column(t1),0)*e71</f>
        <v>0</v>
      </c>
      <c r="V71">
        <f>vlookup("927-007000-500",B:AZ,column(u1),0)*e71</f>
        <v>0</v>
      </c>
      <c r="W71">
        <f>vlookup("927-007000-500",B:AZ,column(v1),0)*e71</f>
        <v>0</v>
      </c>
      <c r="X71">
        <f>vlookup("927-007000-500",B:AZ,column(w1),0)*e71</f>
        <v>0</v>
      </c>
      <c r="Y71">
        <f>vlookup("927-007000-500",B:AZ,column(x1),0)*e71</f>
        <v>0</v>
      </c>
      <c r="Z71">
        <f>vlookup("927-007000-500",B:AZ,column(y1),0)*e71</f>
        <v>0</v>
      </c>
      <c r="AA71">
        <f>vlookup("927-007000-500",B:AZ,column(z1),0)*e71</f>
        <v>0</v>
      </c>
      <c r="AB71">
        <f>vlookup("927-007000-500",B:AZ,column(aa1),0)*e71</f>
        <v>0</v>
      </c>
      <c r="AC71">
        <f>vlookup("927-007000-500",B:AZ,column(ab1),0)*e71</f>
        <v>0</v>
      </c>
      <c r="AD71">
        <f>vlookup("927-007000-500",B:AZ,column(ac1),0)*e71</f>
        <v>0</v>
      </c>
      <c r="AE71">
        <f>vlookup("927-007000-500",B:AZ,column(ad1),0)*e71</f>
        <v>0</v>
      </c>
      <c r="AF71">
        <f>vlookup("927-007000-500",B:AZ,column(ae1),0)*e71</f>
        <v>0</v>
      </c>
      <c r="AG71">
        <f>vlookup("927-007000-500",B:AZ,column(af1),0)*e71</f>
        <v>0</v>
      </c>
      <c r="AH71">
        <f>vlookup("927-007000-500",B:AZ,column(ag1),0)*e71</f>
        <v>0</v>
      </c>
      <c r="AI71">
        <f>vlookup("927-007000-500",B:AZ,column(ah1),0)*e71</f>
        <v>0</v>
      </c>
      <c r="AJ71">
        <f>vlookup("927-007000-500",B:AZ,column(ai1),0)*e71</f>
        <v>0</v>
      </c>
      <c r="AK71">
        <f>vlookup("927-007000-500",B:AZ,column(aj1),0)*e71</f>
        <v>0</v>
      </c>
      <c r="AL71">
        <f>vlookup("927-007000-500",B:AZ,column(ak1),0)*e71</f>
        <v>0</v>
      </c>
      <c r="AM71">
        <f>vlookup("927-007000-500",B:AZ,column(al1),0)*e71</f>
        <v>0</v>
      </c>
      <c r="AN71">
        <f>vlookup("927-007000-500",B:AZ,column(am1),0)*e71</f>
        <v>0</v>
      </c>
      <c r="AO71">
        <f>vlookup("927-007000-500",B:AZ,column(an1),0)*e71</f>
        <v>0</v>
      </c>
    </row>
    <row r="72" spans="1:41">
      <c r="A72" t="s">
        <v>17</v>
      </c>
      <c r="B72" t="s">
        <v>99</v>
      </c>
      <c r="C72" t="s">
        <v>100</v>
      </c>
      <c r="E72">
        <v>1</v>
      </c>
      <c r="F72" t="s">
        <v>13</v>
      </c>
      <c r="I72" t="s">
        <v>15</v>
      </c>
      <c r="J72">
        <f>vlookup("927-007000-500",B:AZ,column(i1),0)*e72</f>
        <v>0</v>
      </c>
      <c r="K72">
        <f>vlookup("927-007000-500",B:AZ,column(j1),0)*e72</f>
        <v>0</v>
      </c>
      <c r="L72">
        <f>vlookup("927-007000-500",B:AZ,column(k1),0)*e72</f>
        <v>0</v>
      </c>
      <c r="M72">
        <f>vlookup("927-007000-500",B:AZ,column(l1),0)*e72</f>
        <v>0</v>
      </c>
      <c r="N72">
        <f>vlookup("927-007000-500",B:AZ,column(m1),0)*e72</f>
        <v>0</v>
      </c>
      <c r="O72">
        <f>vlookup("927-007000-500",B:AZ,column(n1),0)*e72</f>
        <v>0</v>
      </c>
      <c r="P72">
        <f>vlookup("927-007000-500",B:AZ,column(o1),0)*e72</f>
        <v>0</v>
      </c>
      <c r="Q72">
        <f>vlookup("927-007000-500",B:AZ,column(p1),0)*e72</f>
        <v>0</v>
      </c>
      <c r="R72">
        <f>vlookup("927-007000-500",B:AZ,column(q1),0)*e72</f>
        <v>0</v>
      </c>
      <c r="S72">
        <f>vlookup("927-007000-500",B:AZ,column(r1),0)*e72</f>
        <v>0</v>
      </c>
      <c r="T72">
        <f>vlookup("927-007000-500",B:AZ,column(s1),0)*e72</f>
        <v>0</v>
      </c>
      <c r="U72">
        <f>vlookup("927-007000-500",B:AZ,column(t1),0)*e72</f>
        <v>0</v>
      </c>
      <c r="V72">
        <f>vlookup("927-007000-500",B:AZ,column(u1),0)*e72</f>
        <v>0</v>
      </c>
      <c r="W72">
        <f>vlookup("927-007000-500",B:AZ,column(v1),0)*e72</f>
        <v>0</v>
      </c>
      <c r="X72">
        <f>vlookup("927-007000-500",B:AZ,column(w1),0)*e72</f>
        <v>0</v>
      </c>
      <c r="Y72">
        <f>vlookup("927-007000-500",B:AZ,column(x1),0)*e72</f>
        <v>0</v>
      </c>
      <c r="Z72">
        <f>vlookup("927-007000-500",B:AZ,column(y1),0)*e72</f>
        <v>0</v>
      </c>
      <c r="AA72">
        <f>vlookup("927-007000-500",B:AZ,column(z1),0)*e72</f>
        <v>0</v>
      </c>
      <c r="AB72">
        <f>vlookup("927-007000-500",B:AZ,column(aa1),0)*e72</f>
        <v>0</v>
      </c>
      <c r="AC72">
        <f>vlookup("927-007000-500",B:AZ,column(ab1),0)*e72</f>
        <v>0</v>
      </c>
      <c r="AD72">
        <f>vlookup("927-007000-500",B:AZ,column(ac1),0)*e72</f>
        <v>0</v>
      </c>
      <c r="AE72">
        <f>vlookup("927-007000-500",B:AZ,column(ad1),0)*e72</f>
        <v>0</v>
      </c>
      <c r="AF72">
        <f>vlookup("927-007000-500",B:AZ,column(ae1),0)*e72</f>
        <v>0</v>
      </c>
      <c r="AG72">
        <f>vlookup("927-007000-500",B:AZ,column(af1),0)*e72</f>
        <v>0</v>
      </c>
      <c r="AH72">
        <f>vlookup("927-007000-500",B:AZ,column(ag1),0)*e72</f>
        <v>0</v>
      </c>
      <c r="AI72">
        <f>vlookup("927-007000-500",B:AZ,column(ah1),0)*e72</f>
        <v>0</v>
      </c>
      <c r="AJ72">
        <f>vlookup("927-007000-500",B:AZ,column(ai1),0)*e72</f>
        <v>0</v>
      </c>
      <c r="AK72">
        <f>vlookup("927-007000-500",B:AZ,column(aj1),0)*e72</f>
        <v>0</v>
      </c>
      <c r="AL72">
        <f>vlookup("927-007000-500",B:AZ,column(ak1),0)*e72</f>
        <v>0</v>
      </c>
      <c r="AM72">
        <f>vlookup("927-007000-500",B:AZ,column(al1),0)*e72</f>
        <v>0</v>
      </c>
      <c r="AN72">
        <f>vlookup("927-007000-500",B:AZ,column(am1),0)*e72</f>
        <v>0</v>
      </c>
      <c r="AO72">
        <f>vlookup("927-007000-500",B:AZ,column(an1),0)*e72</f>
        <v>0</v>
      </c>
    </row>
    <row r="73" spans="1:41">
      <c r="A73" t="s">
        <v>78</v>
      </c>
      <c r="B73" t="s">
        <v>101</v>
      </c>
      <c r="C73" t="s">
        <v>102</v>
      </c>
      <c r="E73">
        <v>0.1</v>
      </c>
      <c r="F73" t="s">
        <v>13</v>
      </c>
      <c r="I73" t="s">
        <v>15</v>
      </c>
      <c r="J73">
        <f>vlookup("927-007000-500",B:AZ,column(i1),0)*e73</f>
        <v>0</v>
      </c>
      <c r="K73">
        <f>vlookup("927-007000-500",B:AZ,column(j1),0)*e73</f>
        <v>0</v>
      </c>
      <c r="L73">
        <f>vlookup("927-007000-500",B:AZ,column(k1),0)*e73</f>
        <v>0</v>
      </c>
      <c r="M73">
        <f>vlookup("927-007000-500",B:AZ,column(l1),0)*e73</f>
        <v>0</v>
      </c>
      <c r="N73">
        <f>vlookup("927-007000-500",B:AZ,column(m1),0)*e73</f>
        <v>0</v>
      </c>
      <c r="O73">
        <f>vlookup("927-007000-500",B:AZ,column(n1),0)*e73</f>
        <v>0</v>
      </c>
      <c r="P73">
        <f>vlookup("927-007000-500",B:AZ,column(o1),0)*e73</f>
        <v>0</v>
      </c>
      <c r="Q73">
        <f>vlookup("927-007000-500",B:AZ,column(p1),0)*e73</f>
        <v>0</v>
      </c>
      <c r="R73">
        <f>vlookup("927-007000-500",B:AZ,column(q1),0)*e73</f>
        <v>0</v>
      </c>
      <c r="S73">
        <f>vlookup("927-007000-500",B:AZ,column(r1),0)*e73</f>
        <v>0</v>
      </c>
      <c r="T73">
        <f>vlookup("927-007000-500",B:AZ,column(s1),0)*e73</f>
        <v>0</v>
      </c>
      <c r="U73">
        <f>vlookup("927-007000-500",B:AZ,column(t1),0)*e73</f>
        <v>0</v>
      </c>
      <c r="V73">
        <f>vlookup("927-007000-500",B:AZ,column(u1),0)*e73</f>
        <v>0</v>
      </c>
      <c r="W73">
        <f>vlookup("927-007000-500",B:AZ,column(v1),0)*e73</f>
        <v>0</v>
      </c>
      <c r="X73">
        <f>vlookup("927-007000-500",B:AZ,column(w1),0)*e73</f>
        <v>0</v>
      </c>
      <c r="Y73">
        <f>vlookup("927-007000-500",B:AZ,column(x1),0)*e73</f>
        <v>0</v>
      </c>
      <c r="Z73">
        <f>vlookup("927-007000-500",B:AZ,column(y1),0)*e73</f>
        <v>0</v>
      </c>
      <c r="AA73">
        <f>vlookup("927-007000-500",B:AZ,column(z1),0)*e73</f>
        <v>0</v>
      </c>
      <c r="AB73">
        <f>vlookup("927-007000-500",B:AZ,column(aa1),0)*e73</f>
        <v>0</v>
      </c>
      <c r="AC73">
        <f>vlookup("927-007000-500",B:AZ,column(ab1),0)*e73</f>
        <v>0</v>
      </c>
      <c r="AD73">
        <f>vlookup("927-007000-500",B:AZ,column(ac1),0)*e73</f>
        <v>0</v>
      </c>
      <c r="AE73">
        <f>vlookup("927-007000-500",B:AZ,column(ad1),0)*e73</f>
        <v>0</v>
      </c>
      <c r="AF73">
        <f>vlookup("927-007000-500",B:AZ,column(ae1),0)*e73</f>
        <v>0</v>
      </c>
      <c r="AG73">
        <f>vlookup("927-007000-500",B:AZ,column(af1),0)*e73</f>
        <v>0</v>
      </c>
      <c r="AH73">
        <f>vlookup("927-007000-500",B:AZ,column(ag1),0)*e73</f>
        <v>0</v>
      </c>
      <c r="AI73">
        <f>vlookup("927-007000-500",B:AZ,column(ah1),0)*e73</f>
        <v>0</v>
      </c>
      <c r="AJ73">
        <f>vlookup("927-007000-500",B:AZ,column(ai1),0)*e73</f>
        <v>0</v>
      </c>
      <c r="AK73">
        <f>vlookup("927-007000-500",B:AZ,column(aj1),0)*e73</f>
        <v>0</v>
      </c>
      <c r="AL73">
        <f>vlookup("927-007000-500",B:AZ,column(ak1),0)*e73</f>
        <v>0</v>
      </c>
      <c r="AM73">
        <f>vlookup("927-007000-500",B:AZ,column(al1),0)*e73</f>
        <v>0</v>
      </c>
      <c r="AN73">
        <f>vlookup("927-007000-500",B:AZ,column(am1),0)*e73</f>
        <v>0</v>
      </c>
      <c r="AO73">
        <f>vlookup("927-007000-500",B:AZ,column(an1),0)*e73</f>
        <v>0</v>
      </c>
    </row>
    <row r="74" spans="1:41">
      <c r="A74" t="s">
        <v>78</v>
      </c>
      <c r="B74" t="s">
        <v>103</v>
      </c>
      <c r="C74" t="s">
        <v>104</v>
      </c>
      <c r="E74">
        <v>1</v>
      </c>
      <c r="F74" t="s">
        <v>13</v>
      </c>
      <c r="I74" t="s">
        <v>15</v>
      </c>
      <c r="J74">
        <f>vlookup("927-007000-500",B:AZ,column(i1),0)*e74</f>
        <v>0</v>
      </c>
      <c r="K74">
        <f>vlookup("927-007000-500",B:AZ,column(j1),0)*e74</f>
        <v>0</v>
      </c>
      <c r="L74">
        <f>vlookup("927-007000-500",B:AZ,column(k1),0)*e74</f>
        <v>0</v>
      </c>
      <c r="M74">
        <f>vlookup("927-007000-500",B:AZ,column(l1),0)*e74</f>
        <v>0</v>
      </c>
      <c r="N74">
        <f>vlookup("927-007000-500",B:AZ,column(m1),0)*e74</f>
        <v>0</v>
      </c>
      <c r="O74">
        <f>vlookup("927-007000-500",B:AZ,column(n1),0)*e74</f>
        <v>0</v>
      </c>
      <c r="P74">
        <f>vlookup("927-007000-500",B:AZ,column(o1),0)*e74</f>
        <v>0</v>
      </c>
      <c r="Q74">
        <f>vlookup("927-007000-500",B:AZ,column(p1),0)*e74</f>
        <v>0</v>
      </c>
      <c r="R74">
        <f>vlookup("927-007000-500",B:AZ,column(q1),0)*e74</f>
        <v>0</v>
      </c>
      <c r="S74">
        <f>vlookup("927-007000-500",B:AZ,column(r1),0)*e74</f>
        <v>0</v>
      </c>
      <c r="T74">
        <f>vlookup("927-007000-500",B:AZ,column(s1),0)*e74</f>
        <v>0</v>
      </c>
      <c r="U74">
        <f>vlookup("927-007000-500",B:AZ,column(t1),0)*e74</f>
        <v>0</v>
      </c>
      <c r="V74">
        <f>vlookup("927-007000-500",B:AZ,column(u1),0)*e74</f>
        <v>0</v>
      </c>
      <c r="W74">
        <f>vlookup("927-007000-500",B:AZ,column(v1),0)*e74</f>
        <v>0</v>
      </c>
      <c r="X74">
        <f>vlookup("927-007000-500",B:AZ,column(w1),0)*e74</f>
        <v>0</v>
      </c>
      <c r="Y74">
        <f>vlookup("927-007000-500",B:AZ,column(x1),0)*e74</f>
        <v>0</v>
      </c>
      <c r="Z74">
        <f>vlookup("927-007000-500",B:AZ,column(y1),0)*e74</f>
        <v>0</v>
      </c>
      <c r="AA74">
        <f>vlookup("927-007000-500",B:AZ,column(z1),0)*e74</f>
        <v>0</v>
      </c>
      <c r="AB74">
        <f>vlookup("927-007000-500",B:AZ,column(aa1),0)*e74</f>
        <v>0</v>
      </c>
      <c r="AC74">
        <f>vlookup("927-007000-500",B:AZ,column(ab1),0)*e74</f>
        <v>0</v>
      </c>
      <c r="AD74">
        <f>vlookup("927-007000-500",B:AZ,column(ac1),0)*e74</f>
        <v>0</v>
      </c>
      <c r="AE74">
        <f>vlookup("927-007000-500",B:AZ,column(ad1),0)*e74</f>
        <v>0</v>
      </c>
      <c r="AF74">
        <f>vlookup("927-007000-500",B:AZ,column(ae1),0)*e74</f>
        <v>0</v>
      </c>
      <c r="AG74">
        <f>vlookup("927-007000-500",B:AZ,column(af1),0)*e74</f>
        <v>0</v>
      </c>
      <c r="AH74">
        <f>vlookup("927-007000-500",B:AZ,column(ag1),0)*e74</f>
        <v>0</v>
      </c>
      <c r="AI74">
        <f>vlookup("927-007000-500",B:AZ,column(ah1),0)*e74</f>
        <v>0</v>
      </c>
      <c r="AJ74">
        <f>vlookup("927-007000-500",B:AZ,column(ai1),0)*e74</f>
        <v>0</v>
      </c>
      <c r="AK74">
        <f>vlookup("927-007000-500",B:AZ,column(aj1),0)*e74</f>
        <v>0</v>
      </c>
      <c r="AL74">
        <f>vlookup("927-007000-500",B:AZ,column(ak1),0)*e74</f>
        <v>0</v>
      </c>
      <c r="AM74">
        <f>vlookup("927-007000-500",B:AZ,column(al1),0)*e74</f>
        <v>0</v>
      </c>
      <c r="AN74">
        <f>vlookup("927-007000-500",B:AZ,column(am1),0)*e74</f>
        <v>0</v>
      </c>
      <c r="AO74">
        <f>vlookup("927-007000-500",B:AZ,column(an1),0)*e74</f>
        <v>0</v>
      </c>
    </row>
    <row r="75" spans="1:41">
      <c r="A75" t="s">
        <v>43</v>
      </c>
      <c r="B75" t="s">
        <v>105</v>
      </c>
      <c r="C75" t="s">
        <v>106</v>
      </c>
      <c r="E75">
        <v>0.1</v>
      </c>
      <c r="F75" t="s">
        <v>13</v>
      </c>
      <c r="I75" t="s">
        <v>15</v>
      </c>
      <c r="J75">
        <f>vlookup("927-007000-500",B:AZ,column(i1),0)*e75</f>
        <v>0</v>
      </c>
      <c r="K75">
        <f>vlookup("927-007000-500",B:AZ,column(j1),0)*e75</f>
        <v>0</v>
      </c>
      <c r="L75">
        <f>vlookup("927-007000-500",B:AZ,column(k1),0)*e75</f>
        <v>0</v>
      </c>
      <c r="M75">
        <f>vlookup("927-007000-500",B:AZ,column(l1),0)*e75</f>
        <v>0</v>
      </c>
      <c r="N75">
        <f>vlookup("927-007000-500",B:AZ,column(m1),0)*e75</f>
        <v>0</v>
      </c>
      <c r="O75">
        <f>vlookup("927-007000-500",B:AZ,column(n1),0)*e75</f>
        <v>0</v>
      </c>
      <c r="P75">
        <f>vlookup("927-007000-500",B:AZ,column(o1),0)*e75</f>
        <v>0</v>
      </c>
      <c r="Q75">
        <f>vlookup("927-007000-500",B:AZ,column(p1),0)*e75</f>
        <v>0</v>
      </c>
      <c r="R75">
        <f>vlookup("927-007000-500",B:AZ,column(q1),0)*e75</f>
        <v>0</v>
      </c>
      <c r="S75">
        <f>vlookup("927-007000-500",B:AZ,column(r1),0)*e75</f>
        <v>0</v>
      </c>
      <c r="T75">
        <f>vlookup("927-007000-500",B:AZ,column(s1),0)*e75</f>
        <v>0</v>
      </c>
      <c r="U75">
        <f>vlookup("927-007000-500",B:AZ,column(t1),0)*e75</f>
        <v>0</v>
      </c>
      <c r="V75">
        <f>vlookup("927-007000-500",B:AZ,column(u1),0)*e75</f>
        <v>0</v>
      </c>
      <c r="W75">
        <f>vlookup("927-007000-500",B:AZ,column(v1),0)*e75</f>
        <v>0</v>
      </c>
      <c r="X75">
        <f>vlookup("927-007000-500",B:AZ,column(w1),0)*e75</f>
        <v>0</v>
      </c>
      <c r="Y75">
        <f>vlookup("927-007000-500",B:AZ,column(x1),0)*e75</f>
        <v>0</v>
      </c>
      <c r="Z75">
        <f>vlookup("927-007000-500",B:AZ,column(y1),0)*e75</f>
        <v>0</v>
      </c>
      <c r="AA75">
        <f>vlookup("927-007000-500",B:AZ,column(z1),0)*e75</f>
        <v>0</v>
      </c>
      <c r="AB75">
        <f>vlookup("927-007000-500",B:AZ,column(aa1),0)*e75</f>
        <v>0</v>
      </c>
      <c r="AC75">
        <f>vlookup("927-007000-500",B:AZ,column(ab1),0)*e75</f>
        <v>0</v>
      </c>
      <c r="AD75">
        <f>vlookup("927-007000-500",B:AZ,column(ac1),0)*e75</f>
        <v>0</v>
      </c>
      <c r="AE75">
        <f>vlookup("927-007000-500",B:AZ,column(ad1),0)*e75</f>
        <v>0</v>
      </c>
      <c r="AF75">
        <f>vlookup("927-007000-500",B:AZ,column(ae1),0)*e75</f>
        <v>0</v>
      </c>
      <c r="AG75">
        <f>vlookup("927-007000-500",B:AZ,column(af1),0)*e75</f>
        <v>0</v>
      </c>
      <c r="AH75">
        <f>vlookup("927-007000-500",B:AZ,column(ag1),0)*e75</f>
        <v>0</v>
      </c>
      <c r="AI75">
        <f>vlookup("927-007000-500",B:AZ,column(ah1),0)*e75</f>
        <v>0</v>
      </c>
      <c r="AJ75">
        <f>vlookup("927-007000-500",B:AZ,column(ai1),0)*e75</f>
        <v>0</v>
      </c>
      <c r="AK75">
        <f>vlookup("927-007000-500",B:AZ,column(aj1),0)*e75</f>
        <v>0</v>
      </c>
      <c r="AL75">
        <f>vlookup("927-007000-500",B:AZ,column(ak1),0)*e75</f>
        <v>0</v>
      </c>
      <c r="AM75">
        <f>vlookup("927-007000-500",B:AZ,column(al1),0)*e75</f>
        <v>0</v>
      </c>
      <c r="AN75">
        <f>vlookup("927-007000-500",B:AZ,column(am1),0)*e75</f>
        <v>0</v>
      </c>
      <c r="AO75">
        <f>vlookup("927-007000-500",B:AZ,column(an1),0)*e75</f>
        <v>0</v>
      </c>
    </row>
    <row r="76" spans="1:41">
      <c r="A76" t="s">
        <v>10</v>
      </c>
      <c r="B76" t="s">
        <v>107</v>
      </c>
      <c r="C76" t="s">
        <v>108</v>
      </c>
      <c r="E76">
        <v>1</v>
      </c>
      <c r="F76" t="s">
        <v>13</v>
      </c>
      <c r="I76" t="s">
        <v>14</v>
      </c>
      <c r="AO76">
        <f>sum(j76:an76)</f>
        <v>0</v>
      </c>
    </row>
    <row r="77" spans="1:41">
      <c r="I77" t="s">
        <v>15</v>
      </c>
      <c r="J77">
        <f>vlookup("927-004856-300",Out!B:AZ,column(i1),0)</f>
        <v>0</v>
      </c>
      <c r="K77">
        <f>vlookup("927-004856-300",Out!B:AZ,column(j1),0)</f>
        <v>0</v>
      </c>
      <c r="L77">
        <f>vlookup("927-004856-300",Out!B:AZ,column(k1),0)</f>
        <v>0</v>
      </c>
      <c r="M77">
        <f>vlookup("927-004856-300",Out!B:AZ,column(l1),0)</f>
        <v>0</v>
      </c>
      <c r="N77">
        <f>vlookup("927-004856-300",Out!B:AZ,column(m1),0)</f>
        <v>0</v>
      </c>
      <c r="O77">
        <f>vlookup("927-004856-300",Out!B:AZ,column(n1),0)</f>
        <v>0</v>
      </c>
      <c r="P77">
        <f>vlookup("927-004856-300",Out!B:AZ,column(o1),0)</f>
        <v>0</v>
      </c>
      <c r="Q77">
        <f>vlookup("927-004856-300",Out!B:AZ,column(p1),0)</f>
        <v>0</v>
      </c>
      <c r="R77">
        <f>vlookup("927-004856-300",Out!B:AZ,column(q1),0)</f>
        <v>0</v>
      </c>
      <c r="S77">
        <f>vlookup("927-004856-300",Out!B:AZ,column(r1),0)</f>
        <v>0</v>
      </c>
      <c r="T77">
        <f>vlookup("927-004856-300",Out!B:AZ,column(s1),0)</f>
        <v>0</v>
      </c>
      <c r="U77">
        <f>vlookup("927-004856-300",Out!B:AZ,column(t1),0)</f>
        <v>0</v>
      </c>
      <c r="V77">
        <f>vlookup("927-004856-300",Out!B:AZ,column(u1),0)</f>
        <v>0</v>
      </c>
      <c r="W77">
        <f>vlookup("927-004856-300",Out!B:AZ,column(v1),0)</f>
        <v>0</v>
      </c>
      <c r="X77">
        <f>vlookup("927-004856-300",Out!B:AZ,column(w1),0)</f>
        <v>0</v>
      </c>
      <c r="Y77">
        <f>vlookup("927-004856-300",Out!B:AZ,column(x1),0)</f>
        <v>0</v>
      </c>
      <c r="Z77">
        <f>vlookup("927-004856-300",Out!B:AZ,column(y1),0)</f>
        <v>0</v>
      </c>
      <c r="AA77">
        <f>vlookup("927-004856-300",Out!B:AZ,column(z1),0)</f>
        <v>0</v>
      </c>
      <c r="AB77">
        <f>vlookup("927-004856-300",Out!B:AZ,column(aa1),0)</f>
        <v>0</v>
      </c>
      <c r="AC77">
        <f>vlookup("927-004856-300",Out!B:AZ,column(ab1),0)</f>
        <v>0</v>
      </c>
      <c r="AD77">
        <f>vlookup("927-004856-300",Out!B:AZ,column(ac1),0)</f>
        <v>0</v>
      </c>
      <c r="AE77">
        <f>vlookup("927-004856-300",Out!B:AZ,column(ad1),0)</f>
        <v>0</v>
      </c>
      <c r="AF77">
        <f>vlookup("927-004856-300",Out!B:AZ,column(ae1),0)</f>
        <v>0</v>
      </c>
      <c r="AG77">
        <f>vlookup("927-004856-300",Out!B:AZ,column(af1),0)</f>
        <v>0</v>
      </c>
      <c r="AH77">
        <f>vlookup("927-004856-300",Out!B:AZ,column(ag1),0)</f>
        <v>0</v>
      </c>
      <c r="AI77">
        <f>vlookup("927-004856-300",Out!B:AZ,column(ah1),0)</f>
        <v>0</v>
      </c>
      <c r="AJ77">
        <f>vlookup("927-004856-300",Out!B:AZ,column(ai1),0)</f>
        <v>0</v>
      </c>
      <c r="AK77">
        <f>vlookup("927-004856-300",Out!B:AZ,column(aj1),0)</f>
        <v>0</v>
      </c>
      <c r="AL77">
        <f>vlookup("927-004856-300",Out!B:AZ,column(ak1),0)</f>
        <v>0</v>
      </c>
      <c r="AM77">
        <f>vlookup("927-004856-300",Out!B:AZ,column(al1),0)</f>
        <v>0</v>
      </c>
      <c r="AN77">
        <f>vlookup("927-004856-300",Out!B:AZ,column(am1),0)</f>
        <v>0</v>
      </c>
      <c r="AO77">
        <f>vlookup("927-004856-300",Out!B:AZ,column(an1),0)</f>
        <v>0</v>
      </c>
    </row>
    <row r="78" spans="1:41">
      <c r="H78" t="s">
        <v>16</v>
      </c>
      <c r="J78">
        <f>indirect(address(78,9))+indirect(address(76,10))-indirect(address(77,10))</f>
        <v>0</v>
      </c>
      <c r="K78">
        <f>indirect(address(78,10))+indirect(address(76,11))-indirect(address(77,11))</f>
        <v>0</v>
      </c>
      <c r="L78">
        <f>indirect(address(78,11))+indirect(address(76,12))-indirect(address(77,12))</f>
        <v>0</v>
      </c>
      <c r="M78">
        <f>indirect(address(78,12))+indirect(address(76,13))-indirect(address(77,13))</f>
        <v>0</v>
      </c>
      <c r="N78">
        <f>indirect(address(78,13))+indirect(address(76,14))-indirect(address(77,14))</f>
        <v>0</v>
      </c>
      <c r="O78">
        <f>indirect(address(78,14))+indirect(address(76,15))-indirect(address(77,15))</f>
        <v>0</v>
      </c>
      <c r="P78">
        <f>indirect(address(78,15))+indirect(address(76,16))-indirect(address(77,16))</f>
        <v>0</v>
      </c>
      <c r="Q78">
        <f>indirect(address(78,16))+indirect(address(76,17))-indirect(address(77,17))</f>
        <v>0</v>
      </c>
      <c r="R78">
        <f>indirect(address(78,17))+indirect(address(76,18))-indirect(address(77,18))</f>
        <v>0</v>
      </c>
      <c r="S78">
        <f>indirect(address(78,18))+indirect(address(76,19))-indirect(address(77,19))</f>
        <v>0</v>
      </c>
      <c r="T78">
        <f>indirect(address(78,19))+indirect(address(76,20))-indirect(address(77,20))</f>
        <v>0</v>
      </c>
      <c r="U78">
        <f>indirect(address(78,20))+indirect(address(76,21))-indirect(address(77,21))</f>
        <v>0</v>
      </c>
      <c r="V78">
        <f>indirect(address(78,21))+indirect(address(76,22))-indirect(address(77,22))</f>
        <v>0</v>
      </c>
      <c r="W78">
        <f>indirect(address(78,22))+indirect(address(76,23))-indirect(address(77,23))</f>
        <v>0</v>
      </c>
      <c r="X78">
        <f>indirect(address(78,23))+indirect(address(76,24))-indirect(address(77,24))</f>
        <v>0</v>
      </c>
      <c r="Y78">
        <f>indirect(address(78,24))+indirect(address(76,25))-indirect(address(77,25))</f>
        <v>0</v>
      </c>
      <c r="Z78">
        <f>indirect(address(78,25))+indirect(address(76,26))-indirect(address(77,26))</f>
        <v>0</v>
      </c>
      <c r="AA78">
        <f>indirect(address(78,26))+indirect(address(76,27))-indirect(address(77,27))</f>
        <v>0</v>
      </c>
      <c r="AB78">
        <f>indirect(address(78,27))+indirect(address(76,28))-indirect(address(77,28))</f>
        <v>0</v>
      </c>
      <c r="AC78">
        <f>indirect(address(78,28))+indirect(address(76,29))-indirect(address(77,29))</f>
        <v>0</v>
      </c>
      <c r="AD78">
        <f>indirect(address(78,29))+indirect(address(76,30))-indirect(address(77,30))</f>
        <v>0</v>
      </c>
      <c r="AE78">
        <f>indirect(address(78,30))+indirect(address(76,31))-indirect(address(77,31))</f>
        <v>0</v>
      </c>
      <c r="AF78">
        <f>indirect(address(78,31))+indirect(address(76,32))-indirect(address(77,32))</f>
        <v>0</v>
      </c>
      <c r="AG78">
        <f>indirect(address(78,32))+indirect(address(76,33))-indirect(address(77,33))</f>
        <v>0</v>
      </c>
      <c r="AH78">
        <f>indirect(address(78,33))+indirect(address(76,34))-indirect(address(77,34))</f>
        <v>0</v>
      </c>
      <c r="AI78">
        <f>indirect(address(78,34))+indirect(address(76,35))-indirect(address(77,35))</f>
        <v>0</v>
      </c>
      <c r="AJ78">
        <f>indirect(address(78,35))+indirect(address(76,36))-indirect(address(77,36))</f>
        <v>0</v>
      </c>
      <c r="AK78">
        <f>indirect(address(78,36))+indirect(address(76,37))-indirect(address(77,37))</f>
        <v>0</v>
      </c>
      <c r="AL78">
        <f>indirect(address(78,37))+indirect(address(76,38))-indirect(address(77,38))</f>
        <v>0</v>
      </c>
      <c r="AM78">
        <f>indirect(address(78,38))+indirect(address(76,39))-indirect(address(77,39))</f>
        <v>0</v>
      </c>
      <c r="AN78">
        <f>indirect(address(78,39))+indirect(address(76,40))-indirect(address(77,40))</f>
        <v>0</v>
      </c>
      <c r="AO78">
        <f>indirect(address(78,40))</f>
        <v>0</v>
      </c>
    </row>
    <row r="79" spans="1:41">
      <c r="A79" t="s">
        <v>17</v>
      </c>
      <c r="B79" t="s">
        <v>109</v>
      </c>
      <c r="C79" t="s">
        <v>110</v>
      </c>
      <c r="E79">
        <v>1</v>
      </c>
      <c r="F79" t="s">
        <v>13</v>
      </c>
      <c r="I79" t="s">
        <v>15</v>
      </c>
      <c r="J79">
        <f>vlookup("927-004856-300",B:AZ,column(i1),0)*e79</f>
        <v>0</v>
      </c>
      <c r="K79">
        <f>vlookup("927-004856-300",B:AZ,column(j1),0)*e79</f>
        <v>0</v>
      </c>
      <c r="L79">
        <f>vlookup("927-004856-300",B:AZ,column(k1),0)*e79</f>
        <v>0</v>
      </c>
      <c r="M79">
        <f>vlookup("927-004856-300",B:AZ,column(l1),0)*e79</f>
        <v>0</v>
      </c>
      <c r="N79">
        <f>vlookup("927-004856-300",B:AZ,column(m1),0)*e79</f>
        <v>0</v>
      </c>
      <c r="O79">
        <f>vlookup("927-004856-300",B:AZ,column(n1),0)*e79</f>
        <v>0</v>
      </c>
      <c r="P79">
        <f>vlookup("927-004856-300",B:AZ,column(o1),0)*e79</f>
        <v>0</v>
      </c>
      <c r="Q79">
        <f>vlookup("927-004856-300",B:AZ,column(p1),0)*e79</f>
        <v>0</v>
      </c>
      <c r="R79">
        <f>vlookup("927-004856-300",B:AZ,column(q1),0)*e79</f>
        <v>0</v>
      </c>
      <c r="S79">
        <f>vlookup("927-004856-300",B:AZ,column(r1),0)*e79</f>
        <v>0</v>
      </c>
      <c r="T79">
        <f>vlookup("927-004856-300",B:AZ,column(s1),0)*e79</f>
        <v>0</v>
      </c>
      <c r="U79">
        <f>vlookup("927-004856-300",B:AZ,column(t1),0)*e79</f>
        <v>0</v>
      </c>
      <c r="V79">
        <f>vlookup("927-004856-300",B:AZ,column(u1),0)*e79</f>
        <v>0</v>
      </c>
      <c r="W79">
        <f>vlookup("927-004856-300",B:AZ,column(v1),0)*e79</f>
        <v>0</v>
      </c>
      <c r="X79">
        <f>vlookup("927-004856-300",B:AZ,column(w1),0)*e79</f>
        <v>0</v>
      </c>
      <c r="Y79">
        <f>vlookup("927-004856-300",B:AZ,column(x1),0)*e79</f>
        <v>0</v>
      </c>
      <c r="Z79">
        <f>vlookup("927-004856-300",B:AZ,column(y1),0)*e79</f>
        <v>0</v>
      </c>
      <c r="AA79">
        <f>vlookup("927-004856-300",B:AZ,column(z1),0)*e79</f>
        <v>0</v>
      </c>
      <c r="AB79">
        <f>vlookup("927-004856-300",B:AZ,column(aa1),0)*e79</f>
        <v>0</v>
      </c>
      <c r="AC79">
        <f>vlookup("927-004856-300",B:AZ,column(ab1),0)*e79</f>
        <v>0</v>
      </c>
      <c r="AD79">
        <f>vlookup("927-004856-300",B:AZ,column(ac1),0)*e79</f>
        <v>0</v>
      </c>
      <c r="AE79">
        <f>vlookup("927-004856-300",B:AZ,column(ad1),0)*e79</f>
        <v>0</v>
      </c>
      <c r="AF79">
        <f>vlookup("927-004856-300",B:AZ,column(ae1),0)*e79</f>
        <v>0</v>
      </c>
      <c r="AG79">
        <f>vlookup("927-004856-300",B:AZ,column(af1),0)*e79</f>
        <v>0</v>
      </c>
      <c r="AH79">
        <f>vlookup("927-004856-300",B:AZ,column(ag1),0)*e79</f>
        <v>0</v>
      </c>
      <c r="AI79">
        <f>vlookup("927-004856-300",B:AZ,column(ah1),0)*e79</f>
        <v>0</v>
      </c>
      <c r="AJ79">
        <f>vlookup("927-004856-300",B:AZ,column(ai1),0)*e79</f>
        <v>0</v>
      </c>
      <c r="AK79">
        <f>vlookup("927-004856-300",B:AZ,column(aj1),0)*e79</f>
        <v>0</v>
      </c>
      <c r="AL79">
        <f>vlookup("927-004856-300",B:AZ,column(ak1),0)*e79</f>
        <v>0</v>
      </c>
      <c r="AM79">
        <f>vlookup("927-004856-300",B:AZ,column(al1),0)*e79</f>
        <v>0</v>
      </c>
      <c r="AN79">
        <f>vlookup("927-004856-300",B:AZ,column(am1),0)*e79</f>
        <v>0</v>
      </c>
      <c r="AO79">
        <f>vlookup("927-004856-300",B:AZ,column(an1),0)*e79</f>
        <v>0</v>
      </c>
    </row>
    <row r="80" spans="1:41">
      <c r="A80" t="s">
        <v>17</v>
      </c>
      <c r="B80" t="s">
        <v>111</v>
      </c>
      <c r="C80" t="s">
        <v>112</v>
      </c>
      <c r="E80">
        <v>1</v>
      </c>
      <c r="F80" t="s">
        <v>13</v>
      </c>
      <c r="I80" t="s">
        <v>15</v>
      </c>
      <c r="J80">
        <f>vlookup("927-004856-300",B:AZ,column(i1),0)*e80</f>
        <v>0</v>
      </c>
      <c r="K80">
        <f>vlookup("927-004856-300",B:AZ,column(j1),0)*e80</f>
        <v>0</v>
      </c>
      <c r="L80">
        <f>vlookup("927-004856-300",B:AZ,column(k1),0)*e80</f>
        <v>0</v>
      </c>
      <c r="M80">
        <f>vlookup("927-004856-300",B:AZ,column(l1),0)*e80</f>
        <v>0</v>
      </c>
      <c r="N80">
        <f>vlookup("927-004856-300",B:AZ,column(m1),0)*e80</f>
        <v>0</v>
      </c>
      <c r="O80">
        <f>vlookup("927-004856-300",B:AZ,column(n1),0)*e80</f>
        <v>0</v>
      </c>
      <c r="P80">
        <f>vlookup("927-004856-300",B:AZ,column(o1),0)*e80</f>
        <v>0</v>
      </c>
      <c r="Q80">
        <f>vlookup("927-004856-300",B:AZ,column(p1),0)*e80</f>
        <v>0</v>
      </c>
      <c r="R80">
        <f>vlookup("927-004856-300",B:AZ,column(q1),0)*e80</f>
        <v>0</v>
      </c>
      <c r="S80">
        <f>vlookup("927-004856-300",B:AZ,column(r1),0)*e80</f>
        <v>0</v>
      </c>
      <c r="T80">
        <f>vlookup("927-004856-300",B:AZ,column(s1),0)*e80</f>
        <v>0</v>
      </c>
      <c r="U80">
        <f>vlookup("927-004856-300",B:AZ,column(t1),0)*e80</f>
        <v>0</v>
      </c>
      <c r="V80">
        <f>vlookup("927-004856-300",B:AZ,column(u1),0)*e80</f>
        <v>0</v>
      </c>
      <c r="W80">
        <f>vlookup("927-004856-300",B:AZ,column(v1),0)*e80</f>
        <v>0</v>
      </c>
      <c r="X80">
        <f>vlookup("927-004856-300",B:AZ,column(w1),0)*e80</f>
        <v>0</v>
      </c>
      <c r="Y80">
        <f>vlookup("927-004856-300",B:AZ,column(x1),0)*e80</f>
        <v>0</v>
      </c>
      <c r="Z80">
        <f>vlookup("927-004856-300",B:AZ,column(y1),0)*e80</f>
        <v>0</v>
      </c>
      <c r="AA80">
        <f>vlookup("927-004856-300",B:AZ,column(z1),0)*e80</f>
        <v>0</v>
      </c>
      <c r="AB80">
        <f>vlookup("927-004856-300",B:AZ,column(aa1),0)*e80</f>
        <v>0</v>
      </c>
      <c r="AC80">
        <f>vlookup("927-004856-300",B:AZ,column(ab1),0)*e80</f>
        <v>0</v>
      </c>
      <c r="AD80">
        <f>vlookup("927-004856-300",B:AZ,column(ac1),0)*e80</f>
        <v>0</v>
      </c>
      <c r="AE80">
        <f>vlookup("927-004856-300",B:AZ,column(ad1),0)*e80</f>
        <v>0</v>
      </c>
      <c r="AF80">
        <f>vlookup("927-004856-300",B:AZ,column(ae1),0)*e80</f>
        <v>0</v>
      </c>
      <c r="AG80">
        <f>vlookup("927-004856-300",B:AZ,column(af1),0)*e80</f>
        <v>0</v>
      </c>
      <c r="AH80">
        <f>vlookup("927-004856-300",B:AZ,column(ag1),0)*e80</f>
        <v>0</v>
      </c>
      <c r="AI80">
        <f>vlookup("927-004856-300",B:AZ,column(ah1),0)*e80</f>
        <v>0</v>
      </c>
      <c r="AJ80">
        <f>vlookup("927-004856-300",B:AZ,column(ai1),0)*e80</f>
        <v>0</v>
      </c>
      <c r="AK80">
        <f>vlookup("927-004856-300",B:AZ,column(aj1),0)*e80</f>
        <v>0</v>
      </c>
      <c r="AL80">
        <f>vlookup("927-004856-300",B:AZ,column(ak1),0)*e80</f>
        <v>0</v>
      </c>
      <c r="AM80">
        <f>vlookup("927-004856-300",B:AZ,column(al1),0)*e80</f>
        <v>0</v>
      </c>
      <c r="AN80">
        <f>vlookup("927-004856-300",B:AZ,column(am1),0)*e80</f>
        <v>0</v>
      </c>
      <c r="AO80">
        <f>vlookup("927-004856-300",B:AZ,column(an1),0)*e80</f>
        <v>0</v>
      </c>
    </row>
    <row r="81" spans="1:41">
      <c r="A81" t="s">
        <v>17</v>
      </c>
      <c r="B81" t="s">
        <v>99</v>
      </c>
      <c r="C81" t="s">
        <v>113</v>
      </c>
      <c r="E81">
        <v>2</v>
      </c>
      <c r="F81" t="s">
        <v>13</v>
      </c>
      <c r="I81" t="s">
        <v>15</v>
      </c>
      <c r="J81">
        <f>vlookup("927-004856-300",B:AZ,column(i1),0)*e81</f>
        <v>0</v>
      </c>
      <c r="K81">
        <f>vlookup("927-004856-300",B:AZ,column(j1),0)*e81</f>
        <v>0</v>
      </c>
      <c r="L81">
        <f>vlookup("927-004856-300",B:AZ,column(k1),0)*e81</f>
        <v>0</v>
      </c>
      <c r="M81">
        <f>vlookup("927-004856-300",B:AZ,column(l1),0)*e81</f>
        <v>0</v>
      </c>
      <c r="N81">
        <f>vlookup("927-004856-300",B:AZ,column(m1),0)*e81</f>
        <v>0</v>
      </c>
      <c r="O81">
        <f>vlookup("927-004856-300",B:AZ,column(n1),0)*e81</f>
        <v>0</v>
      </c>
      <c r="P81">
        <f>vlookup("927-004856-300",B:AZ,column(o1),0)*e81</f>
        <v>0</v>
      </c>
      <c r="Q81">
        <f>vlookup("927-004856-300",B:AZ,column(p1),0)*e81</f>
        <v>0</v>
      </c>
      <c r="R81">
        <f>vlookup("927-004856-300",B:AZ,column(q1),0)*e81</f>
        <v>0</v>
      </c>
      <c r="S81">
        <f>vlookup("927-004856-300",B:AZ,column(r1),0)*e81</f>
        <v>0</v>
      </c>
      <c r="T81">
        <f>vlookup("927-004856-300",B:AZ,column(s1),0)*e81</f>
        <v>0</v>
      </c>
      <c r="U81">
        <f>vlookup("927-004856-300",B:AZ,column(t1),0)*e81</f>
        <v>0</v>
      </c>
      <c r="V81">
        <f>vlookup("927-004856-300",B:AZ,column(u1),0)*e81</f>
        <v>0</v>
      </c>
      <c r="W81">
        <f>vlookup("927-004856-300",B:AZ,column(v1),0)*e81</f>
        <v>0</v>
      </c>
      <c r="X81">
        <f>vlookup("927-004856-300",B:AZ,column(w1),0)*e81</f>
        <v>0</v>
      </c>
      <c r="Y81">
        <f>vlookup("927-004856-300",B:AZ,column(x1),0)*e81</f>
        <v>0</v>
      </c>
      <c r="Z81">
        <f>vlookup("927-004856-300",B:AZ,column(y1),0)*e81</f>
        <v>0</v>
      </c>
      <c r="AA81">
        <f>vlookup("927-004856-300",B:AZ,column(z1),0)*e81</f>
        <v>0</v>
      </c>
      <c r="AB81">
        <f>vlookup("927-004856-300",B:AZ,column(aa1),0)*e81</f>
        <v>0</v>
      </c>
      <c r="AC81">
        <f>vlookup("927-004856-300",B:AZ,column(ab1),0)*e81</f>
        <v>0</v>
      </c>
      <c r="AD81">
        <f>vlookup("927-004856-300",B:AZ,column(ac1),0)*e81</f>
        <v>0</v>
      </c>
      <c r="AE81">
        <f>vlookup("927-004856-300",B:AZ,column(ad1),0)*e81</f>
        <v>0</v>
      </c>
      <c r="AF81">
        <f>vlookup("927-004856-300",B:AZ,column(ae1),0)*e81</f>
        <v>0</v>
      </c>
      <c r="AG81">
        <f>vlookup("927-004856-300",B:AZ,column(af1),0)*e81</f>
        <v>0</v>
      </c>
      <c r="AH81">
        <f>vlookup("927-004856-300",B:AZ,column(ag1),0)*e81</f>
        <v>0</v>
      </c>
      <c r="AI81">
        <f>vlookup("927-004856-300",B:AZ,column(ah1),0)*e81</f>
        <v>0</v>
      </c>
      <c r="AJ81">
        <f>vlookup("927-004856-300",B:AZ,column(ai1),0)*e81</f>
        <v>0</v>
      </c>
      <c r="AK81">
        <f>vlookup("927-004856-300",B:AZ,column(aj1),0)*e81</f>
        <v>0</v>
      </c>
      <c r="AL81">
        <f>vlookup("927-004856-300",B:AZ,column(ak1),0)*e81</f>
        <v>0</v>
      </c>
      <c r="AM81">
        <f>vlookup("927-004856-300",B:AZ,column(al1),0)*e81</f>
        <v>0</v>
      </c>
      <c r="AN81">
        <f>vlookup("927-004856-300",B:AZ,column(am1),0)*e81</f>
        <v>0</v>
      </c>
      <c r="AO81">
        <f>vlookup("927-004856-300",B:AZ,column(an1),0)*e81</f>
        <v>0</v>
      </c>
    </row>
    <row r="82" spans="1:41">
      <c r="A82" t="s">
        <v>22</v>
      </c>
      <c r="B82" t="s">
        <v>93</v>
      </c>
      <c r="C82" t="s">
        <v>114</v>
      </c>
      <c r="E82">
        <v>1</v>
      </c>
      <c r="F82" t="s">
        <v>13</v>
      </c>
      <c r="I82" t="s">
        <v>15</v>
      </c>
      <c r="J82">
        <f>vlookup("927-004856-300",B:AZ,column(i1),0)*e82</f>
        <v>0</v>
      </c>
      <c r="K82">
        <f>vlookup("927-004856-300",B:AZ,column(j1),0)*e82</f>
        <v>0</v>
      </c>
      <c r="L82">
        <f>vlookup("927-004856-300",B:AZ,column(k1),0)*e82</f>
        <v>0</v>
      </c>
      <c r="M82">
        <f>vlookup("927-004856-300",B:AZ,column(l1),0)*e82</f>
        <v>0</v>
      </c>
      <c r="N82">
        <f>vlookup("927-004856-300",B:AZ,column(m1),0)*e82</f>
        <v>0</v>
      </c>
      <c r="O82">
        <f>vlookup("927-004856-300",B:AZ,column(n1),0)*e82</f>
        <v>0</v>
      </c>
      <c r="P82">
        <f>vlookup("927-004856-300",B:AZ,column(o1),0)*e82</f>
        <v>0</v>
      </c>
      <c r="Q82">
        <f>vlookup("927-004856-300",B:AZ,column(p1),0)*e82</f>
        <v>0</v>
      </c>
      <c r="R82">
        <f>vlookup("927-004856-300",B:AZ,column(q1),0)*e82</f>
        <v>0</v>
      </c>
      <c r="S82">
        <f>vlookup("927-004856-300",B:AZ,column(r1),0)*e82</f>
        <v>0</v>
      </c>
      <c r="T82">
        <f>vlookup("927-004856-300",B:AZ,column(s1),0)*e82</f>
        <v>0</v>
      </c>
      <c r="U82">
        <f>vlookup("927-004856-300",B:AZ,column(t1),0)*e82</f>
        <v>0</v>
      </c>
      <c r="V82">
        <f>vlookup("927-004856-300",B:AZ,column(u1),0)*e82</f>
        <v>0</v>
      </c>
      <c r="W82">
        <f>vlookup("927-004856-300",B:AZ,column(v1),0)*e82</f>
        <v>0</v>
      </c>
      <c r="X82">
        <f>vlookup("927-004856-300",B:AZ,column(w1),0)*e82</f>
        <v>0</v>
      </c>
      <c r="Y82">
        <f>vlookup("927-004856-300",B:AZ,column(x1),0)*e82</f>
        <v>0</v>
      </c>
      <c r="Z82">
        <f>vlookup("927-004856-300",B:AZ,column(y1),0)*e82</f>
        <v>0</v>
      </c>
      <c r="AA82">
        <f>vlookup("927-004856-300",B:AZ,column(z1),0)*e82</f>
        <v>0</v>
      </c>
      <c r="AB82">
        <f>vlookup("927-004856-300",B:AZ,column(aa1),0)*e82</f>
        <v>0</v>
      </c>
      <c r="AC82">
        <f>vlookup("927-004856-300",B:AZ,column(ab1),0)*e82</f>
        <v>0</v>
      </c>
      <c r="AD82">
        <f>vlookup("927-004856-300",B:AZ,column(ac1),0)*e82</f>
        <v>0</v>
      </c>
      <c r="AE82">
        <f>vlookup("927-004856-300",B:AZ,column(ad1),0)*e82</f>
        <v>0</v>
      </c>
      <c r="AF82">
        <f>vlookup("927-004856-300",B:AZ,column(ae1),0)*e82</f>
        <v>0</v>
      </c>
      <c r="AG82">
        <f>vlookup("927-004856-300",B:AZ,column(af1),0)*e82</f>
        <v>0</v>
      </c>
      <c r="AH82">
        <f>vlookup("927-004856-300",B:AZ,column(ag1),0)*e82</f>
        <v>0</v>
      </c>
      <c r="AI82">
        <f>vlookup("927-004856-300",B:AZ,column(ah1),0)*e82</f>
        <v>0</v>
      </c>
      <c r="AJ82">
        <f>vlookup("927-004856-300",B:AZ,column(ai1),0)*e82</f>
        <v>0</v>
      </c>
      <c r="AK82">
        <f>vlookup("927-004856-300",B:AZ,column(aj1),0)*e82</f>
        <v>0</v>
      </c>
      <c r="AL82">
        <f>vlookup("927-004856-300",B:AZ,column(ak1),0)*e82</f>
        <v>0</v>
      </c>
      <c r="AM82">
        <f>vlookup("927-004856-300",B:AZ,column(al1),0)*e82</f>
        <v>0</v>
      </c>
      <c r="AN82">
        <f>vlookup("927-004856-300",B:AZ,column(am1),0)*e82</f>
        <v>0</v>
      </c>
      <c r="AO82">
        <f>vlookup("927-004856-300",B:AZ,column(an1),0)*e82</f>
        <v>0</v>
      </c>
    </row>
    <row r="83" spans="1:41">
      <c r="A83" t="s">
        <v>22</v>
      </c>
      <c r="B83" t="s">
        <v>33</v>
      </c>
      <c r="C83" t="s">
        <v>115</v>
      </c>
      <c r="E83">
        <v>2</v>
      </c>
      <c r="F83" t="s">
        <v>13</v>
      </c>
      <c r="I83" t="s">
        <v>15</v>
      </c>
      <c r="J83">
        <f>vlookup("927-004856-300",B:AZ,column(i1),0)*e83</f>
        <v>0</v>
      </c>
      <c r="K83">
        <f>vlookup("927-004856-300",B:AZ,column(j1),0)*e83</f>
        <v>0</v>
      </c>
      <c r="L83">
        <f>vlookup("927-004856-300",B:AZ,column(k1),0)*e83</f>
        <v>0</v>
      </c>
      <c r="M83">
        <f>vlookup("927-004856-300",B:AZ,column(l1),0)*e83</f>
        <v>0</v>
      </c>
      <c r="N83">
        <f>vlookup("927-004856-300",B:AZ,column(m1),0)*e83</f>
        <v>0</v>
      </c>
      <c r="O83">
        <f>vlookup("927-004856-300",B:AZ,column(n1),0)*e83</f>
        <v>0</v>
      </c>
      <c r="P83">
        <f>vlookup("927-004856-300",B:AZ,column(o1),0)*e83</f>
        <v>0</v>
      </c>
      <c r="Q83">
        <f>vlookup("927-004856-300",B:AZ,column(p1),0)*e83</f>
        <v>0</v>
      </c>
      <c r="R83">
        <f>vlookup("927-004856-300",B:AZ,column(q1),0)*e83</f>
        <v>0</v>
      </c>
      <c r="S83">
        <f>vlookup("927-004856-300",B:AZ,column(r1),0)*e83</f>
        <v>0</v>
      </c>
      <c r="T83">
        <f>vlookup("927-004856-300",B:AZ,column(s1),0)*e83</f>
        <v>0</v>
      </c>
      <c r="U83">
        <f>vlookup("927-004856-300",B:AZ,column(t1),0)*e83</f>
        <v>0</v>
      </c>
      <c r="V83">
        <f>vlookup("927-004856-300",B:AZ,column(u1),0)*e83</f>
        <v>0</v>
      </c>
      <c r="W83">
        <f>vlookup("927-004856-300",B:AZ,column(v1),0)*e83</f>
        <v>0</v>
      </c>
      <c r="X83">
        <f>vlookup("927-004856-300",B:AZ,column(w1),0)*e83</f>
        <v>0</v>
      </c>
      <c r="Y83">
        <f>vlookup("927-004856-300",B:AZ,column(x1),0)*e83</f>
        <v>0</v>
      </c>
      <c r="Z83">
        <f>vlookup("927-004856-300",B:AZ,column(y1),0)*e83</f>
        <v>0</v>
      </c>
      <c r="AA83">
        <f>vlookup("927-004856-300",B:AZ,column(z1),0)*e83</f>
        <v>0</v>
      </c>
      <c r="AB83">
        <f>vlookup("927-004856-300",B:AZ,column(aa1),0)*e83</f>
        <v>0</v>
      </c>
      <c r="AC83">
        <f>vlookup("927-004856-300",B:AZ,column(ab1),0)*e83</f>
        <v>0</v>
      </c>
      <c r="AD83">
        <f>vlookup("927-004856-300",B:AZ,column(ac1),0)*e83</f>
        <v>0</v>
      </c>
      <c r="AE83">
        <f>vlookup("927-004856-300",B:AZ,column(ad1),0)*e83</f>
        <v>0</v>
      </c>
      <c r="AF83">
        <f>vlookup("927-004856-300",B:AZ,column(ae1),0)*e83</f>
        <v>0</v>
      </c>
      <c r="AG83">
        <f>vlookup("927-004856-300",B:AZ,column(af1),0)*e83</f>
        <v>0</v>
      </c>
      <c r="AH83">
        <f>vlookup("927-004856-300",B:AZ,column(ag1),0)*e83</f>
        <v>0</v>
      </c>
      <c r="AI83">
        <f>vlookup("927-004856-300",B:AZ,column(ah1),0)*e83</f>
        <v>0</v>
      </c>
      <c r="AJ83">
        <f>vlookup("927-004856-300",B:AZ,column(ai1),0)*e83</f>
        <v>0</v>
      </c>
      <c r="AK83">
        <f>vlookup("927-004856-300",B:AZ,column(aj1),0)*e83</f>
        <v>0</v>
      </c>
      <c r="AL83">
        <f>vlookup("927-004856-300",B:AZ,column(ak1),0)*e83</f>
        <v>0</v>
      </c>
      <c r="AM83">
        <f>vlookup("927-004856-300",B:AZ,column(al1),0)*e83</f>
        <v>0</v>
      </c>
      <c r="AN83">
        <f>vlookup("927-004856-300",B:AZ,column(am1),0)*e83</f>
        <v>0</v>
      </c>
      <c r="AO83">
        <f>vlookup("927-004856-300",B:AZ,column(an1),0)*e83</f>
        <v>0</v>
      </c>
    </row>
    <row r="84" spans="1:41">
      <c r="A84" t="s">
        <v>78</v>
      </c>
      <c r="B84" t="s">
        <v>101</v>
      </c>
      <c r="C84" t="s">
        <v>102</v>
      </c>
      <c r="E84">
        <v>0.1</v>
      </c>
      <c r="F84" t="s">
        <v>13</v>
      </c>
      <c r="I84" t="s">
        <v>15</v>
      </c>
      <c r="J84">
        <f>vlookup("927-004856-300",B:AZ,column(i1),0)*e84</f>
        <v>0</v>
      </c>
      <c r="K84">
        <f>vlookup("927-004856-300",B:AZ,column(j1),0)*e84</f>
        <v>0</v>
      </c>
      <c r="L84">
        <f>vlookup("927-004856-300",B:AZ,column(k1),0)*e84</f>
        <v>0</v>
      </c>
      <c r="M84">
        <f>vlookup("927-004856-300",B:AZ,column(l1),0)*e84</f>
        <v>0</v>
      </c>
      <c r="N84">
        <f>vlookup("927-004856-300",B:AZ,column(m1),0)*e84</f>
        <v>0</v>
      </c>
      <c r="O84">
        <f>vlookup("927-004856-300",B:AZ,column(n1),0)*e84</f>
        <v>0</v>
      </c>
      <c r="P84">
        <f>vlookup("927-004856-300",B:AZ,column(o1),0)*e84</f>
        <v>0</v>
      </c>
      <c r="Q84">
        <f>vlookup("927-004856-300",B:AZ,column(p1),0)*e84</f>
        <v>0</v>
      </c>
      <c r="R84">
        <f>vlookup("927-004856-300",B:AZ,column(q1),0)*e84</f>
        <v>0</v>
      </c>
      <c r="S84">
        <f>vlookup("927-004856-300",B:AZ,column(r1),0)*e84</f>
        <v>0</v>
      </c>
      <c r="T84">
        <f>vlookup("927-004856-300",B:AZ,column(s1),0)*e84</f>
        <v>0</v>
      </c>
      <c r="U84">
        <f>vlookup("927-004856-300",B:AZ,column(t1),0)*e84</f>
        <v>0</v>
      </c>
      <c r="V84">
        <f>vlookup("927-004856-300",B:AZ,column(u1),0)*e84</f>
        <v>0</v>
      </c>
      <c r="W84">
        <f>vlookup("927-004856-300",B:AZ,column(v1),0)*e84</f>
        <v>0</v>
      </c>
      <c r="X84">
        <f>vlookup("927-004856-300",B:AZ,column(w1),0)*e84</f>
        <v>0</v>
      </c>
      <c r="Y84">
        <f>vlookup("927-004856-300",B:AZ,column(x1),0)*e84</f>
        <v>0</v>
      </c>
      <c r="Z84">
        <f>vlookup("927-004856-300",B:AZ,column(y1),0)*e84</f>
        <v>0</v>
      </c>
      <c r="AA84">
        <f>vlookup("927-004856-300",B:AZ,column(z1),0)*e84</f>
        <v>0</v>
      </c>
      <c r="AB84">
        <f>vlookup("927-004856-300",B:AZ,column(aa1),0)*e84</f>
        <v>0</v>
      </c>
      <c r="AC84">
        <f>vlookup("927-004856-300",B:AZ,column(ab1),0)*e84</f>
        <v>0</v>
      </c>
      <c r="AD84">
        <f>vlookup("927-004856-300",B:AZ,column(ac1),0)*e84</f>
        <v>0</v>
      </c>
      <c r="AE84">
        <f>vlookup("927-004856-300",B:AZ,column(ad1),0)*e84</f>
        <v>0</v>
      </c>
      <c r="AF84">
        <f>vlookup("927-004856-300",B:AZ,column(ae1),0)*e84</f>
        <v>0</v>
      </c>
      <c r="AG84">
        <f>vlookup("927-004856-300",B:AZ,column(af1),0)*e84</f>
        <v>0</v>
      </c>
      <c r="AH84">
        <f>vlookup("927-004856-300",B:AZ,column(ag1),0)*e84</f>
        <v>0</v>
      </c>
      <c r="AI84">
        <f>vlookup("927-004856-300",B:AZ,column(ah1),0)*e84</f>
        <v>0</v>
      </c>
      <c r="AJ84">
        <f>vlookup("927-004856-300",B:AZ,column(ai1),0)*e84</f>
        <v>0</v>
      </c>
      <c r="AK84">
        <f>vlookup("927-004856-300",B:AZ,column(aj1),0)*e84</f>
        <v>0</v>
      </c>
      <c r="AL84">
        <f>vlookup("927-004856-300",B:AZ,column(ak1),0)*e84</f>
        <v>0</v>
      </c>
      <c r="AM84">
        <f>vlookup("927-004856-300",B:AZ,column(al1),0)*e84</f>
        <v>0</v>
      </c>
      <c r="AN84">
        <f>vlookup("927-004856-300",B:AZ,column(am1),0)*e84</f>
        <v>0</v>
      </c>
      <c r="AO84">
        <f>vlookup("927-004856-300",B:AZ,column(an1),0)*e84</f>
        <v>0</v>
      </c>
    </row>
    <row r="85" spans="1:41">
      <c r="A85" t="s">
        <v>78</v>
      </c>
      <c r="B85" t="s">
        <v>103</v>
      </c>
      <c r="C85" t="s">
        <v>104</v>
      </c>
      <c r="E85">
        <v>1</v>
      </c>
      <c r="F85" t="s">
        <v>13</v>
      </c>
      <c r="I85" t="s">
        <v>15</v>
      </c>
      <c r="J85">
        <f>vlookup("927-004856-300",B:AZ,column(i1),0)*e85</f>
        <v>0</v>
      </c>
      <c r="K85">
        <f>vlookup("927-004856-300",B:AZ,column(j1),0)*e85</f>
        <v>0</v>
      </c>
      <c r="L85">
        <f>vlookup("927-004856-300",B:AZ,column(k1),0)*e85</f>
        <v>0</v>
      </c>
      <c r="M85">
        <f>vlookup("927-004856-300",B:AZ,column(l1),0)*e85</f>
        <v>0</v>
      </c>
      <c r="N85">
        <f>vlookup("927-004856-300",B:AZ,column(m1),0)*e85</f>
        <v>0</v>
      </c>
      <c r="O85">
        <f>vlookup("927-004856-300",B:AZ,column(n1),0)*e85</f>
        <v>0</v>
      </c>
      <c r="P85">
        <f>vlookup("927-004856-300",B:AZ,column(o1),0)*e85</f>
        <v>0</v>
      </c>
      <c r="Q85">
        <f>vlookup("927-004856-300",B:AZ,column(p1),0)*e85</f>
        <v>0</v>
      </c>
      <c r="R85">
        <f>vlookup("927-004856-300",B:AZ,column(q1),0)*e85</f>
        <v>0</v>
      </c>
      <c r="S85">
        <f>vlookup("927-004856-300",B:AZ,column(r1),0)*e85</f>
        <v>0</v>
      </c>
      <c r="T85">
        <f>vlookup("927-004856-300",B:AZ,column(s1),0)*e85</f>
        <v>0</v>
      </c>
      <c r="U85">
        <f>vlookup("927-004856-300",B:AZ,column(t1),0)*e85</f>
        <v>0</v>
      </c>
      <c r="V85">
        <f>vlookup("927-004856-300",B:AZ,column(u1),0)*e85</f>
        <v>0</v>
      </c>
      <c r="W85">
        <f>vlookup("927-004856-300",B:AZ,column(v1),0)*e85</f>
        <v>0</v>
      </c>
      <c r="X85">
        <f>vlookup("927-004856-300",B:AZ,column(w1),0)*e85</f>
        <v>0</v>
      </c>
      <c r="Y85">
        <f>vlookup("927-004856-300",B:AZ,column(x1),0)*e85</f>
        <v>0</v>
      </c>
      <c r="Z85">
        <f>vlookup("927-004856-300",B:AZ,column(y1),0)*e85</f>
        <v>0</v>
      </c>
      <c r="AA85">
        <f>vlookup("927-004856-300",B:AZ,column(z1),0)*e85</f>
        <v>0</v>
      </c>
      <c r="AB85">
        <f>vlookup("927-004856-300",B:AZ,column(aa1),0)*e85</f>
        <v>0</v>
      </c>
      <c r="AC85">
        <f>vlookup("927-004856-300",B:AZ,column(ab1),0)*e85</f>
        <v>0</v>
      </c>
      <c r="AD85">
        <f>vlookup("927-004856-300",B:AZ,column(ac1),0)*e85</f>
        <v>0</v>
      </c>
      <c r="AE85">
        <f>vlookup("927-004856-300",B:AZ,column(ad1),0)*e85</f>
        <v>0</v>
      </c>
      <c r="AF85">
        <f>vlookup("927-004856-300",B:AZ,column(ae1),0)*e85</f>
        <v>0</v>
      </c>
      <c r="AG85">
        <f>vlookup("927-004856-300",B:AZ,column(af1),0)*e85</f>
        <v>0</v>
      </c>
      <c r="AH85">
        <f>vlookup("927-004856-300",B:AZ,column(ag1),0)*e85</f>
        <v>0</v>
      </c>
      <c r="AI85">
        <f>vlookup("927-004856-300",B:AZ,column(ah1),0)*e85</f>
        <v>0</v>
      </c>
      <c r="AJ85">
        <f>vlookup("927-004856-300",B:AZ,column(ai1),0)*e85</f>
        <v>0</v>
      </c>
      <c r="AK85">
        <f>vlookup("927-004856-300",B:AZ,column(aj1),0)*e85</f>
        <v>0</v>
      </c>
      <c r="AL85">
        <f>vlookup("927-004856-300",B:AZ,column(ak1),0)*e85</f>
        <v>0</v>
      </c>
      <c r="AM85">
        <f>vlookup("927-004856-300",B:AZ,column(al1),0)*e85</f>
        <v>0</v>
      </c>
      <c r="AN85">
        <f>vlookup("927-004856-300",B:AZ,column(am1),0)*e85</f>
        <v>0</v>
      </c>
      <c r="AO85">
        <f>vlookup("927-004856-300",B:AZ,column(an1),0)*e85</f>
        <v>0</v>
      </c>
    </row>
    <row r="86" spans="1:41">
      <c r="A86" t="s">
        <v>43</v>
      </c>
      <c r="B86" t="s">
        <v>116</v>
      </c>
      <c r="C86" t="s">
        <v>117</v>
      </c>
      <c r="E86">
        <v>0.1</v>
      </c>
      <c r="F86" t="s">
        <v>13</v>
      </c>
      <c r="I86" t="s">
        <v>15</v>
      </c>
      <c r="J86">
        <f>vlookup("927-004856-300",B:AZ,column(i1),0)*e86</f>
        <v>0</v>
      </c>
      <c r="K86">
        <f>vlookup("927-004856-300",B:AZ,column(j1),0)*e86</f>
        <v>0</v>
      </c>
      <c r="L86">
        <f>vlookup("927-004856-300",B:AZ,column(k1),0)*e86</f>
        <v>0</v>
      </c>
      <c r="M86">
        <f>vlookup("927-004856-300",B:AZ,column(l1),0)*e86</f>
        <v>0</v>
      </c>
      <c r="N86">
        <f>vlookup("927-004856-300",B:AZ,column(m1),0)*e86</f>
        <v>0</v>
      </c>
      <c r="O86">
        <f>vlookup("927-004856-300",B:AZ,column(n1),0)*e86</f>
        <v>0</v>
      </c>
      <c r="P86">
        <f>vlookup("927-004856-300",B:AZ,column(o1),0)*e86</f>
        <v>0</v>
      </c>
      <c r="Q86">
        <f>vlookup("927-004856-300",B:AZ,column(p1),0)*e86</f>
        <v>0</v>
      </c>
      <c r="R86">
        <f>vlookup("927-004856-300",B:AZ,column(q1),0)*e86</f>
        <v>0</v>
      </c>
      <c r="S86">
        <f>vlookup("927-004856-300",B:AZ,column(r1),0)*e86</f>
        <v>0</v>
      </c>
      <c r="T86">
        <f>vlookup("927-004856-300",B:AZ,column(s1),0)*e86</f>
        <v>0</v>
      </c>
      <c r="U86">
        <f>vlookup("927-004856-300",B:AZ,column(t1),0)*e86</f>
        <v>0</v>
      </c>
      <c r="V86">
        <f>vlookup("927-004856-300",B:AZ,column(u1),0)*e86</f>
        <v>0</v>
      </c>
      <c r="W86">
        <f>vlookup("927-004856-300",B:AZ,column(v1),0)*e86</f>
        <v>0</v>
      </c>
      <c r="X86">
        <f>vlookup("927-004856-300",B:AZ,column(w1),0)*e86</f>
        <v>0</v>
      </c>
      <c r="Y86">
        <f>vlookup("927-004856-300",B:AZ,column(x1),0)*e86</f>
        <v>0</v>
      </c>
      <c r="Z86">
        <f>vlookup("927-004856-300",B:AZ,column(y1),0)*e86</f>
        <v>0</v>
      </c>
      <c r="AA86">
        <f>vlookup("927-004856-300",B:AZ,column(z1),0)*e86</f>
        <v>0</v>
      </c>
      <c r="AB86">
        <f>vlookup("927-004856-300",B:AZ,column(aa1),0)*e86</f>
        <v>0</v>
      </c>
      <c r="AC86">
        <f>vlookup("927-004856-300",B:AZ,column(ab1),0)*e86</f>
        <v>0</v>
      </c>
      <c r="AD86">
        <f>vlookup("927-004856-300",B:AZ,column(ac1),0)*e86</f>
        <v>0</v>
      </c>
      <c r="AE86">
        <f>vlookup("927-004856-300",B:AZ,column(ad1),0)*e86</f>
        <v>0</v>
      </c>
      <c r="AF86">
        <f>vlookup("927-004856-300",B:AZ,column(ae1),0)*e86</f>
        <v>0</v>
      </c>
      <c r="AG86">
        <f>vlookup("927-004856-300",B:AZ,column(af1),0)*e86</f>
        <v>0</v>
      </c>
      <c r="AH86">
        <f>vlookup("927-004856-300",B:AZ,column(ag1),0)*e86</f>
        <v>0</v>
      </c>
      <c r="AI86">
        <f>vlookup("927-004856-300",B:AZ,column(ah1),0)*e86</f>
        <v>0</v>
      </c>
      <c r="AJ86">
        <f>vlookup("927-004856-300",B:AZ,column(ai1),0)*e86</f>
        <v>0</v>
      </c>
      <c r="AK86">
        <f>vlookup("927-004856-300",B:AZ,column(aj1),0)*e86</f>
        <v>0</v>
      </c>
      <c r="AL86">
        <f>vlookup("927-004856-300",B:AZ,column(ak1),0)*e86</f>
        <v>0</v>
      </c>
      <c r="AM86">
        <f>vlookup("927-004856-300",B:AZ,column(al1),0)*e86</f>
        <v>0</v>
      </c>
      <c r="AN86">
        <f>vlookup("927-004856-300",B:AZ,column(am1),0)*e86</f>
        <v>0</v>
      </c>
      <c r="AO86">
        <f>vlookup("927-004856-300",B:AZ,column(an1),0)*e86</f>
        <v>0</v>
      </c>
    </row>
    <row r="87" spans="1:41">
      <c r="A87" t="s">
        <v>10</v>
      </c>
      <c r="B87" t="s">
        <v>118</v>
      </c>
      <c r="C87" t="s">
        <v>119</v>
      </c>
      <c r="E87">
        <v>1</v>
      </c>
      <c r="F87" t="s">
        <v>13</v>
      </c>
      <c r="I87" t="s">
        <v>14</v>
      </c>
      <c r="AO87">
        <f>sum(j87:an87)</f>
        <v>0</v>
      </c>
    </row>
    <row r="88" spans="1:41">
      <c r="I88" t="s">
        <v>15</v>
      </c>
      <c r="J88">
        <f>vlookup("927-007000-600",Out!B:AZ,column(i1),0)</f>
        <v>0</v>
      </c>
      <c r="K88">
        <f>vlookup("927-007000-600",Out!B:AZ,column(j1),0)</f>
        <v>0</v>
      </c>
      <c r="L88">
        <f>vlookup("927-007000-600",Out!B:AZ,column(k1),0)</f>
        <v>0</v>
      </c>
      <c r="M88">
        <f>vlookup("927-007000-600",Out!B:AZ,column(l1),0)</f>
        <v>0</v>
      </c>
      <c r="N88">
        <f>vlookup("927-007000-600",Out!B:AZ,column(m1),0)</f>
        <v>0</v>
      </c>
      <c r="O88">
        <f>vlookup("927-007000-600",Out!B:AZ,column(n1),0)</f>
        <v>0</v>
      </c>
      <c r="P88">
        <f>vlookup("927-007000-600",Out!B:AZ,column(o1),0)</f>
        <v>0</v>
      </c>
      <c r="Q88">
        <f>vlookup("927-007000-600",Out!B:AZ,column(p1),0)</f>
        <v>0</v>
      </c>
      <c r="R88">
        <f>vlookup("927-007000-600",Out!B:AZ,column(q1),0)</f>
        <v>0</v>
      </c>
      <c r="S88">
        <f>vlookup("927-007000-600",Out!B:AZ,column(r1),0)</f>
        <v>0</v>
      </c>
      <c r="T88">
        <f>vlookup("927-007000-600",Out!B:AZ,column(s1),0)</f>
        <v>0</v>
      </c>
      <c r="U88">
        <f>vlookup("927-007000-600",Out!B:AZ,column(t1),0)</f>
        <v>0</v>
      </c>
      <c r="V88">
        <f>vlookup("927-007000-600",Out!B:AZ,column(u1),0)</f>
        <v>0</v>
      </c>
      <c r="W88">
        <f>vlookup("927-007000-600",Out!B:AZ,column(v1),0)</f>
        <v>0</v>
      </c>
      <c r="X88">
        <f>vlookup("927-007000-600",Out!B:AZ,column(w1),0)</f>
        <v>0</v>
      </c>
      <c r="Y88">
        <f>vlookup("927-007000-600",Out!B:AZ,column(x1),0)</f>
        <v>0</v>
      </c>
      <c r="Z88">
        <f>vlookup("927-007000-600",Out!B:AZ,column(y1),0)</f>
        <v>0</v>
      </c>
      <c r="AA88">
        <f>vlookup("927-007000-600",Out!B:AZ,column(z1),0)</f>
        <v>0</v>
      </c>
      <c r="AB88">
        <f>vlookup("927-007000-600",Out!B:AZ,column(aa1),0)</f>
        <v>0</v>
      </c>
      <c r="AC88">
        <f>vlookup("927-007000-600",Out!B:AZ,column(ab1),0)</f>
        <v>0</v>
      </c>
      <c r="AD88">
        <f>vlookup("927-007000-600",Out!B:AZ,column(ac1),0)</f>
        <v>0</v>
      </c>
      <c r="AE88">
        <f>vlookup("927-007000-600",Out!B:AZ,column(ad1),0)</f>
        <v>0</v>
      </c>
      <c r="AF88">
        <f>vlookup("927-007000-600",Out!B:AZ,column(ae1),0)</f>
        <v>0</v>
      </c>
      <c r="AG88">
        <f>vlookup("927-007000-600",Out!B:AZ,column(af1),0)</f>
        <v>0</v>
      </c>
      <c r="AH88">
        <f>vlookup("927-007000-600",Out!B:AZ,column(ag1),0)</f>
        <v>0</v>
      </c>
      <c r="AI88">
        <f>vlookup("927-007000-600",Out!B:AZ,column(ah1),0)</f>
        <v>0</v>
      </c>
      <c r="AJ88">
        <f>vlookup("927-007000-600",Out!B:AZ,column(ai1),0)</f>
        <v>0</v>
      </c>
      <c r="AK88">
        <f>vlookup("927-007000-600",Out!B:AZ,column(aj1),0)</f>
        <v>0</v>
      </c>
      <c r="AL88">
        <f>vlookup("927-007000-600",Out!B:AZ,column(ak1),0)</f>
        <v>0</v>
      </c>
      <c r="AM88">
        <f>vlookup("927-007000-600",Out!B:AZ,column(al1),0)</f>
        <v>0</v>
      </c>
      <c r="AN88">
        <f>vlookup("927-007000-600",Out!B:AZ,column(am1),0)</f>
        <v>0</v>
      </c>
      <c r="AO88">
        <f>vlookup("927-007000-600",Out!B:AZ,column(an1),0)</f>
        <v>0</v>
      </c>
    </row>
    <row r="89" spans="1:41">
      <c r="H89" t="s">
        <v>16</v>
      </c>
      <c r="J89">
        <f>indirect(address(89,9))+indirect(address(87,10))-indirect(address(88,10))</f>
        <v>0</v>
      </c>
      <c r="K89">
        <f>indirect(address(89,10))+indirect(address(87,11))-indirect(address(88,11))</f>
        <v>0</v>
      </c>
      <c r="L89">
        <f>indirect(address(89,11))+indirect(address(87,12))-indirect(address(88,12))</f>
        <v>0</v>
      </c>
      <c r="M89">
        <f>indirect(address(89,12))+indirect(address(87,13))-indirect(address(88,13))</f>
        <v>0</v>
      </c>
      <c r="N89">
        <f>indirect(address(89,13))+indirect(address(87,14))-indirect(address(88,14))</f>
        <v>0</v>
      </c>
      <c r="O89">
        <f>indirect(address(89,14))+indirect(address(87,15))-indirect(address(88,15))</f>
        <v>0</v>
      </c>
      <c r="P89">
        <f>indirect(address(89,15))+indirect(address(87,16))-indirect(address(88,16))</f>
        <v>0</v>
      </c>
      <c r="Q89">
        <f>indirect(address(89,16))+indirect(address(87,17))-indirect(address(88,17))</f>
        <v>0</v>
      </c>
      <c r="R89">
        <f>indirect(address(89,17))+indirect(address(87,18))-indirect(address(88,18))</f>
        <v>0</v>
      </c>
      <c r="S89">
        <f>indirect(address(89,18))+indirect(address(87,19))-indirect(address(88,19))</f>
        <v>0</v>
      </c>
      <c r="T89">
        <f>indirect(address(89,19))+indirect(address(87,20))-indirect(address(88,20))</f>
        <v>0</v>
      </c>
      <c r="U89">
        <f>indirect(address(89,20))+indirect(address(87,21))-indirect(address(88,21))</f>
        <v>0</v>
      </c>
      <c r="V89">
        <f>indirect(address(89,21))+indirect(address(87,22))-indirect(address(88,22))</f>
        <v>0</v>
      </c>
      <c r="W89">
        <f>indirect(address(89,22))+indirect(address(87,23))-indirect(address(88,23))</f>
        <v>0</v>
      </c>
      <c r="X89">
        <f>indirect(address(89,23))+indirect(address(87,24))-indirect(address(88,24))</f>
        <v>0</v>
      </c>
      <c r="Y89">
        <f>indirect(address(89,24))+indirect(address(87,25))-indirect(address(88,25))</f>
        <v>0</v>
      </c>
      <c r="Z89">
        <f>indirect(address(89,25))+indirect(address(87,26))-indirect(address(88,26))</f>
        <v>0</v>
      </c>
      <c r="AA89">
        <f>indirect(address(89,26))+indirect(address(87,27))-indirect(address(88,27))</f>
        <v>0</v>
      </c>
      <c r="AB89">
        <f>indirect(address(89,27))+indirect(address(87,28))-indirect(address(88,28))</f>
        <v>0</v>
      </c>
      <c r="AC89">
        <f>indirect(address(89,28))+indirect(address(87,29))-indirect(address(88,29))</f>
        <v>0</v>
      </c>
      <c r="AD89">
        <f>indirect(address(89,29))+indirect(address(87,30))-indirect(address(88,30))</f>
        <v>0</v>
      </c>
      <c r="AE89">
        <f>indirect(address(89,30))+indirect(address(87,31))-indirect(address(88,31))</f>
        <v>0</v>
      </c>
      <c r="AF89">
        <f>indirect(address(89,31))+indirect(address(87,32))-indirect(address(88,32))</f>
        <v>0</v>
      </c>
      <c r="AG89">
        <f>indirect(address(89,32))+indirect(address(87,33))-indirect(address(88,33))</f>
        <v>0</v>
      </c>
      <c r="AH89">
        <f>indirect(address(89,33))+indirect(address(87,34))-indirect(address(88,34))</f>
        <v>0</v>
      </c>
      <c r="AI89">
        <f>indirect(address(89,34))+indirect(address(87,35))-indirect(address(88,35))</f>
        <v>0</v>
      </c>
      <c r="AJ89">
        <f>indirect(address(89,35))+indirect(address(87,36))-indirect(address(88,36))</f>
        <v>0</v>
      </c>
      <c r="AK89">
        <f>indirect(address(89,36))+indirect(address(87,37))-indirect(address(88,37))</f>
        <v>0</v>
      </c>
      <c r="AL89">
        <f>indirect(address(89,37))+indirect(address(87,38))-indirect(address(88,38))</f>
        <v>0</v>
      </c>
      <c r="AM89">
        <f>indirect(address(89,38))+indirect(address(87,39))-indirect(address(88,39))</f>
        <v>0</v>
      </c>
      <c r="AN89">
        <f>indirect(address(89,39))+indirect(address(87,40))-indirect(address(88,40))</f>
        <v>0</v>
      </c>
      <c r="AO89">
        <f>indirect(address(89,40))</f>
        <v>0</v>
      </c>
    </row>
    <row r="90" spans="1:41">
      <c r="A90" t="s">
        <v>17</v>
      </c>
      <c r="B90" t="s">
        <v>120</v>
      </c>
      <c r="C90" t="s">
        <v>121</v>
      </c>
      <c r="E90">
        <v>1</v>
      </c>
      <c r="F90" t="s">
        <v>13</v>
      </c>
      <c r="I90" t="s">
        <v>15</v>
      </c>
      <c r="J90">
        <f>vlookup("927-007000-600",B:AZ,column(i1),0)*e90</f>
        <v>0</v>
      </c>
      <c r="K90">
        <f>vlookup("927-007000-600",B:AZ,column(j1),0)*e90</f>
        <v>0</v>
      </c>
      <c r="L90">
        <f>vlookup("927-007000-600",B:AZ,column(k1),0)*e90</f>
        <v>0</v>
      </c>
      <c r="M90">
        <f>vlookup("927-007000-600",B:AZ,column(l1),0)*e90</f>
        <v>0</v>
      </c>
      <c r="N90">
        <f>vlookup("927-007000-600",B:AZ,column(m1),0)*e90</f>
        <v>0</v>
      </c>
      <c r="O90">
        <f>vlookup("927-007000-600",B:AZ,column(n1),0)*e90</f>
        <v>0</v>
      </c>
      <c r="P90">
        <f>vlookup("927-007000-600",B:AZ,column(o1),0)*e90</f>
        <v>0</v>
      </c>
      <c r="Q90">
        <f>vlookup("927-007000-600",B:AZ,column(p1),0)*e90</f>
        <v>0</v>
      </c>
      <c r="R90">
        <f>vlookup("927-007000-600",B:AZ,column(q1),0)*e90</f>
        <v>0</v>
      </c>
      <c r="S90">
        <f>vlookup("927-007000-600",B:AZ,column(r1),0)*e90</f>
        <v>0</v>
      </c>
      <c r="T90">
        <f>vlookup("927-007000-600",B:AZ,column(s1),0)*e90</f>
        <v>0</v>
      </c>
      <c r="U90">
        <f>vlookup("927-007000-600",B:AZ,column(t1),0)*e90</f>
        <v>0</v>
      </c>
      <c r="V90">
        <f>vlookup("927-007000-600",B:AZ,column(u1),0)*e90</f>
        <v>0</v>
      </c>
      <c r="W90">
        <f>vlookup("927-007000-600",B:AZ,column(v1),0)*e90</f>
        <v>0</v>
      </c>
      <c r="X90">
        <f>vlookup("927-007000-600",B:AZ,column(w1),0)*e90</f>
        <v>0</v>
      </c>
      <c r="Y90">
        <f>vlookup("927-007000-600",B:AZ,column(x1),0)*e90</f>
        <v>0</v>
      </c>
      <c r="Z90">
        <f>vlookup("927-007000-600",B:AZ,column(y1),0)*e90</f>
        <v>0</v>
      </c>
      <c r="AA90">
        <f>vlookup("927-007000-600",B:AZ,column(z1),0)*e90</f>
        <v>0</v>
      </c>
      <c r="AB90">
        <f>vlookup("927-007000-600",B:AZ,column(aa1),0)*e90</f>
        <v>0</v>
      </c>
      <c r="AC90">
        <f>vlookup("927-007000-600",B:AZ,column(ab1),0)*e90</f>
        <v>0</v>
      </c>
      <c r="AD90">
        <f>vlookup("927-007000-600",B:AZ,column(ac1),0)*e90</f>
        <v>0</v>
      </c>
      <c r="AE90">
        <f>vlookup("927-007000-600",B:AZ,column(ad1),0)*e90</f>
        <v>0</v>
      </c>
      <c r="AF90">
        <f>vlookup("927-007000-600",B:AZ,column(ae1),0)*e90</f>
        <v>0</v>
      </c>
      <c r="AG90">
        <f>vlookup("927-007000-600",B:AZ,column(af1),0)*e90</f>
        <v>0</v>
      </c>
      <c r="AH90">
        <f>vlookup("927-007000-600",B:AZ,column(ag1),0)*e90</f>
        <v>0</v>
      </c>
      <c r="AI90">
        <f>vlookup("927-007000-600",B:AZ,column(ah1),0)*e90</f>
        <v>0</v>
      </c>
      <c r="AJ90">
        <f>vlookup("927-007000-600",B:AZ,column(ai1),0)*e90</f>
        <v>0</v>
      </c>
      <c r="AK90">
        <f>vlookup("927-007000-600",B:AZ,column(aj1),0)*e90</f>
        <v>0</v>
      </c>
      <c r="AL90">
        <f>vlookup("927-007000-600",B:AZ,column(ak1),0)*e90</f>
        <v>0</v>
      </c>
      <c r="AM90">
        <f>vlookup("927-007000-600",B:AZ,column(al1),0)*e90</f>
        <v>0</v>
      </c>
      <c r="AN90">
        <f>vlookup("927-007000-600",B:AZ,column(am1),0)*e90</f>
        <v>0</v>
      </c>
      <c r="AO90">
        <f>vlookup("927-007000-600",B:AZ,column(an1),0)*e90</f>
        <v>0</v>
      </c>
    </row>
    <row r="91" spans="1:41">
      <c r="A91" t="s">
        <v>17</v>
      </c>
      <c r="B91" t="s">
        <v>122</v>
      </c>
      <c r="C91" t="s">
        <v>123</v>
      </c>
      <c r="E91">
        <v>1</v>
      </c>
      <c r="F91" t="s">
        <v>13</v>
      </c>
      <c r="I91" t="s">
        <v>15</v>
      </c>
      <c r="J91">
        <f>vlookup("927-007000-600",B:AZ,column(i1),0)*e91</f>
        <v>0</v>
      </c>
      <c r="K91">
        <f>vlookup("927-007000-600",B:AZ,column(j1),0)*e91</f>
        <v>0</v>
      </c>
      <c r="L91">
        <f>vlookup("927-007000-600",B:AZ,column(k1),0)*e91</f>
        <v>0</v>
      </c>
      <c r="M91">
        <f>vlookup("927-007000-600",B:AZ,column(l1),0)*e91</f>
        <v>0</v>
      </c>
      <c r="N91">
        <f>vlookup("927-007000-600",B:AZ,column(m1),0)*e91</f>
        <v>0</v>
      </c>
      <c r="O91">
        <f>vlookup("927-007000-600",B:AZ,column(n1),0)*e91</f>
        <v>0</v>
      </c>
      <c r="P91">
        <f>vlookup("927-007000-600",B:AZ,column(o1),0)*e91</f>
        <v>0</v>
      </c>
      <c r="Q91">
        <f>vlookup("927-007000-600",B:AZ,column(p1),0)*e91</f>
        <v>0</v>
      </c>
      <c r="R91">
        <f>vlookup("927-007000-600",B:AZ,column(q1),0)*e91</f>
        <v>0</v>
      </c>
      <c r="S91">
        <f>vlookup("927-007000-600",B:AZ,column(r1),0)*e91</f>
        <v>0</v>
      </c>
      <c r="T91">
        <f>vlookup("927-007000-600",B:AZ,column(s1),0)*e91</f>
        <v>0</v>
      </c>
      <c r="U91">
        <f>vlookup("927-007000-600",B:AZ,column(t1),0)*e91</f>
        <v>0</v>
      </c>
      <c r="V91">
        <f>vlookup("927-007000-600",B:AZ,column(u1),0)*e91</f>
        <v>0</v>
      </c>
      <c r="W91">
        <f>vlookup("927-007000-600",B:AZ,column(v1),0)*e91</f>
        <v>0</v>
      </c>
      <c r="X91">
        <f>vlookup("927-007000-600",B:AZ,column(w1),0)*e91</f>
        <v>0</v>
      </c>
      <c r="Y91">
        <f>vlookup("927-007000-600",B:AZ,column(x1),0)*e91</f>
        <v>0</v>
      </c>
      <c r="Z91">
        <f>vlookup("927-007000-600",B:AZ,column(y1),0)*e91</f>
        <v>0</v>
      </c>
      <c r="AA91">
        <f>vlookup("927-007000-600",B:AZ,column(z1),0)*e91</f>
        <v>0</v>
      </c>
      <c r="AB91">
        <f>vlookup("927-007000-600",B:AZ,column(aa1),0)*e91</f>
        <v>0</v>
      </c>
      <c r="AC91">
        <f>vlookup("927-007000-600",B:AZ,column(ab1),0)*e91</f>
        <v>0</v>
      </c>
      <c r="AD91">
        <f>vlookup("927-007000-600",B:AZ,column(ac1),0)*e91</f>
        <v>0</v>
      </c>
      <c r="AE91">
        <f>vlookup("927-007000-600",B:AZ,column(ad1),0)*e91</f>
        <v>0</v>
      </c>
      <c r="AF91">
        <f>vlookup("927-007000-600",B:AZ,column(ae1),0)*e91</f>
        <v>0</v>
      </c>
      <c r="AG91">
        <f>vlookup("927-007000-600",B:AZ,column(af1),0)*e91</f>
        <v>0</v>
      </c>
      <c r="AH91">
        <f>vlookup("927-007000-600",B:AZ,column(ag1),0)*e91</f>
        <v>0</v>
      </c>
      <c r="AI91">
        <f>vlookup("927-007000-600",B:AZ,column(ah1),0)*e91</f>
        <v>0</v>
      </c>
      <c r="AJ91">
        <f>vlookup("927-007000-600",B:AZ,column(ai1),0)*e91</f>
        <v>0</v>
      </c>
      <c r="AK91">
        <f>vlookup("927-007000-600",B:AZ,column(aj1),0)*e91</f>
        <v>0</v>
      </c>
      <c r="AL91">
        <f>vlookup("927-007000-600",B:AZ,column(ak1),0)*e91</f>
        <v>0</v>
      </c>
      <c r="AM91">
        <f>vlookup("927-007000-600",B:AZ,column(al1),0)*e91</f>
        <v>0</v>
      </c>
      <c r="AN91">
        <f>vlookup("927-007000-600",B:AZ,column(am1),0)*e91</f>
        <v>0</v>
      </c>
      <c r="AO91">
        <f>vlookup("927-007000-600",B:AZ,column(an1),0)*e91</f>
        <v>0</v>
      </c>
    </row>
    <row r="92" spans="1:41">
      <c r="A92" t="s">
        <v>17</v>
      </c>
      <c r="B92" t="s">
        <v>124</v>
      </c>
      <c r="C92" t="s">
        <v>125</v>
      </c>
      <c r="E92">
        <v>1</v>
      </c>
      <c r="F92" t="s">
        <v>13</v>
      </c>
      <c r="I92" t="s">
        <v>15</v>
      </c>
      <c r="J92">
        <f>vlookup("927-007000-600",B:AZ,column(i1),0)*e92</f>
        <v>0</v>
      </c>
      <c r="K92">
        <f>vlookup("927-007000-600",B:AZ,column(j1),0)*e92</f>
        <v>0</v>
      </c>
      <c r="L92">
        <f>vlookup("927-007000-600",B:AZ,column(k1),0)*e92</f>
        <v>0</v>
      </c>
      <c r="M92">
        <f>vlookup("927-007000-600",B:AZ,column(l1),0)*e92</f>
        <v>0</v>
      </c>
      <c r="N92">
        <f>vlookup("927-007000-600",B:AZ,column(m1),0)*e92</f>
        <v>0</v>
      </c>
      <c r="O92">
        <f>vlookup("927-007000-600",B:AZ,column(n1),0)*e92</f>
        <v>0</v>
      </c>
      <c r="P92">
        <f>vlookup("927-007000-600",B:AZ,column(o1),0)*e92</f>
        <v>0</v>
      </c>
      <c r="Q92">
        <f>vlookup("927-007000-600",B:AZ,column(p1),0)*e92</f>
        <v>0</v>
      </c>
      <c r="R92">
        <f>vlookup("927-007000-600",B:AZ,column(q1),0)*e92</f>
        <v>0</v>
      </c>
      <c r="S92">
        <f>vlookup("927-007000-600",B:AZ,column(r1),0)*e92</f>
        <v>0</v>
      </c>
      <c r="T92">
        <f>vlookup("927-007000-600",B:AZ,column(s1),0)*e92</f>
        <v>0</v>
      </c>
      <c r="U92">
        <f>vlookup("927-007000-600",B:AZ,column(t1),0)*e92</f>
        <v>0</v>
      </c>
      <c r="V92">
        <f>vlookup("927-007000-600",B:AZ,column(u1),0)*e92</f>
        <v>0</v>
      </c>
      <c r="W92">
        <f>vlookup("927-007000-600",B:AZ,column(v1),0)*e92</f>
        <v>0</v>
      </c>
      <c r="X92">
        <f>vlookup("927-007000-600",B:AZ,column(w1),0)*e92</f>
        <v>0</v>
      </c>
      <c r="Y92">
        <f>vlookup("927-007000-600",B:AZ,column(x1),0)*e92</f>
        <v>0</v>
      </c>
      <c r="Z92">
        <f>vlookup("927-007000-600",B:AZ,column(y1),0)*e92</f>
        <v>0</v>
      </c>
      <c r="AA92">
        <f>vlookup("927-007000-600",B:AZ,column(z1),0)*e92</f>
        <v>0</v>
      </c>
      <c r="AB92">
        <f>vlookup("927-007000-600",B:AZ,column(aa1),0)*e92</f>
        <v>0</v>
      </c>
      <c r="AC92">
        <f>vlookup("927-007000-600",B:AZ,column(ab1),0)*e92</f>
        <v>0</v>
      </c>
      <c r="AD92">
        <f>vlookup("927-007000-600",B:AZ,column(ac1),0)*e92</f>
        <v>0</v>
      </c>
      <c r="AE92">
        <f>vlookup("927-007000-600",B:AZ,column(ad1),0)*e92</f>
        <v>0</v>
      </c>
      <c r="AF92">
        <f>vlookup("927-007000-600",B:AZ,column(ae1),0)*e92</f>
        <v>0</v>
      </c>
      <c r="AG92">
        <f>vlookup("927-007000-600",B:AZ,column(af1),0)*e92</f>
        <v>0</v>
      </c>
      <c r="AH92">
        <f>vlookup("927-007000-600",B:AZ,column(ag1),0)*e92</f>
        <v>0</v>
      </c>
      <c r="AI92">
        <f>vlookup("927-007000-600",B:AZ,column(ah1),0)*e92</f>
        <v>0</v>
      </c>
      <c r="AJ92">
        <f>vlookup("927-007000-600",B:AZ,column(ai1),0)*e92</f>
        <v>0</v>
      </c>
      <c r="AK92">
        <f>vlookup("927-007000-600",B:AZ,column(aj1),0)*e92</f>
        <v>0</v>
      </c>
      <c r="AL92">
        <f>vlookup("927-007000-600",B:AZ,column(ak1),0)*e92</f>
        <v>0</v>
      </c>
      <c r="AM92">
        <f>vlookup("927-007000-600",B:AZ,column(al1),0)*e92</f>
        <v>0</v>
      </c>
      <c r="AN92">
        <f>vlookup("927-007000-600",B:AZ,column(am1),0)*e92</f>
        <v>0</v>
      </c>
      <c r="AO92">
        <f>vlookup("927-007000-600",B:AZ,column(an1),0)*e92</f>
        <v>0</v>
      </c>
    </row>
    <row r="93" spans="1:41">
      <c r="A93" t="s">
        <v>17</v>
      </c>
      <c r="B93" t="s">
        <v>99</v>
      </c>
      <c r="C93" t="s">
        <v>113</v>
      </c>
      <c r="E93">
        <v>1</v>
      </c>
      <c r="F93" t="s">
        <v>13</v>
      </c>
      <c r="I93" t="s">
        <v>15</v>
      </c>
      <c r="J93">
        <f>vlookup("927-007000-600",B:AZ,column(i1),0)*e93</f>
        <v>0</v>
      </c>
      <c r="K93">
        <f>vlookup("927-007000-600",B:AZ,column(j1),0)*e93</f>
        <v>0</v>
      </c>
      <c r="L93">
        <f>vlookup("927-007000-600",B:AZ,column(k1),0)*e93</f>
        <v>0</v>
      </c>
      <c r="M93">
        <f>vlookup("927-007000-600",B:AZ,column(l1),0)*e93</f>
        <v>0</v>
      </c>
      <c r="N93">
        <f>vlookup("927-007000-600",B:AZ,column(m1),0)*e93</f>
        <v>0</v>
      </c>
      <c r="O93">
        <f>vlookup("927-007000-600",B:AZ,column(n1),0)*e93</f>
        <v>0</v>
      </c>
      <c r="P93">
        <f>vlookup("927-007000-600",B:AZ,column(o1),0)*e93</f>
        <v>0</v>
      </c>
      <c r="Q93">
        <f>vlookup("927-007000-600",B:AZ,column(p1),0)*e93</f>
        <v>0</v>
      </c>
      <c r="R93">
        <f>vlookup("927-007000-600",B:AZ,column(q1),0)*e93</f>
        <v>0</v>
      </c>
      <c r="S93">
        <f>vlookup("927-007000-600",B:AZ,column(r1),0)*e93</f>
        <v>0</v>
      </c>
      <c r="T93">
        <f>vlookup("927-007000-600",B:AZ,column(s1),0)*e93</f>
        <v>0</v>
      </c>
      <c r="U93">
        <f>vlookup("927-007000-600",B:AZ,column(t1),0)*e93</f>
        <v>0</v>
      </c>
      <c r="V93">
        <f>vlookup("927-007000-600",B:AZ,column(u1),0)*e93</f>
        <v>0</v>
      </c>
      <c r="W93">
        <f>vlookup("927-007000-600",B:AZ,column(v1),0)*e93</f>
        <v>0</v>
      </c>
      <c r="X93">
        <f>vlookup("927-007000-600",B:AZ,column(w1),0)*e93</f>
        <v>0</v>
      </c>
      <c r="Y93">
        <f>vlookup("927-007000-600",B:AZ,column(x1),0)*e93</f>
        <v>0</v>
      </c>
      <c r="Z93">
        <f>vlookup("927-007000-600",B:AZ,column(y1),0)*e93</f>
        <v>0</v>
      </c>
      <c r="AA93">
        <f>vlookup("927-007000-600",B:AZ,column(z1),0)*e93</f>
        <v>0</v>
      </c>
      <c r="AB93">
        <f>vlookup("927-007000-600",B:AZ,column(aa1),0)*e93</f>
        <v>0</v>
      </c>
      <c r="AC93">
        <f>vlookup("927-007000-600",B:AZ,column(ab1),0)*e93</f>
        <v>0</v>
      </c>
      <c r="AD93">
        <f>vlookup("927-007000-600",B:AZ,column(ac1),0)*e93</f>
        <v>0</v>
      </c>
      <c r="AE93">
        <f>vlookup("927-007000-600",B:AZ,column(ad1),0)*e93</f>
        <v>0</v>
      </c>
      <c r="AF93">
        <f>vlookup("927-007000-600",B:AZ,column(ae1),0)*e93</f>
        <v>0</v>
      </c>
      <c r="AG93">
        <f>vlookup("927-007000-600",B:AZ,column(af1),0)*e93</f>
        <v>0</v>
      </c>
      <c r="AH93">
        <f>vlookup("927-007000-600",B:AZ,column(ag1),0)*e93</f>
        <v>0</v>
      </c>
      <c r="AI93">
        <f>vlookup("927-007000-600",B:AZ,column(ah1),0)*e93</f>
        <v>0</v>
      </c>
      <c r="AJ93">
        <f>vlookup("927-007000-600",B:AZ,column(ai1),0)*e93</f>
        <v>0</v>
      </c>
      <c r="AK93">
        <f>vlookup("927-007000-600",B:AZ,column(aj1),0)*e93</f>
        <v>0</v>
      </c>
      <c r="AL93">
        <f>vlookup("927-007000-600",B:AZ,column(ak1),0)*e93</f>
        <v>0</v>
      </c>
      <c r="AM93">
        <f>vlookup("927-007000-600",B:AZ,column(al1),0)*e93</f>
        <v>0</v>
      </c>
      <c r="AN93">
        <f>vlookup("927-007000-600",B:AZ,column(am1),0)*e93</f>
        <v>0</v>
      </c>
      <c r="AO93">
        <f>vlookup("927-007000-600",B:AZ,column(an1),0)*e93</f>
        <v>0</v>
      </c>
    </row>
    <row r="94" spans="1:41">
      <c r="A94" t="s">
        <v>22</v>
      </c>
      <c r="B94" t="s">
        <v>93</v>
      </c>
      <c r="C94" t="s">
        <v>114</v>
      </c>
      <c r="E94">
        <v>1</v>
      </c>
      <c r="F94" t="s">
        <v>13</v>
      </c>
      <c r="I94" t="s">
        <v>15</v>
      </c>
      <c r="J94">
        <f>vlookup("927-007000-600",B:AZ,column(i1),0)*e94</f>
        <v>0</v>
      </c>
      <c r="K94">
        <f>vlookup("927-007000-600",B:AZ,column(j1),0)*e94</f>
        <v>0</v>
      </c>
      <c r="L94">
        <f>vlookup("927-007000-600",B:AZ,column(k1),0)*e94</f>
        <v>0</v>
      </c>
      <c r="M94">
        <f>vlookup("927-007000-600",B:AZ,column(l1),0)*e94</f>
        <v>0</v>
      </c>
      <c r="N94">
        <f>vlookup("927-007000-600",B:AZ,column(m1),0)*e94</f>
        <v>0</v>
      </c>
      <c r="O94">
        <f>vlookup("927-007000-600",B:AZ,column(n1),0)*e94</f>
        <v>0</v>
      </c>
      <c r="P94">
        <f>vlookup("927-007000-600",B:AZ,column(o1),0)*e94</f>
        <v>0</v>
      </c>
      <c r="Q94">
        <f>vlookup("927-007000-600",B:AZ,column(p1),0)*e94</f>
        <v>0</v>
      </c>
      <c r="R94">
        <f>vlookup("927-007000-600",B:AZ,column(q1),0)*e94</f>
        <v>0</v>
      </c>
      <c r="S94">
        <f>vlookup("927-007000-600",B:AZ,column(r1),0)*e94</f>
        <v>0</v>
      </c>
      <c r="T94">
        <f>vlookup("927-007000-600",B:AZ,column(s1),0)*e94</f>
        <v>0</v>
      </c>
      <c r="U94">
        <f>vlookup("927-007000-600",B:AZ,column(t1),0)*e94</f>
        <v>0</v>
      </c>
      <c r="V94">
        <f>vlookup("927-007000-600",B:AZ,column(u1),0)*e94</f>
        <v>0</v>
      </c>
      <c r="W94">
        <f>vlookup("927-007000-600",B:AZ,column(v1),0)*e94</f>
        <v>0</v>
      </c>
      <c r="X94">
        <f>vlookup("927-007000-600",B:AZ,column(w1),0)*e94</f>
        <v>0</v>
      </c>
      <c r="Y94">
        <f>vlookup("927-007000-600",B:AZ,column(x1),0)*e94</f>
        <v>0</v>
      </c>
      <c r="Z94">
        <f>vlookup("927-007000-600",B:AZ,column(y1),0)*e94</f>
        <v>0</v>
      </c>
      <c r="AA94">
        <f>vlookup("927-007000-600",B:AZ,column(z1),0)*e94</f>
        <v>0</v>
      </c>
      <c r="AB94">
        <f>vlookup("927-007000-600",B:AZ,column(aa1),0)*e94</f>
        <v>0</v>
      </c>
      <c r="AC94">
        <f>vlookup("927-007000-600",B:AZ,column(ab1),0)*e94</f>
        <v>0</v>
      </c>
      <c r="AD94">
        <f>vlookup("927-007000-600",B:AZ,column(ac1),0)*e94</f>
        <v>0</v>
      </c>
      <c r="AE94">
        <f>vlookup("927-007000-600",B:AZ,column(ad1),0)*e94</f>
        <v>0</v>
      </c>
      <c r="AF94">
        <f>vlookup("927-007000-600",B:AZ,column(ae1),0)*e94</f>
        <v>0</v>
      </c>
      <c r="AG94">
        <f>vlookup("927-007000-600",B:AZ,column(af1),0)*e94</f>
        <v>0</v>
      </c>
      <c r="AH94">
        <f>vlookup("927-007000-600",B:AZ,column(ag1),0)*e94</f>
        <v>0</v>
      </c>
      <c r="AI94">
        <f>vlookup("927-007000-600",B:AZ,column(ah1),0)*e94</f>
        <v>0</v>
      </c>
      <c r="AJ94">
        <f>vlookup("927-007000-600",B:AZ,column(ai1),0)*e94</f>
        <v>0</v>
      </c>
      <c r="AK94">
        <f>vlookup("927-007000-600",B:AZ,column(aj1),0)*e94</f>
        <v>0</v>
      </c>
      <c r="AL94">
        <f>vlookup("927-007000-600",B:AZ,column(ak1),0)*e94</f>
        <v>0</v>
      </c>
      <c r="AM94">
        <f>vlookup("927-007000-600",B:AZ,column(al1),0)*e94</f>
        <v>0</v>
      </c>
      <c r="AN94">
        <f>vlookup("927-007000-600",B:AZ,column(am1),0)*e94</f>
        <v>0</v>
      </c>
      <c r="AO94">
        <f>vlookup("927-007000-600",B:AZ,column(an1),0)*e94</f>
        <v>0</v>
      </c>
    </row>
    <row r="95" spans="1:41">
      <c r="A95" t="s">
        <v>22</v>
      </c>
      <c r="B95" t="s">
        <v>33</v>
      </c>
      <c r="C95" t="s">
        <v>115</v>
      </c>
      <c r="E95">
        <v>2</v>
      </c>
      <c r="F95" t="s">
        <v>13</v>
      </c>
      <c r="I95" t="s">
        <v>15</v>
      </c>
      <c r="J95">
        <f>vlookup("927-007000-600",B:AZ,column(i1),0)*e95</f>
        <v>0</v>
      </c>
      <c r="K95">
        <f>vlookup("927-007000-600",B:AZ,column(j1),0)*e95</f>
        <v>0</v>
      </c>
      <c r="L95">
        <f>vlookup("927-007000-600",B:AZ,column(k1),0)*e95</f>
        <v>0</v>
      </c>
      <c r="M95">
        <f>vlookup("927-007000-600",B:AZ,column(l1),0)*e95</f>
        <v>0</v>
      </c>
      <c r="N95">
        <f>vlookup("927-007000-600",B:AZ,column(m1),0)*e95</f>
        <v>0</v>
      </c>
      <c r="O95">
        <f>vlookup("927-007000-600",B:AZ,column(n1),0)*e95</f>
        <v>0</v>
      </c>
      <c r="P95">
        <f>vlookup("927-007000-600",B:AZ,column(o1),0)*e95</f>
        <v>0</v>
      </c>
      <c r="Q95">
        <f>vlookup("927-007000-600",B:AZ,column(p1),0)*e95</f>
        <v>0</v>
      </c>
      <c r="R95">
        <f>vlookup("927-007000-600",B:AZ,column(q1),0)*e95</f>
        <v>0</v>
      </c>
      <c r="S95">
        <f>vlookup("927-007000-600",B:AZ,column(r1),0)*e95</f>
        <v>0</v>
      </c>
      <c r="T95">
        <f>vlookup("927-007000-600",B:AZ,column(s1),0)*e95</f>
        <v>0</v>
      </c>
      <c r="U95">
        <f>vlookup("927-007000-600",B:AZ,column(t1),0)*e95</f>
        <v>0</v>
      </c>
      <c r="V95">
        <f>vlookup("927-007000-600",B:AZ,column(u1),0)*e95</f>
        <v>0</v>
      </c>
      <c r="W95">
        <f>vlookup("927-007000-600",B:AZ,column(v1),0)*e95</f>
        <v>0</v>
      </c>
      <c r="X95">
        <f>vlookup("927-007000-600",B:AZ,column(w1),0)*e95</f>
        <v>0</v>
      </c>
      <c r="Y95">
        <f>vlookup("927-007000-600",B:AZ,column(x1),0)*e95</f>
        <v>0</v>
      </c>
      <c r="Z95">
        <f>vlookup("927-007000-600",B:AZ,column(y1),0)*e95</f>
        <v>0</v>
      </c>
      <c r="AA95">
        <f>vlookup("927-007000-600",B:AZ,column(z1),0)*e95</f>
        <v>0</v>
      </c>
      <c r="AB95">
        <f>vlookup("927-007000-600",B:AZ,column(aa1),0)*e95</f>
        <v>0</v>
      </c>
      <c r="AC95">
        <f>vlookup("927-007000-600",B:AZ,column(ab1),0)*e95</f>
        <v>0</v>
      </c>
      <c r="AD95">
        <f>vlookup("927-007000-600",B:AZ,column(ac1),0)*e95</f>
        <v>0</v>
      </c>
      <c r="AE95">
        <f>vlookup("927-007000-600",B:AZ,column(ad1),0)*e95</f>
        <v>0</v>
      </c>
      <c r="AF95">
        <f>vlookup("927-007000-600",B:AZ,column(ae1),0)*e95</f>
        <v>0</v>
      </c>
      <c r="AG95">
        <f>vlookup("927-007000-600",B:AZ,column(af1),0)*e95</f>
        <v>0</v>
      </c>
      <c r="AH95">
        <f>vlookup("927-007000-600",B:AZ,column(ag1),0)*e95</f>
        <v>0</v>
      </c>
      <c r="AI95">
        <f>vlookup("927-007000-600",B:AZ,column(ah1),0)*e95</f>
        <v>0</v>
      </c>
      <c r="AJ95">
        <f>vlookup("927-007000-600",B:AZ,column(ai1),0)*e95</f>
        <v>0</v>
      </c>
      <c r="AK95">
        <f>vlookup("927-007000-600",B:AZ,column(aj1),0)*e95</f>
        <v>0</v>
      </c>
      <c r="AL95">
        <f>vlookup("927-007000-600",B:AZ,column(ak1),0)*e95</f>
        <v>0</v>
      </c>
      <c r="AM95">
        <f>vlookup("927-007000-600",B:AZ,column(al1),0)*e95</f>
        <v>0</v>
      </c>
      <c r="AN95">
        <f>vlookup("927-007000-600",B:AZ,column(am1),0)*e95</f>
        <v>0</v>
      </c>
      <c r="AO95">
        <f>vlookup("927-007000-600",B:AZ,column(an1),0)*e95</f>
        <v>0</v>
      </c>
    </row>
    <row r="96" spans="1:41">
      <c r="A96" t="s">
        <v>78</v>
      </c>
      <c r="B96" t="s">
        <v>101</v>
      </c>
      <c r="C96" t="s">
        <v>102</v>
      </c>
      <c r="E96">
        <v>0.1</v>
      </c>
      <c r="F96" t="s">
        <v>13</v>
      </c>
      <c r="I96" t="s">
        <v>15</v>
      </c>
      <c r="J96">
        <f>vlookup("927-007000-600",B:AZ,column(i1),0)*e96</f>
        <v>0</v>
      </c>
      <c r="K96">
        <f>vlookup("927-007000-600",B:AZ,column(j1),0)*e96</f>
        <v>0</v>
      </c>
      <c r="L96">
        <f>vlookup("927-007000-600",B:AZ,column(k1),0)*e96</f>
        <v>0</v>
      </c>
      <c r="M96">
        <f>vlookup("927-007000-600",B:AZ,column(l1),0)*e96</f>
        <v>0</v>
      </c>
      <c r="N96">
        <f>vlookup("927-007000-600",B:AZ,column(m1),0)*e96</f>
        <v>0</v>
      </c>
      <c r="O96">
        <f>vlookup("927-007000-600",B:AZ,column(n1),0)*e96</f>
        <v>0</v>
      </c>
      <c r="P96">
        <f>vlookup("927-007000-600",B:AZ,column(o1),0)*e96</f>
        <v>0</v>
      </c>
      <c r="Q96">
        <f>vlookup("927-007000-600",B:AZ,column(p1),0)*e96</f>
        <v>0</v>
      </c>
      <c r="R96">
        <f>vlookup("927-007000-600",B:AZ,column(q1),0)*e96</f>
        <v>0</v>
      </c>
      <c r="S96">
        <f>vlookup("927-007000-600",B:AZ,column(r1),0)*e96</f>
        <v>0</v>
      </c>
      <c r="T96">
        <f>vlookup("927-007000-600",B:AZ,column(s1),0)*e96</f>
        <v>0</v>
      </c>
      <c r="U96">
        <f>vlookup("927-007000-600",B:AZ,column(t1),0)*e96</f>
        <v>0</v>
      </c>
      <c r="V96">
        <f>vlookup("927-007000-600",B:AZ,column(u1),0)*e96</f>
        <v>0</v>
      </c>
      <c r="W96">
        <f>vlookup("927-007000-600",B:AZ,column(v1),0)*e96</f>
        <v>0</v>
      </c>
      <c r="X96">
        <f>vlookup("927-007000-600",B:AZ,column(w1),0)*e96</f>
        <v>0</v>
      </c>
      <c r="Y96">
        <f>vlookup("927-007000-600",B:AZ,column(x1),0)*e96</f>
        <v>0</v>
      </c>
      <c r="Z96">
        <f>vlookup("927-007000-600",B:AZ,column(y1),0)*e96</f>
        <v>0</v>
      </c>
      <c r="AA96">
        <f>vlookup("927-007000-600",B:AZ,column(z1),0)*e96</f>
        <v>0</v>
      </c>
      <c r="AB96">
        <f>vlookup("927-007000-600",B:AZ,column(aa1),0)*e96</f>
        <v>0</v>
      </c>
      <c r="AC96">
        <f>vlookup("927-007000-600",B:AZ,column(ab1),0)*e96</f>
        <v>0</v>
      </c>
      <c r="AD96">
        <f>vlookup("927-007000-600",B:AZ,column(ac1),0)*e96</f>
        <v>0</v>
      </c>
      <c r="AE96">
        <f>vlookup("927-007000-600",B:AZ,column(ad1),0)*e96</f>
        <v>0</v>
      </c>
      <c r="AF96">
        <f>vlookup("927-007000-600",B:AZ,column(ae1),0)*e96</f>
        <v>0</v>
      </c>
      <c r="AG96">
        <f>vlookup("927-007000-600",B:AZ,column(af1),0)*e96</f>
        <v>0</v>
      </c>
      <c r="AH96">
        <f>vlookup("927-007000-600",B:AZ,column(ag1),0)*e96</f>
        <v>0</v>
      </c>
      <c r="AI96">
        <f>vlookup("927-007000-600",B:AZ,column(ah1),0)*e96</f>
        <v>0</v>
      </c>
      <c r="AJ96">
        <f>vlookup("927-007000-600",B:AZ,column(ai1),0)*e96</f>
        <v>0</v>
      </c>
      <c r="AK96">
        <f>vlookup("927-007000-600",B:AZ,column(aj1),0)*e96</f>
        <v>0</v>
      </c>
      <c r="AL96">
        <f>vlookup("927-007000-600",B:AZ,column(ak1),0)*e96</f>
        <v>0</v>
      </c>
      <c r="AM96">
        <f>vlookup("927-007000-600",B:AZ,column(al1),0)*e96</f>
        <v>0</v>
      </c>
      <c r="AN96">
        <f>vlookup("927-007000-600",B:AZ,column(am1),0)*e96</f>
        <v>0</v>
      </c>
      <c r="AO96">
        <f>vlookup("927-007000-600",B:AZ,column(an1),0)*e96</f>
        <v>0</v>
      </c>
    </row>
    <row r="97" spans="1:41">
      <c r="A97" t="s">
        <v>10</v>
      </c>
      <c r="B97" t="s">
        <v>126</v>
      </c>
      <c r="C97" t="s">
        <v>127</v>
      </c>
      <c r="E97">
        <v>1</v>
      </c>
      <c r="F97" t="s">
        <v>13</v>
      </c>
      <c r="I97" t="s">
        <v>14</v>
      </c>
      <c r="AO97">
        <f>sum(j97:an97)</f>
        <v>0</v>
      </c>
    </row>
    <row r="98" spans="1:41">
      <c r="I98" t="s">
        <v>15</v>
      </c>
      <c r="J98">
        <f>vlookup("927-004000-200",Out!B:AZ,column(i1),0)</f>
        <v>0</v>
      </c>
      <c r="K98">
        <f>vlookup("927-004000-200",Out!B:AZ,column(j1),0)</f>
        <v>0</v>
      </c>
      <c r="L98">
        <f>vlookup("927-004000-200",Out!B:AZ,column(k1),0)</f>
        <v>0</v>
      </c>
      <c r="M98">
        <f>vlookup("927-004000-200",Out!B:AZ,column(l1),0)</f>
        <v>0</v>
      </c>
      <c r="N98">
        <f>vlookup("927-004000-200",Out!B:AZ,column(m1),0)</f>
        <v>0</v>
      </c>
      <c r="O98">
        <f>vlookup("927-004000-200",Out!B:AZ,column(n1),0)</f>
        <v>0</v>
      </c>
      <c r="P98">
        <f>vlookup("927-004000-200",Out!B:AZ,column(o1),0)</f>
        <v>0</v>
      </c>
      <c r="Q98">
        <f>vlookup("927-004000-200",Out!B:AZ,column(p1),0)</f>
        <v>0</v>
      </c>
      <c r="R98">
        <f>vlookup("927-004000-200",Out!B:AZ,column(q1),0)</f>
        <v>0</v>
      </c>
      <c r="S98">
        <f>vlookup("927-004000-200",Out!B:AZ,column(r1),0)</f>
        <v>0</v>
      </c>
      <c r="T98">
        <f>vlookup("927-004000-200",Out!B:AZ,column(s1),0)</f>
        <v>0</v>
      </c>
      <c r="U98">
        <f>vlookup("927-004000-200",Out!B:AZ,column(t1),0)</f>
        <v>0</v>
      </c>
      <c r="V98">
        <f>vlookup("927-004000-200",Out!B:AZ,column(u1),0)</f>
        <v>0</v>
      </c>
      <c r="W98">
        <f>vlookup("927-004000-200",Out!B:AZ,column(v1),0)</f>
        <v>0</v>
      </c>
      <c r="X98">
        <f>vlookup("927-004000-200",Out!B:AZ,column(w1),0)</f>
        <v>0</v>
      </c>
      <c r="Y98">
        <f>vlookup("927-004000-200",Out!B:AZ,column(x1),0)</f>
        <v>0</v>
      </c>
      <c r="Z98">
        <f>vlookup("927-004000-200",Out!B:AZ,column(y1),0)</f>
        <v>0</v>
      </c>
      <c r="AA98">
        <f>vlookup("927-004000-200",Out!B:AZ,column(z1),0)</f>
        <v>0</v>
      </c>
      <c r="AB98">
        <f>vlookup("927-004000-200",Out!B:AZ,column(aa1),0)</f>
        <v>0</v>
      </c>
      <c r="AC98">
        <f>vlookup("927-004000-200",Out!B:AZ,column(ab1),0)</f>
        <v>0</v>
      </c>
      <c r="AD98">
        <f>vlookup("927-004000-200",Out!B:AZ,column(ac1),0)</f>
        <v>0</v>
      </c>
      <c r="AE98">
        <f>vlookup("927-004000-200",Out!B:AZ,column(ad1),0)</f>
        <v>0</v>
      </c>
      <c r="AF98">
        <f>vlookup("927-004000-200",Out!B:AZ,column(ae1),0)</f>
        <v>0</v>
      </c>
      <c r="AG98">
        <f>vlookup("927-004000-200",Out!B:AZ,column(af1),0)</f>
        <v>0</v>
      </c>
      <c r="AH98">
        <f>vlookup("927-004000-200",Out!B:AZ,column(ag1),0)</f>
        <v>0</v>
      </c>
      <c r="AI98">
        <f>vlookup("927-004000-200",Out!B:AZ,column(ah1),0)</f>
        <v>0</v>
      </c>
      <c r="AJ98">
        <f>vlookup("927-004000-200",Out!B:AZ,column(ai1),0)</f>
        <v>0</v>
      </c>
      <c r="AK98">
        <f>vlookup("927-004000-200",Out!B:AZ,column(aj1),0)</f>
        <v>0</v>
      </c>
      <c r="AL98">
        <f>vlookup("927-004000-200",Out!B:AZ,column(ak1),0)</f>
        <v>0</v>
      </c>
      <c r="AM98">
        <f>vlookup("927-004000-200",Out!B:AZ,column(al1),0)</f>
        <v>0</v>
      </c>
      <c r="AN98">
        <f>vlookup("927-004000-200",Out!B:AZ,column(am1),0)</f>
        <v>0</v>
      </c>
      <c r="AO98">
        <f>vlookup("927-004000-200",Out!B:AZ,column(an1),0)</f>
        <v>0</v>
      </c>
    </row>
    <row r="99" spans="1:41">
      <c r="H99" t="s">
        <v>16</v>
      </c>
      <c r="J99">
        <f>indirect(address(99,9))+indirect(address(97,10))-indirect(address(98,10))</f>
        <v>0</v>
      </c>
      <c r="K99">
        <f>indirect(address(99,10))+indirect(address(97,11))-indirect(address(98,11))</f>
        <v>0</v>
      </c>
      <c r="L99">
        <f>indirect(address(99,11))+indirect(address(97,12))-indirect(address(98,12))</f>
        <v>0</v>
      </c>
      <c r="M99">
        <f>indirect(address(99,12))+indirect(address(97,13))-indirect(address(98,13))</f>
        <v>0</v>
      </c>
      <c r="N99">
        <f>indirect(address(99,13))+indirect(address(97,14))-indirect(address(98,14))</f>
        <v>0</v>
      </c>
      <c r="O99">
        <f>indirect(address(99,14))+indirect(address(97,15))-indirect(address(98,15))</f>
        <v>0</v>
      </c>
      <c r="P99">
        <f>indirect(address(99,15))+indirect(address(97,16))-indirect(address(98,16))</f>
        <v>0</v>
      </c>
      <c r="Q99">
        <f>indirect(address(99,16))+indirect(address(97,17))-indirect(address(98,17))</f>
        <v>0</v>
      </c>
      <c r="R99">
        <f>indirect(address(99,17))+indirect(address(97,18))-indirect(address(98,18))</f>
        <v>0</v>
      </c>
      <c r="S99">
        <f>indirect(address(99,18))+indirect(address(97,19))-indirect(address(98,19))</f>
        <v>0</v>
      </c>
      <c r="T99">
        <f>indirect(address(99,19))+indirect(address(97,20))-indirect(address(98,20))</f>
        <v>0</v>
      </c>
      <c r="U99">
        <f>indirect(address(99,20))+indirect(address(97,21))-indirect(address(98,21))</f>
        <v>0</v>
      </c>
      <c r="V99">
        <f>indirect(address(99,21))+indirect(address(97,22))-indirect(address(98,22))</f>
        <v>0</v>
      </c>
      <c r="W99">
        <f>indirect(address(99,22))+indirect(address(97,23))-indirect(address(98,23))</f>
        <v>0</v>
      </c>
      <c r="X99">
        <f>indirect(address(99,23))+indirect(address(97,24))-indirect(address(98,24))</f>
        <v>0</v>
      </c>
      <c r="Y99">
        <f>indirect(address(99,24))+indirect(address(97,25))-indirect(address(98,25))</f>
        <v>0</v>
      </c>
      <c r="Z99">
        <f>indirect(address(99,25))+indirect(address(97,26))-indirect(address(98,26))</f>
        <v>0</v>
      </c>
      <c r="AA99">
        <f>indirect(address(99,26))+indirect(address(97,27))-indirect(address(98,27))</f>
        <v>0</v>
      </c>
      <c r="AB99">
        <f>indirect(address(99,27))+indirect(address(97,28))-indirect(address(98,28))</f>
        <v>0</v>
      </c>
      <c r="AC99">
        <f>indirect(address(99,28))+indirect(address(97,29))-indirect(address(98,29))</f>
        <v>0</v>
      </c>
      <c r="AD99">
        <f>indirect(address(99,29))+indirect(address(97,30))-indirect(address(98,30))</f>
        <v>0</v>
      </c>
      <c r="AE99">
        <f>indirect(address(99,30))+indirect(address(97,31))-indirect(address(98,31))</f>
        <v>0</v>
      </c>
      <c r="AF99">
        <f>indirect(address(99,31))+indirect(address(97,32))-indirect(address(98,32))</f>
        <v>0</v>
      </c>
      <c r="AG99">
        <f>indirect(address(99,32))+indirect(address(97,33))-indirect(address(98,33))</f>
        <v>0</v>
      </c>
      <c r="AH99">
        <f>indirect(address(99,33))+indirect(address(97,34))-indirect(address(98,34))</f>
        <v>0</v>
      </c>
      <c r="AI99">
        <f>indirect(address(99,34))+indirect(address(97,35))-indirect(address(98,35))</f>
        <v>0</v>
      </c>
      <c r="AJ99">
        <f>indirect(address(99,35))+indirect(address(97,36))-indirect(address(98,36))</f>
        <v>0</v>
      </c>
      <c r="AK99">
        <f>indirect(address(99,36))+indirect(address(97,37))-indirect(address(98,37))</f>
        <v>0</v>
      </c>
      <c r="AL99">
        <f>indirect(address(99,37))+indirect(address(97,38))-indirect(address(98,38))</f>
        <v>0</v>
      </c>
      <c r="AM99">
        <f>indirect(address(99,38))+indirect(address(97,39))-indirect(address(98,39))</f>
        <v>0</v>
      </c>
      <c r="AN99">
        <f>indirect(address(99,39))+indirect(address(97,40))-indirect(address(98,40))</f>
        <v>0</v>
      </c>
      <c r="AO99">
        <f>indirect(address(99,40))</f>
        <v>0</v>
      </c>
    </row>
    <row r="100" spans="1:41">
      <c r="A100" t="s">
        <v>17</v>
      </c>
      <c r="B100" t="s">
        <v>128</v>
      </c>
      <c r="C100" t="s">
        <v>129</v>
      </c>
      <c r="E100">
        <v>1</v>
      </c>
      <c r="F100" t="s">
        <v>13</v>
      </c>
      <c r="I100" t="s">
        <v>15</v>
      </c>
      <c r="J100">
        <f>vlookup("927-004000-200",B:AZ,column(i1),0)*e100</f>
        <v>0</v>
      </c>
      <c r="K100">
        <f>vlookup("927-004000-200",B:AZ,column(j1),0)*e100</f>
        <v>0</v>
      </c>
      <c r="L100">
        <f>vlookup("927-004000-200",B:AZ,column(k1),0)*e100</f>
        <v>0</v>
      </c>
      <c r="M100">
        <f>vlookup("927-004000-200",B:AZ,column(l1),0)*e100</f>
        <v>0</v>
      </c>
      <c r="N100">
        <f>vlookup("927-004000-200",B:AZ,column(m1),0)*e100</f>
        <v>0</v>
      </c>
      <c r="O100">
        <f>vlookup("927-004000-200",B:AZ,column(n1),0)*e100</f>
        <v>0</v>
      </c>
      <c r="P100">
        <f>vlookup("927-004000-200",B:AZ,column(o1),0)*e100</f>
        <v>0</v>
      </c>
      <c r="Q100">
        <f>vlookup("927-004000-200",B:AZ,column(p1),0)*e100</f>
        <v>0</v>
      </c>
      <c r="R100">
        <f>vlookup("927-004000-200",B:AZ,column(q1),0)*e100</f>
        <v>0</v>
      </c>
      <c r="S100">
        <f>vlookup("927-004000-200",B:AZ,column(r1),0)*e100</f>
        <v>0</v>
      </c>
      <c r="T100">
        <f>vlookup("927-004000-200",B:AZ,column(s1),0)*e100</f>
        <v>0</v>
      </c>
      <c r="U100">
        <f>vlookup("927-004000-200",B:AZ,column(t1),0)*e100</f>
        <v>0</v>
      </c>
      <c r="V100">
        <f>vlookup("927-004000-200",B:AZ,column(u1),0)*e100</f>
        <v>0</v>
      </c>
      <c r="W100">
        <f>vlookup("927-004000-200",B:AZ,column(v1),0)*e100</f>
        <v>0</v>
      </c>
      <c r="X100">
        <f>vlookup("927-004000-200",B:AZ,column(w1),0)*e100</f>
        <v>0</v>
      </c>
      <c r="Y100">
        <f>vlookup("927-004000-200",B:AZ,column(x1),0)*e100</f>
        <v>0</v>
      </c>
      <c r="Z100">
        <f>vlookup("927-004000-200",B:AZ,column(y1),0)*e100</f>
        <v>0</v>
      </c>
      <c r="AA100">
        <f>vlookup("927-004000-200",B:AZ,column(z1),0)*e100</f>
        <v>0</v>
      </c>
      <c r="AB100">
        <f>vlookup("927-004000-200",B:AZ,column(aa1),0)*e100</f>
        <v>0</v>
      </c>
      <c r="AC100">
        <f>vlookup("927-004000-200",B:AZ,column(ab1),0)*e100</f>
        <v>0</v>
      </c>
      <c r="AD100">
        <f>vlookup("927-004000-200",B:AZ,column(ac1),0)*e100</f>
        <v>0</v>
      </c>
      <c r="AE100">
        <f>vlookup("927-004000-200",B:AZ,column(ad1),0)*e100</f>
        <v>0</v>
      </c>
      <c r="AF100">
        <f>vlookup("927-004000-200",B:AZ,column(ae1),0)*e100</f>
        <v>0</v>
      </c>
      <c r="AG100">
        <f>vlookup("927-004000-200",B:AZ,column(af1),0)*e100</f>
        <v>0</v>
      </c>
      <c r="AH100">
        <f>vlookup("927-004000-200",B:AZ,column(ag1),0)*e100</f>
        <v>0</v>
      </c>
      <c r="AI100">
        <f>vlookup("927-004000-200",B:AZ,column(ah1),0)*e100</f>
        <v>0</v>
      </c>
      <c r="AJ100">
        <f>vlookup("927-004000-200",B:AZ,column(ai1),0)*e100</f>
        <v>0</v>
      </c>
      <c r="AK100">
        <f>vlookup("927-004000-200",B:AZ,column(aj1),0)*e100</f>
        <v>0</v>
      </c>
      <c r="AL100">
        <f>vlookup("927-004000-200",B:AZ,column(ak1),0)*e100</f>
        <v>0</v>
      </c>
      <c r="AM100">
        <f>vlookup("927-004000-200",B:AZ,column(al1),0)*e100</f>
        <v>0</v>
      </c>
      <c r="AN100">
        <f>vlookup("927-004000-200",B:AZ,column(am1),0)*e100</f>
        <v>0</v>
      </c>
      <c r="AO100">
        <f>vlookup("927-004000-200",B:AZ,column(an1),0)*e100</f>
        <v>0</v>
      </c>
    </row>
    <row r="101" spans="1:41">
      <c r="A101" t="s">
        <v>17</v>
      </c>
      <c r="B101" t="s">
        <v>130</v>
      </c>
      <c r="C101" t="s">
        <v>131</v>
      </c>
      <c r="E101">
        <v>1</v>
      </c>
      <c r="F101" t="s">
        <v>13</v>
      </c>
      <c r="I101" t="s">
        <v>15</v>
      </c>
      <c r="J101">
        <f>vlookup("927-004000-200",B:AZ,column(i1),0)*e101</f>
        <v>0</v>
      </c>
      <c r="K101">
        <f>vlookup("927-004000-200",B:AZ,column(j1),0)*e101</f>
        <v>0</v>
      </c>
      <c r="L101">
        <f>vlookup("927-004000-200",B:AZ,column(k1),0)*e101</f>
        <v>0</v>
      </c>
      <c r="M101">
        <f>vlookup("927-004000-200",B:AZ,column(l1),0)*e101</f>
        <v>0</v>
      </c>
      <c r="N101">
        <f>vlookup("927-004000-200",B:AZ,column(m1),0)*e101</f>
        <v>0</v>
      </c>
      <c r="O101">
        <f>vlookup("927-004000-200",B:AZ,column(n1),0)*e101</f>
        <v>0</v>
      </c>
      <c r="P101">
        <f>vlookup("927-004000-200",B:AZ,column(o1),0)*e101</f>
        <v>0</v>
      </c>
      <c r="Q101">
        <f>vlookup("927-004000-200",B:AZ,column(p1),0)*e101</f>
        <v>0</v>
      </c>
      <c r="R101">
        <f>vlookup("927-004000-200",B:AZ,column(q1),0)*e101</f>
        <v>0</v>
      </c>
      <c r="S101">
        <f>vlookup("927-004000-200",B:AZ,column(r1),0)*e101</f>
        <v>0</v>
      </c>
      <c r="T101">
        <f>vlookup("927-004000-200",B:AZ,column(s1),0)*e101</f>
        <v>0</v>
      </c>
      <c r="U101">
        <f>vlookup("927-004000-200",B:AZ,column(t1),0)*e101</f>
        <v>0</v>
      </c>
      <c r="V101">
        <f>vlookup("927-004000-200",B:AZ,column(u1),0)*e101</f>
        <v>0</v>
      </c>
      <c r="W101">
        <f>vlookup("927-004000-200",B:AZ,column(v1),0)*e101</f>
        <v>0</v>
      </c>
      <c r="X101">
        <f>vlookup("927-004000-200",B:AZ,column(w1),0)*e101</f>
        <v>0</v>
      </c>
      <c r="Y101">
        <f>vlookup("927-004000-200",B:AZ,column(x1),0)*e101</f>
        <v>0</v>
      </c>
      <c r="Z101">
        <f>vlookup("927-004000-200",B:AZ,column(y1),0)*e101</f>
        <v>0</v>
      </c>
      <c r="AA101">
        <f>vlookup("927-004000-200",B:AZ,column(z1),0)*e101</f>
        <v>0</v>
      </c>
      <c r="AB101">
        <f>vlookup("927-004000-200",B:AZ,column(aa1),0)*e101</f>
        <v>0</v>
      </c>
      <c r="AC101">
        <f>vlookup("927-004000-200",B:AZ,column(ab1),0)*e101</f>
        <v>0</v>
      </c>
      <c r="AD101">
        <f>vlookup("927-004000-200",B:AZ,column(ac1),0)*e101</f>
        <v>0</v>
      </c>
      <c r="AE101">
        <f>vlookup("927-004000-200",B:AZ,column(ad1),0)*e101</f>
        <v>0</v>
      </c>
      <c r="AF101">
        <f>vlookup("927-004000-200",B:AZ,column(ae1),0)*e101</f>
        <v>0</v>
      </c>
      <c r="AG101">
        <f>vlookup("927-004000-200",B:AZ,column(af1),0)*e101</f>
        <v>0</v>
      </c>
      <c r="AH101">
        <f>vlookup("927-004000-200",B:AZ,column(ag1),0)*e101</f>
        <v>0</v>
      </c>
      <c r="AI101">
        <f>vlookup("927-004000-200",B:AZ,column(ah1),0)*e101</f>
        <v>0</v>
      </c>
      <c r="AJ101">
        <f>vlookup("927-004000-200",B:AZ,column(ai1),0)*e101</f>
        <v>0</v>
      </c>
      <c r="AK101">
        <f>vlookup("927-004000-200",B:AZ,column(aj1),0)*e101</f>
        <v>0</v>
      </c>
      <c r="AL101">
        <f>vlookup("927-004000-200",B:AZ,column(ak1),0)*e101</f>
        <v>0</v>
      </c>
      <c r="AM101">
        <f>vlookup("927-004000-200",B:AZ,column(al1),0)*e101</f>
        <v>0</v>
      </c>
      <c r="AN101">
        <f>vlookup("927-004000-200",B:AZ,column(am1),0)*e101</f>
        <v>0</v>
      </c>
      <c r="AO101">
        <f>vlookup("927-004000-200",B:AZ,column(an1),0)*e101</f>
        <v>0</v>
      </c>
    </row>
    <row r="102" spans="1:41">
      <c r="A102" t="s">
        <v>17</v>
      </c>
      <c r="B102" t="s">
        <v>132</v>
      </c>
      <c r="C102" t="s">
        <v>133</v>
      </c>
      <c r="E102">
        <v>1</v>
      </c>
      <c r="F102" t="s">
        <v>13</v>
      </c>
      <c r="I102" t="s">
        <v>15</v>
      </c>
      <c r="J102">
        <f>vlookup("927-004000-200",B:AZ,column(i1),0)*e102</f>
        <v>0</v>
      </c>
      <c r="K102">
        <f>vlookup("927-004000-200",B:AZ,column(j1),0)*e102</f>
        <v>0</v>
      </c>
      <c r="L102">
        <f>vlookup("927-004000-200",B:AZ,column(k1),0)*e102</f>
        <v>0</v>
      </c>
      <c r="M102">
        <f>vlookup("927-004000-200",B:AZ,column(l1),0)*e102</f>
        <v>0</v>
      </c>
      <c r="N102">
        <f>vlookup("927-004000-200",B:AZ,column(m1),0)*e102</f>
        <v>0</v>
      </c>
      <c r="O102">
        <f>vlookup("927-004000-200",B:AZ,column(n1),0)*e102</f>
        <v>0</v>
      </c>
      <c r="P102">
        <f>vlookup("927-004000-200",B:AZ,column(o1),0)*e102</f>
        <v>0</v>
      </c>
      <c r="Q102">
        <f>vlookup("927-004000-200",B:AZ,column(p1),0)*e102</f>
        <v>0</v>
      </c>
      <c r="R102">
        <f>vlookup("927-004000-200",B:AZ,column(q1),0)*e102</f>
        <v>0</v>
      </c>
      <c r="S102">
        <f>vlookup("927-004000-200",B:AZ,column(r1),0)*e102</f>
        <v>0</v>
      </c>
      <c r="T102">
        <f>vlookup("927-004000-200",B:AZ,column(s1),0)*e102</f>
        <v>0</v>
      </c>
      <c r="U102">
        <f>vlookup("927-004000-200",B:AZ,column(t1),0)*e102</f>
        <v>0</v>
      </c>
      <c r="V102">
        <f>vlookup("927-004000-200",B:AZ,column(u1),0)*e102</f>
        <v>0</v>
      </c>
      <c r="W102">
        <f>vlookup("927-004000-200",B:AZ,column(v1),0)*e102</f>
        <v>0</v>
      </c>
      <c r="X102">
        <f>vlookup("927-004000-200",B:AZ,column(w1),0)*e102</f>
        <v>0</v>
      </c>
      <c r="Y102">
        <f>vlookup("927-004000-200",B:AZ,column(x1),0)*e102</f>
        <v>0</v>
      </c>
      <c r="Z102">
        <f>vlookup("927-004000-200",B:AZ,column(y1),0)*e102</f>
        <v>0</v>
      </c>
      <c r="AA102">
        <f>vlookup("927-004000-200",B:AZ,column(z1),0)*e102</f>
        <v>0</v>
      </c>
      <c r="AB102">
        <f>vlookup("927-004000-200",B:AZ,column(aa1),0)*e102</f>
        <v>0</v>
      </c>
      <c r="AC102">
        <f>vlookup("927-004000-200",B:AZ,column(ab1),0)*e102</f>
        <v>0</v>
      </c>
      <c r="AD102">
        <f>vlookup("927-004000-200",B:AZ,column(ac1),0)*e102</f>
        <v>0</v>
      </c>
      <c r="AE102">
        <f>vlookup("927-004000-200",B:AZ,column(ad1),0)*e102</f>
        <v>0</v>
      </c>
      <c r="AF102">
        <f>vlookup("927-004000-200",B:AZ,column(ae1),0)*e102</f>
        <v>0</v>
      </c>
      <c r="AG102">
        <f>vlookup("927-004000-200",B:AZ,column(af1),0)*e102</f>
        <v>0</v>
      </c>
      <c r="AH102">
        <f>vlookup("927-004000-200",B:AZ,column(ag1),0)*e102</f>
        <v>0</v>
      </c>
      <c r="AI102">
        <f>vlookup("927-004000-200",B:AZ,column(ah1),0)*e102</f>
        <v>0</v>
      </c>
      <c r="AJ102">
        <f>vlookup("927-004000-200",B:AZ,column(ai1),0)*e102</f>
        <v>0</v>
      </c>
      <c r="AK102">
        <f>vlookup("927-004000-200",B:AZ,column(aj1),0)*e102</f>
        <v>0</v>
      </c>
      <c r="AL102">
        <f>vlookup("927-004000-200",B:AZ,column(ak1),0)*e102</f>
        <v>0</v>
      </c>
      <c r="AM102">
        <f>vlookup("927-004000-200",B:AZ,column(al1),0)*e102</f>
        <v>0</v>
      </c>
      <c r="AN102">
        <f>vlookup("927-004000-200",B:AZ,column(am1),0)*e102</f>
        <v>0</v>
      </c>
      <c r="AO102">
        <f>vlookup("927-004000-200",B:AZ,column(an1),0)*e102</f>
        <v>0</v>
      </c>
    </row>
    <row r="103" spans="1:41">
      <c r="A103" t="s">
        <v>22</v>
      </c>
      <c r="B103" t="s">
        <v>134</v>
      </c>
      <c r="C103" t="s">
        <v>135</v>
      </c>
      <c r="E103">
        <v>1</v>
      </c>
      <c r="F103" t="s">
        <v>13</v>
      </c>
      <c r="I103" t="s">
        <v>15</v>
      </c>
      <c r="J103">
        <f>vlookup("927-004000-200",B:AZ,column(i1),0)*e103</f>
        <v>0</v>
      </c>
      <c r="K103">
        <f>vlookup("927-004000-200",B:AZ,column(j1),0)*e103</f>
        <v>0</v>
      </c>
      <c r="L103">
        <f>vlookup("927-004000-200",B:AZ,column(k1),0)*e103</f>
        <v>0</v>
      </c>
      <c r="M103">
        <f>vlookup("927-004000-200",B:AZ,column(l1),0)*e103</f>
        <v>0</v>
      </c>
      <c r="N103">
        <f>vlookup("927-004000-200",B:AZ,column(m1),0)*e103</f>
        <v>0</v>
      </c>
      <c r="O103">
        <f>vlookup("927-004000-200",B:AZ,column(n1),0)*e103</f>
        <v>0</v>
      </c>
      <c r="P103">
        <f>vlookup("927-004000-200",B:AZ,column(o1),0)*e103</f>
        <v>0</v>
      </c>
      <c r="Q103">
        <f>vlookup("927-004000-200",B:AZ,column(p1),0)*e103</f>
        <v>0</v>
      </c>
      <c r="R103">
        <f>vlookup("927-004000-200",B:AZ,column(q1),0)*e103</f>
        <v>0</v>
      </c>
      <c r="S103">
        <f>vlookup("927-004000-200",B:AZ,column(r1),0)*e103</f>
        <v>0</v>
      </c>
      <c r="T103">
        <f>vlookup("927-004000-200",B:AZ,column(s1),0)*e103</f>
        <v>0</v>
      </c>
      <c r="U103">
        <f>vlookup("927-004000-200",B:AZ,column(t1),0)*e103</f>
        <v>0</v>
      </c>
      <c r="V103">
        <f>vlookup("927-004000-200",B:AZ,column(u1),0)*e103</f>
        <v>0</v>
      </c>
      <c r="W103">
        <f>vlookup("927-004000-200",B:AZ,column(v1),0)*e103</f>
        <v>0</v>
      </c>
      <c r="X103">
        <f>vlookup("927-004000-200",B:AZ,column(w1),0)*e103</f>
        <v>0</v>
      </c>
      <c r="Y103">
        <f>vlookup("927-004000-200",B:AZ,column(x1),0)*e103</f>
        <v>0</v>
      </c>
      <c r="Z103">
        <f>vlookup("927-004000-200",B:AZ,column(y1),0)*e103</f>
        <v>0</v>
      </c>
      <c r="AA103">
        <f>vlookup("927-004000-200",B:AZ,column(z1),0)*e103</f>
        <v>0</v>
      </c>
      <c r="AB103">
        <f>vlookup("927-004000-200",B:AZ,column(aa1),0)*e103</f>
        <v>0</v>
      </c>
      <c r="AC103">
        <f>vlookup("927-004000-200",B:AZ,column(ab1),0)*e103</f>
        <v>0</v>
      </c>
      <c r="AD103">
        <f>vlookup("927-004000-200",B:AZ,column(ac1),0)*e103</f>
        <v>0</v>
      </c>
      <c r="AE103">
        <f>vlookup("927-004000-200",B:AZ,column(ad1),0)*e103</f>
        <v>0</v>
      </c>
      <c r="AF103">
        <f>vlookup("927-004000-200",B:AZ,column(ae1),0)*e103</f>
        <v>0</v>
      </c>
      <c r="AG103">
        <f>vlookup("927-004000-200",B:AZ,column(af1),0)*e103</f>
        <v>0</v>
      </c>
      <c r="AH103">
        <f>vlookup("927-004000-200",B:AZ,column(ag1),0)*e103</f>
        <v>0</v>
      </c>
      <c r="AI103">
        <f>vlookup("927-004000-200",B:AZ,column(ah1),0)*e103</f>
        <v>0</v>
      </c>
      <c r="AJ103">
        <f>vlookup("927-004000-200",B:AZ,column(ai1),0)*e103</f>
        <v>0</v>
      </c>
      <c r="AK103">
        <f>vlookup("927-004000-200",B:AZ,column(aj1),0)*e103</f>
        <v>0</v>
      </c>
      <c r="AL103">
        <f>vlookup("927-004000-200",B:AZ,column(ak1),0)*e103</f>
        <v>0</v>
      </c>
      <c r="AM103">
        <f>vlookup("927-004000-200",B:AZ,column(al1),0)*e103</f>
        <v>0</v>
      </c>
      <c r="AN103">
        <f>vlookup("927-004000-200",B:AZ,column(am1),0)*e103</f>
        <v>0</v>
      </c>
      <c r="AO103">
        <f>vlookup("927-004000-200",B:AZ,column(an1),0)*e103</f>
        <v>0</v>
      </c>
    </row>
    <row r="104" spans="1:41">
      <c r="A104" t="s">
        <v>22</v>
      </c>
      <c r="B104" t="s">
        <v>136</v>
      </c>
      <c r="C104" t="s">
        <v>137</v>
      </c>
      <c r="E104">
        <v>1</v>
      </c>
      <c r="F104" t="s">
        <v>13</v>
      </c>
      <c r="I104" t="s">
        <v>15</v>
      </c>
      <c r="J104">
        <f>vlookup("927-004000-200",B:AZ,column(i1),0)*e104</f>
        <v>0</v>
      </c>
      <c r="K104">
        <f>vlookup("927-004000-200",B:AZ,column(j1),0)*e104</f>
        <v>0</v>
      </c>
      <c r="L104">
        <f>vlookup("927-004000-200",B:AZ,column(k1),0)*e104</f>
        <v>0</v>
      </c>
      <c r="M104">
        <f>vlookup("927-004000-200",B:AZ,column(l1),0)*e104</f>
        <v>0</v>
      </c>
      <c r="N104">
        <f>vlookup("927-004000-200",B:AZ,column(m1),0)*e104</f>
        <v>0</v>
      </c>
      <c r="O104">
        <f>vlookup("927-004000-200",B:AZ,column(n1),0)*e104</f>
        <v>0</v>
      </c>
      <c r="P104">
        <f>vlookup("927-004000-200",B:AZ,column(o1),0)*e104</f>
        <v>0</v>
      </c>
      <c r="Q104">
        <f>vlookup("927-004000-200",B:AZ,column(p1),0)*e104</f>
        <v>0</v>
      </c>
      <c r="R104">
        <f>vlookup("927-004000-200",B:AZ,column(q1),0)*e104</f>
        <v>0</v>
      </c>
      <c r="S104">
        <f>vlookup("927-004000-200",B:AZ,column(r1),0)*e104</f>
        <v>0</v>
      </c>
      <c r="T104">
        <f>vlookup("927-004000-200",B:AZ,column(s1),0)*e104</f>
        <v>0</v>
      </c>
      <c r="U104">
        <f>vlookup("927-004000-200",B:AZ,column(t1),0)*e104</f>
        <v>0</v>
      </c>
      <c r="V104">
        <f>vlookup("927-004000-200",B:AZ,column(u1),0)*e104</f>
        <v>0</v>
      </c>
      <c r="W104">
        <f>vlookup("927-004000-200",B:AZ,column(v1),0)*e104</f>
        <v>0</v>
      </c>
      <c r="X104">
        <f>vlookup("927-004000-200",B:AZ,column(w1),0)*e104</f>
        <v>0</v>
      </c>
      <c r="Y104">
        <f>vlookup("927-004000-200",B:AZ,column(x1),0)*e104</f>
        <v>0</v>
      </c>
      <c r="Z104">
        <f>vlookup("927-004000-200",B:AZ,column(y1),0)*e104</f>
        <v>0</v>
      </c>
      <c r="AA104">
        <f>vlookup("927-004000-200",B:AZ,column(z1),0)*e104</f>
        <v>0</v>
      </c>
      <c r="AB104">
        <f>vlookup("927-004000-200",B:AZ,column(aa1),0)*e104</f>
        <v>0</v>
      </c>
      <c r="AC104">
        <f>vlookup("927-004000-200",B:AZ,column(ab1),0)*e104</f>
        <v>0</v>
      </c>
      <c r="AD104">
        <f>vlookup("927-004000-200",B:AZ,column(ac1),0)*e104</f>
        <v>0</v>
      </c>
      <c r="AE104">
        <f>vlookup("927-004000-200",B:AZ,column(ad1),0)*e104</f>
        <v>0</v>
      </c>
      <c r="AF104">
        <f>vlookup("927-004000-200",B:AZ,column(ae1),0)*e104</f>
        <v>0</v>
      </c>
      <c r="AG104">
        <f>vlookup("927-004000-200",B:AZ,column(af1),0)*e104</f>
        <v>0</v>
      </c>
      <c r="AH104">
        <f>vlookup("927-004000-200",B:AZ,column(ag1),0)*e104</f>
        <v>0</v>
      </c>
      <c r="AI104">
        <f>vlookup("927-004000-200",B:AZ,column(ah1),0)*e104</f>
        <v>0</v>
      </c>
      <c r="AJ104">
        <f>vlookup("927-004000-200",B:AZ,column(ai1),0)*e104</f>
        <v>0</v>
      </c>
      <c r="AK104">
        <f>vlookup("927-004000-200",B:AZ,column(aj1),0)*e104</f>
        <v>0</v>
      </c>
      <c r="AL104">
        <f>vlookup("927-004000-200",B:AZ,column(ak1),0)*e104</f>
        <v>0</v>
      </c>
      <c r="AM104">
        <f>vlookup("927-004000-200",B:AZ,column(al1),0)*e104</f>
        <v>0</v>
      </c>
      <c r="AN104">
        <f>vlookup("927-004000-200",B:AZ,column(am1),0)*e104</f>
        <v>0</v>
      </c>
      <c r="AO104">
        <f>vlookup("927-004000-200",B:AZ,column(an1),0)*e104</f>
        <v>0</v>
      </c>
    </row>
    <row r="105" spans="1:41">
      <c r="A105" t="s">
        <v>78</v>
      </c>
      <c r="B105" t="s">
        <v>138</v>
      </c>
      <c r="C105" t="s">
        <v>139</v>
      </c>
      <c r="E105">
        <v>0.1667</v>
      </c>
      <c r="F105" t="s">
        <v>13</v>
      </c>
      <c r="I105" t="s">
        <v>15</v>
      </c>
      <c r="J105">
        <f>vlookup("927-004000-200",B:AZ,column(i1),0)*e105</f>
        <v>0</v>
      </c>
      <c r="K105">
        <f>vlookup("927-004000-200",B:AZ,column(j1),0)*e105</f>
        <v>0</v>
      </c>
      <c r="L105">
        <f>vlookup("927-004000-200",B:AZ,column(k1),0)*e105</f>
        <v>0</v>
      </c>
      <c r="M105">
        <f>vlookup("927-004000-200",B:AZ,column(l1),0)*e105</f>
        <v>0</v>
      </c>
      <c r="N105">
        <f>vlookup("927-004000-200",B:AZ,column(m1),0)*e105</f>
        <v>0</v>
      </c>
      <c r="O105">
        <f>vlookup("927-004000-200",B:AZ,column(n1),0)*e105</f>
        <v>0</v>
      </c>
      <c r="P105">
        <f>vlookup("927-004000-200",B:AZ,column(o1),0)*e105</f>
        <v>0</v>
      </c>
      <c r="Q105">
        <f>vlookup("927-004000-200",B:AZ,column(p1),0)*e105</f>
        <v>0</v>
      </c>
      <c r="R105">
        <f>vlookup("927-004000-200",B:AZ,column(q1),0)*e105</f>
        <v>0</v>
      </c>
      <c r="S105">
        <f>vlookup("927-004000-200",B:AZ,column(r1),0)*e105</f>
        <v>0</v>
      </c>
      <c r="T105">
        <f>vlookup("927-004000-200",B:AZ,column(s1),0)*e105</f>
        <v>0</v>
      </c>
      <c r="U105">
        <f>vlookup("927-004000-200",B:AZ,column(t1),0)*e105</f>
        <v>0</v>
      </c>
      <c r="V105">
        <f>vlookup("927-004000-200",B:AZ,column(u1),0)*e105</f>
        <v>0</v>
      </c>
      <c r="W105">
        <f>vlookup("927-004000-200",B:AZ,column(v1),0)*e105</f>
        <v>0</v>
      </c>
      <c r="X105">
        <f>vlookup("927-004000-200",B:AZ,column(w1),0)*e105</f>
        <v>0</v>
      </c>
      <c r="Y105">
        <f>vlookup("927-004000-200",B:AZ,column(x1),0)*e105</f>
        <v>0</v>
      </c>
      <c r="Z105">
        <f>vlookup("927-004000-200",B:AZ,column(y1),0)*e105</f>
        <v>0</v>
      </c>
      <c r="AA105">
        <f>vlookup("927-004000-200",B:AZ,column(z1),0)*e105</f>
        <v>0</v>
      </c>
      <c r="AB105">
        <f>vlookup("927-004000-200",B:AZ,column(aa1),0)*e105</f>
        <v>0</v>
      </c>
      <c r="AC105">
        <f>vlookup("927-004000-200",B:AZ,column(ab1),0)*e105</f>
        <v>0</v>
      </c>
      <c r="AD105">
        <f>vlookup("927-004000-200",B:AZ,column(ac1),0)*e105</f>
        <v>0</v>
      </c>
      <c r="AE105">
        <f>vlookup("927-004000-200",B:AZ,column(ad1),0)*e105</f>
        <v>0</v>
      </c>
      <c r="AF105">
        <f>vlookup("927-004000-200",B:AZ,column(ae1),0)*e105</f>
        <v>0</v>
      </c>
      <c r="AG105">
        <f>vlookup("927-004000-200",B:AZ,column(af1),0)*e105</f>
        <v>0</v>
      </c>
      <c r="AH105">
        <f>vlookup("927-004000-200",B:AZ,column(ag1),0)*e105</f>
        <v>0</v>
      </c>
      <c r="AI105">
        <f>vlookup("927-004000-200",B:AZ,column(ah1),0)*e105</f>
        <v>0</v>
      </c>
      <c r="AJ105">
        <f>vlookup("927-004000-200",B:AZ,column(ai1),0)*e105</f>
        <v>0</v>
      </c>
      <c r="AK105">
        <f>vlookup("927-004000-200",B:AZ,column(aj1),0)*e105</f>
        <v>0</v>
      </c>
      <c r="AL105">
        <f>vlookup("927-004000-200",B:AZ,column(ak1),0)*e105</f>
        <v>0</v>
      </c>
      <c r="AM105">
        <f>vlookup("927-004000-200",B:AZ,column(al1),0)*e105</f>
        <v>0</v>
      </c>
      <c r="AN105">
        <f>vlookup("927-004000-200",B:AZ,column(am1),0)*e105</f>
        <v>0</v>
      </c>
      <c r="AO105">
        <f>vlookup("927-004000-200",B:AZ,column(an1),0)*e105</f>
        <v>0</v>
      </c>
    </row>
    <row r="106" spans="1:41">
      <c r="A106" t="s">
        <v>10</v>
      </c>
      <c r="B106" t="s">
        <v>140</v>
      </c>
      <c r="C106" t="s">
        <v>141</v>
      </c>
      <c r="E106">
        <v>1</v>
      </c>
      <c r="F106" t="s">
        <v>13</v>
      </c>
      <c r="I106" t="s">
        <v>14</v>
      </c>
      <c r="AO106">
        <f>sum(j106:an106)</f>
        <v>0</v>
      </c>
    </row>
    <row r="107" spans="1:41">
      <c r="I107" t="s">
        <v>15</v>
      </c>
      <c r="J107">
        <f>vlookup("927-004000-100",Out!B:AZ,column(i1),0)</f>
        <v>0</v>
      </c>
      <c r="K107">
        <f>vlookup("927-004000-100",Out!B:AZ,column(j1),0)</f>
        <v>0</v>
      </c>
      <c r="L107">
        <f>vlookup("927-004000-100",Out!B:AZ,column(k1),0)</f>
        <v>0</v>
      </c>
      <c r="M107">
        <f>vlookup("927-004000-100",Out!B:AZ,column(l1),0)</f>
        <v>0</v>
      </c>
      <c r="N107">
        <f>vlookup("927-004000-100",Out!B:AZ,column(m1),0)</f>
        <v>0</v>
      </c>
      <c r="O107">
        <f>vlookup("927-004000-100",Out!B:AZ,column(n1),0)</f>
        <v>0</v>
      </c>
      <c r="P107">
        <f>vlookup("927-004000-100",Out!B:AZ,column(o1),0)</f>
        <v>0</v>
      </c>
      <c r="Q107">
        <f>vlookup("927-004000-100",Out!B:AZ,column(p1),0)</f>
        <v>0</v>
      </c>
      <c r="R107">
        <f>vlookup("927-004000-100",Out!B:AZ,column(q1),0)</f>
        <v>0</v>
      </c>
      <c r="S107">
        <f>vlookup("927-004000-100",Out!B:AZ,column(r1),0)</f>
        <v>0</v>
      </c>
      <c r="T107">
        <f>vlookup("927-004000-100",Out!B:AZ,column(s1),0)</f>
        <v>0</v>
      </c>
      <c r="U107">
        <f>vlookup("927-004000-100",Out!B:AZ,column(t1),0)</f>
        <v>0</v>
      </c>
      <c r="V107">
        <f>vlookup("927-004000-100",Out!B:AZ,column(u1),0)</f>
        <v>0</v>
      </c>
      <c r="W107">
        <f>vlookup("927-004000-100",Out!B:AZ,column(v1),0)</f>
        <v>0</v>
      </c>
      <c r="X107">
        <f>vlookup("927-004000-100",Out!B:AZ,column(w1),0)</f>
        <v>0</v>
      </c>
      <c r="Y107">
        <f>vlookup("927-004000-100",Out!B:AZ,column(x1),0)</f>
        <v>0</v>
      </c>
      <c r="Z107">
        <f>vlookup("927-004000-100",Out!B:AZ,column(y1),0)</f>
        <v>0</v>
      </c>
      <c r="AA107">
        <f>vlookup("927-004000-100",Out!B:AZ,column(z1),0)</f>
        <v>0</v>
      </c>
      <c r="AB107">
        <f>vlookup("927-004000-100",Out!B:AZ,column(aa1),0)</f>
        <v>0</v>
      </c>
      <c r="AC107">
        <f>vlookup("927-004000-100",Out!B:AZ,column(ab1),0)</f>
        <v>0</v>
      </c>
      <c r="AD107">
        <f>vlookup("927-004000-100",Out!B:AZ,column(ac1),0)</f>
        <v>0</v>
      </c>
      <c r="AE107">
        <f>vlookup("927-004000-100",Out!B:AZ,column(ad1),0)</f>
        <v>0</v>
      </c>
      <c r="AF107">
        <f>vlookup("927-004000-100",Out!B:AZ,column(ae1),0)</f>
        <v>0</v>
      </c>
      <c r="AG107">
        <f>vlookup("927-004000-100",Out!B:AZ,column(af1),0)</f>
        <v>0</v>
      </c>
      <c r="AH107">
        <f>vlookup("927-004000-100",Out!B:AZ,column(ag1),0)</f>
        <v>0</v>
      </c>
      <c r="AI107">
        <f>vlookup("927-004000-100",Out!B:AZ,column(ah1),0)</f>
        <v>0</v>
      </c>
      <c r="AJ107">
        <f>vlookup("927-004000-100",Out!B:AZ,column(ai1),0)</f>
        <v>0</v>
      </c>
      <c r="AK107">
        <f>vlookup("927-004000-100",Out!B:AZ,column(aj1),0)</f>
        <v>0</v>
      </c>
      <c r="AL107">
        <f>vlookup("927-004000-100",Out!B:AZ,column(ak1),0)</f>
        <v>0</v>
      </c>
      <c r="AM107">
        <f>vlookup("927-004000-100",Out!B:AZ,column(al1),0)</f>
        <v>0</v>
      </c>
      <c r="AN107">
        <f>vlookup("927-004000-100",Out!B:AZ,column(am1),0)</f>
        <v>0</v>
      </c>
      <c r="AO107">
        <f>vlookup("927-004000-100",Out!B:AZ,column(an1),0)</f>
        <v>0</v>
      </c>
    </row>
    <row r="108" spans="1:41">
      <c r="H108" t="s">
        <v>16</v>
      </c>
      <c r="J108">
        <f>indirect(address(108,9))+indirect(address(106,10))-indirect(address(107,10))</f>
        <v>0</v>
      </c>
      <c r="K108">
        <f>indirect(address(108,10))+indirect(address(106,11))-indirect(address(107,11))</f>
        <v>0</v>
      </c>
      <c r="L108">
        <f>indirect(address(108,11))+indirect(address(106,12))-indirect(address(107,12))</f>
        <v>0</v>
      </c>
      <c r="M108">
        <f>indirect(address(108,12))+indirect(address(106,13))-indirect(address(107,13))</f>
        <v>0</v>
      </c>
      <c r="N108">
        <f>indirect(address(108,13))+indirect(address(106,14))-indirect(address(107,14))</f>
        <v>0</v>
      </c>
      <c r="O108">
        <f>indirect(address(108,14))+indirect(address(106,15))-indirect(address(107,15))</f>
        <v>0</v>
      </c>
      <c r="P108">
        <f>indirect(address(108,15))+indirect(address(106,16))-indirect(address(107,16))</f>
        <v>0</v>
      </c>
      <c r="Q108">
        <f>indirect(address(108,16))+indirect(address(106,17))-indirect(address(107,17))</f>
        <v>0</v>
      </c>
      <c r="R108">
        <f>indirect(address(108,17))+indirect(address(106,18))-indirect(address(107,18))</f>
        <v>0</v>
      </c>
      <c r="S108">
        <f>indirect(address(108,18))+indirect(address(106,19))-indirect(address(107,19))</f>
        <v>0</v>
      </c>
      <c r="T108">
        <f>indirect(address(108,19))+indirect(address(106,20))-indirect(address(107,20))</f>
        <v>0</v>
      </c>
      <c r="U108">
        <f>indirect(address(108,20))+indirect(address(106,21))-indirect(address(107,21))</f>
        <v>0</v>
      </c>
      <c r="V108">
        <f>indirect(address(108,21))+indirect(address(106,22))-indirect(address(107,22))</f>
        <v>0</v>
      </c>
      <c r="W108">
        <f>indirect(address(108,22))+indirect(address(106,23))-indirect(address(107,23))</f>
        <v>0</v>
      </c>
      <c r="X108">
        <f>indirect(address(108,23))+indirect(address(106,24))-indirect(address(107,24))</f>
        <v>0</v>
      </c>
      <c r="Y108">
        <f>indirect(address(108,24))+indirect(address(106,25))-indirect(address(107,25))</f>
        <v>0</v>
      </c>
      <c r="Z108">
        <f>indirect(address(108,25))+indirect(address(106,26))-indirect(address(107,26))</f>
        <v>0</v>
      </c>
      <c r="AA108">
        <f>indirect(address(108,26))+indirect(address(106,27))-indirect(address(107,27))</f>
        <v>0</v>
      </c>
      <c r="AB108">
        <f>indirect(address(108,27))+indirect(address(106,28))-indirect(address(107,28))</f>
        <v>0</v>
      </c>
      <c r="AC108">
        <f>indirect(address(108,28))+indirect(address(106,29))-indirect(address(107,29))</f>
        <v>0</v>
      </c>
      <c r="AD108">
        <f>indirect(address(108,29))+indirect(address(106,30))-indirect(address(107,30))</f>
        <v>0</v>
      </c>
      <c r="AE108">
        <f>indirect(address(108,30))+indirect(address(106,31))-indirect(address(107,31))</f>
        <v>0</v>
      </c>
      <c r="AF108">
        <f>indirect(address(108,31))+indirect(address(106,32))-indirect(address(107,32))</f>
        <v>0</v>
      </c>
      <c r="AG108">
        <f>indirect(address(108,32))+indirect(address(106,33))-indirect(address(107,33))</f>
        <v>0</v>
      </c>
      <c r="AH108">
        <f>indirect(address(108,33))+indirect(address(106,34))-indirect(address(107,34))</f>
        <v>0</v>
      </c>
      <c r="AI108">
        <f>indirect(address(108,34))+indirect(address(106,35))-indirect(address(107,35))</f>
        <v>0</v>
      </c>
      <c r="AJ108">
        <f>indirect(address(108,35))+indirect(address(106,36))-indirect(address(107,36))</f>
        <v>0</v>
      </c>
      <c r="AK108">
        <f>indirect(address(108,36))+indirect(address(106,37))-indirect(address(107,37))</f>
        <v>0</v>
      </c>
      <c r="AL108">
        <f>indirect(address(108,37))+indirect(address(106,38))-indirect(address(107,38))</f>
        <v>0</v>
      </c>
      <c r="AM108">
        <f>indirect(address(108,38))+indirect(address(106,39))-indirect(address(107,39))</f>
        <v>0</v>
      </c>
      <c r="AN108">
        <f>indirect(address(108,39))+indirect(address(106,40))-indirect(address(107,40))</f>
        <v>0</v>
      </c>
      <c r="AO108">
        <f>indirect(address(108,40))</f>
        <v>0</v>
      </c>
    </row>
    <row r="109" spans="1:41">
      <c r="A109" t="s">
        <v>17</v>
      </c>
      <c r="B109" t="s">
        <v>142</v>
      </c>
      <c r="C109" t="s">
        <v>143</v>
      </c>
      <c r="E109">
        <v>1</v>
      </c>
      <c r="F109" t="s">
        <v>13</v>
      </c>
      <c r="I109" t="s">
        <v>15</v>
      </c>
      <c r="J109">
        <f>vlookup("927-004000-100",B:AZ,column(i1),0)*e109</f>
        <v>0</v>
      </c>
      <c r="K109">
        <f>vlookup("927-004000-100",B:AZ,column(j1),0)*e109</f>
        <v>0</v>
      </c>
      <c r="L109">
        <f>vlookup("927-004000-100",B:AZ,column(k1),0)*e109</f>
        <v>0</v>
      </c>
      <c r="M109">
        <f>vlookup("927-004000-100",B:AZ,column(l1),0)*e109</f>
        <v>0</v>
      </c>
      <c r="N109">
        <f>vlookup("927-004000-100",B:AZ,column(m1),0)*e109</f>
        <v>0</v>
      </c>
      <c r="O109">
        <f>vlookup("927-004000-100",B:AZ,column(n1),0)*e109</f>
        <v>0</v>
      </c>
      <c r="P109">
        <f>vlookup("927-004000-100",B:AZ,column(o1),0)*e109</f>
        <v>0</v>
      </c>
      <c r="Q109">
        <f>vlookup("927-004000-100",B:AZ,column(p1),0)*e109</f>
        <v>0</v>
      </c>
      <c r="R109">
        <f>vlookup("927-004000-100",B:AZ,column(q1),0)*e109</f>
        <v>0</v>
      </c>
      <c r="S109">
        <f>vlookup("927-004000-100",B:AZ,column(r1),0)*e109</f>
        <v>0</v>
      </c>
      <c r="T109">
        <f>vlookup("927-004000-100",B:AZ,column(s1),0)*e109</f>
        <v>0</v>
      </c>
      <c r="U109">
        <f>vlookup("927-004000-100",B:AZ,column(t1),0)*e109</f>
        <v>0</v>
      </c>
      <c r="V109">
        <f>vlookup("927-004000-100",B:AZ,column(u1),0)*e109</f>
        <v>0</v>
      </c>
      <c r="W109">
        <f>vlookup("927-004000-100",B:AZ,column(v1),0)*e109</f>
        <v>0</v>
      </c>
      <c r="X109">
        <f>vlookup("927-004000-100",B:AZ,column(w1),0)*e109</f>
        <v>0</v>
      </c>
      <c r="Y109">
        <f>vlookup("927-004000-100",B:AZ,column(x1),0)*e109</f>
        <v>0</v>
      </c>
      <c r="Z109">
        <f>vlookup("927-004000-100",B:AZ,column(y1),0)*e109</f>
        <v>0</v>
      </c>
      <c r="AA109">
        <f>vlookup("927-004000-100",B:AZ,column(z1),0)*e109</f>
        <v>0</v>
      </c>
      <c r="AB109">
        <f>vlookup("927-004000-100",B:AZ,column(aa1),0)*e109</f>
        <v>0</v>
      </c>
      <c r="AC109">
        <f>vlookup("927-004000-100",B:AZ,column(ab1),0)*e109</f>
        <v>0</v>
      </c>
      <c r="AD109">
        <f>vlookup("927-004000-100",B:AZ,column(ac1),0)*e109</f>
        <v>0</v>
      </c>
      <c r="AE109">
        <f>vlookup("927-004000-100",B:AZ,column(ad1),0)*e109</f>
        <v>0</v>
      </c>
      <c r="AF109">
        <f>vlookup("927-004000-100",B:AZ,column(ae1),0)*e109</f>
        <v>0</v>
      </c>
      <c r="AG109">
        <f>vlookup("927-004000-100",B:AZ,column(af1),0)*e109</f>
        <v>0</v>
      </c>
      <c r="AH109">
        <f>vlookup("927-004000-100",B:AZ,column(ag1),0)*e109</f>
        <v>0</v>
      </c>
      <c r="AI109">
        <f>vlookup("927-004000-100",B:AZ,column(ah1),0)*e109</f>
        <v>0</v>
      </c>
      <c r="AJ109">
        <f>vlookup("927-004000-100",B:AZ,column(ai1),0)*e109</f>
        <v>0</v>
      </c>
      <c r="AK109">
        <f>vlookup("927-004000-100",B:AZ,column(aj1),0)*e109</f>
        <v>0</v>
      </c>
      <c r="AL109">
        <f>vlookup("927-004000-100",B:AZ,column(ak1),0)*e109</f>
        <v>0</v>
      </c>
      <c r="AM109">
        <f>vlookup("927-004000-100",B:AZ,column(al1),0)*e109</f>
        <v>0</v>
      </c>
      <c r="AN109">
        <f>vlookup("927-004000-100",B:AZ,column(am1),0)*e109</f>
        <v>0</v>
      </c>
      <c r="AO109">
        <f>vlookup("927-004000-100",B:AZ,column(an1),0)*e109</f>
        <v>0</v>
      </c>
    </row>
    <row r="110" spans="1:41">
      <c r="A110" t="s">
        <v>17</v>
      </c>
      <c r="B110" t="s">
        <v>134</v>
      </c>
      <c r="C110" t="s">
        <v>144</v>
      </c>
      <c r="E110">
        <v>1</v>
      </c>
      <c r="F110" t="s">
        <v>13</v>
      </c>
      <c r="I110" t="s">
        <v>15</v>
      </c>
      <c r="J110">
        <f>vlookup("927-004000-100",B:AZ,column(i1),0)*e110</f>
        <v>0</v>
      </c>
      <c r="K110">
        <f>vlookup("927-004000-100",B:AZ,column(j1),0)*e110</f>
        <v>0</v>
      </c>
      <c r="L110">
        <f>vlookup("927-004000-100",B:AZ,column(k1),0)*e110</f>
        <v>0</v>
      </c>
      <c r="M110">
        <f>vlookup("927-004000-100",B:AZ,column(l1),0)*e110</f>
        <v>0</v>
      </c>
      <c r="N110">
        <f>vlookup("927-004000-100",B:AZ,column(m1),0)*e110</f>
        <v>0</v>
      </c>
      <c r="O110">
        <f>vlookup("927-004000-100",B:AZ,column(n1),0)*e110</f>
        <v>0</v>
      </c>
      <c r="P110">
        <f>vlookup("927-004000-100",B:AZ,column(o1),0)*e110</f>
        <v>0</v>
      </c>
      <c r="Q110">
        <f>vlookup("927-004000-100",B:AZ,column(p1),0)*e110</f>
        <v>0</v>
      </c>
      <c r="R110">
        <f>vlookup("927-004000-100",B:AZ,column(q1),0)*e110</f>
        <v>0</v>
      </c>
      <c r="S110">
        <f>vlookup("927-004000-100",B:AZ,column(r1),0)*e110</f>
        <v>0</v>
      </c>
      <c r="T110">
        <f>vlookup("927-004000-100",B:AZ,column(s1),0)*e110</f>
        <v>0</v>
      </c>
      <c r="U110">
        <f>vlookup("927-004000-100",B:AZ,column(t1),0)*e110</f>
        <v>0</v>
      </c>
      <c r="V110">
        <f>vlookup("927-004000-100",B:AZ,column(u1),0)*e110</f>
        <v>0</v>
      </c>
      <c r="W110">
        <f>vlookup("927-004000-100",B:AZ,column(v1),0)*e110</f>
        <v>0</v>
      </c>
      <c r="X110">
        <f>vlookup("927-004000-100",B:AZ,column(w1),0)*e110</f>
        <v>0</v>
      </c>
      <c r="Y110">
        <f>vlookup("927-004000-100",B:AZ,column(x1),0)*e110</f>
        <v>0</v>
      </c>
      <c r="Z110">
        <f>vlookup("927-004000-100",B:AZ,column(y1),0)*e110</f>
        <v>0</v>
      </c>
      <c r="AA110">
        <f>vlookup("927-004000-100",B:AZ,column(z1),0)*e110</f>
        <v>0</v>
      </c>
      <c r="AB110">
        <f>vlookup("927-004000-100",B:AZ,column(aa1),0)*e110</f>
        <v>0</v>
      </c>
      <c r="AC110">
        <f>vlookup("927-004000-100",B:AZ,column(ab1),0)*e110</f>
        <v>0</v>
      </c>
      <c r="AD110">
        <f>vlookup("927-004000-100",B:AZ,column(ac1),0)*e110</f>
        <v>0</v>
      </c>
      <c r="AE110">
        <f>vlookup("927-004000-100",B:AZ,column(ad1),0)*e110</f>
        <v>0</v>
      </c>
      <c r="AF110">
        <f>vlookup("927-004000-100",B:AZ,column(ae1),0)*e110</f>
        <v>0</v>
      </c>
      <c r="AG110">
        <f>vlookup("927-004000-100",B:AZ,column(af1),0)*e110</f>
        <v>0</v>
      </c>
      <c r="AH110">
        <f>vlookup("927-004000-100",B:AZ,column(ag1),0)*e110</f>
        <v>0</v>
      </c>
      <c r="AI110">
        <f>vlookup("927-004000-100",B:AZ,column(ah1),0)*e110</f>
        <v>0</v>
      </c>
      <c r="AJ110">
        <f>vlookup("927-004000-100",B:AZ,column(ai1),0)*e110</f>
        <v>0</v>
      </c>
      <c r="AK110">
        <f>vlookup("927-004000-100",B:AZ,column(aj1),0)*e110</f>
        <v>0</v>
      </c>
      <c r="AL110">
        <f>vlookup("927-004000-100",B:AZ,column(ak1),0)*e110</f>
        <v>0</v>
      </c>
      <c r="AM110">
        <f>vlookup("927-004000-100",B:AZ,column(al1),0)*e110</f>
        <v>0</v>
      </c>
      <c r="AN110">
        <f>vlookup("927-004000-100",B:AZ,column(am1),0)*e110</f>
        <v>0</v>
      </c>
      <c r="AO110">
        <f>vlookup("927-004000-100",B:AZ,column(an1),0)*e110</f>
        <v>0</v>
      </c>
    </row>
    <row r="111" spans="1:41">
      <c r="A111" t="s">
        <v>17</v>
      </c>
      <c r="B111" t="s">
        <v>145</v>
      </c>
      <c r="C111" t="s">
        <v>146</v>
      </c>
      <c r="E111">
        <v>1</v>
      </c>
      <c r="F111" t="s">
        <v>13</v>
      </c>
      <c r="I111" t="s">
        <v>15</v>
      </c>
      <c r="J111">
        <f>vlookup("927-004000-100",B:AZ,column(i1),0)*e111</f>
        <v>0</v>
      </c>
      <c r="K111">
        <f>vlookup("927-004000-100",B:AZ,column(j1),0)*e111</f>
        <v>0</v>
      </c>
      <c r="L111">
        <f>vlookup("927-004000-100",B:AZ,column(k1),0)*e111</f>
        <v>0</v>
      </c>
      <c r="M111">
        <f>vlookup("927-004000-100",B:AZ,column(l1),0)*e111</f>
        <v>0</v>
      </c>
      <c r="N111">
        <f>vlookup("927-004000-100",B:AZ,column(m1),0)*e111</f>
        <v>0</v>
      </c>
      <c r="O111">
        <f>vlookup("927-004000-100",B:AZ,column(n1),0)*e111</f>
        <v>0</v>
      </c>
      <c r="P111">
        <f>vlookup("927-004000-100",B:AZ,column(o1),0)*e111</f>
        <v>0</v>
      </c>
      <c r="Q111">
        <f>vlookup("927-004000-100",B:AZ,column(p1),0)*e111</f>
        <v>0</v>
      </c>
      <c r="R111">
        <f>vlookup("927-004000-100",B:AZ,column(q1),0)*e111</f>
        <v>0</v>
      </c>
      <c r="S111">
        <f>vlookup("927-004000-100",B:AZ,column(r1),0)*e111</f>
        <v>0</v>
      </c>
      <c r="T111">
        <f>vlookup("927-004000-100",B:AZ,column(s1),0)*e111</f>
        <v>0</v>
      </c>
      <c r="U111">
        <f>vlookup("927-004000-100",B:AZ,column(t1),0)*e111</f>
        <v>0</v>
      </c>
      <c r="V111">
        <f>vlookup("927-004000-100",B:AZ,column(u1),0)*e111</f>
        <v>0</v>
      </c>
      <c r="W111">
        <f>vlookup("927-004000-100",B:AZ,column(v1),0)*e111</f>
        <v>0</v>
      </c>
      <c r="X111">
        <f>vlookup("927-004000-100",B:AZ,column(w1),0)*e111</f>
        <v>0</v>
      </c>
      <c r="Y111">
        <f>vlookup("927-004000-100",B:AZ,column(x1),0)*e111</f>
        <v>0</v>
      </c>
      <c r="Z111">
        <f>vlookup("927-004000-100",B:AZ,column(y1),0)*e111</f>
        <v>0</v>
      </c>
      <c r="AA111">
        <f>vlookup("927-004000-100",B:AZ,column(z1),0)*e111</f>
        <v>0</v>
      </c>
      <c r="AB111">
        <f>vlookup("927-004000-100",B:AZ,column(aa1),0)*e111</f>
        <v>0</v>
      </c>
      <c r="AC111">
        <f>vlookup("927-004000-100",B:AZ,column(ab1),0)*e111</f>
        <v>0</v>
      </c>
      <c r="AD111">
        <f>vlookup("927-004000-100",B:AZ,column(ac1),0)*e111</f>
        <v>0</v>
      </c>
      <c r="AE111">
        <f>vlookup("927-004000-100",B:AZ,column(ad1),0)*e111</f>
        <v>0</v>
      </c>
      <c r="AF111">
        <f>vlookup("927-004000-100",B:AZ,column(ae1),0)*e111</f>
        <v>0</v>
      </c>
      <c r="AG111">
        <f>vlookup("927-004000-100",B:AZ,column(af1),0)*e111</f>
        <v>0</v>
      </c>
      <c r="AH111">
        <f>vlookup("927-004000-100",B:AZ,column(ag1),0)*e111</f>
        <v>0</v>
      </c>
      <c r="AI111">
        <f>vlookup("927-004000-100",B:AZ,column(ah1),0)*e111</f>
        <v>0</v>
      </c>
      <c r="AJ111">
        <f>vlookup("927-004000-100",B:AZ,column(ai1),0)*e111</f>
        <v>0</v>
      </c>
      <c r="AK111">
        <f>vlookup("927-004000-100",B:AZ,column(aj1),0)*e111</f>
        <v>0</v>
      </c>
      <c r="AL111">
        <f>vlookup("927-004000-100",B:AZ,column(ak1),0)*e111</f>
        <v>0</v>
      </c>
      <c r="AM111">
        <f>vlookup("927-004000-100",B:AZ,column(al1),0)*e111</f>
        <v>0</v>
      </c>
      <c r="AN111">
        <f>vlookup("927-004000-100",B:AZ,column(am1),0)*e111</f>
        <v>0</v>
      </c>
      <c r="AO111">
        <f>vlookup("927-004000-100",B:AZ,column(an1),0)*e111</f>
        <v>0</v>
      </c>
    </row>
    <row r="112" spans="1:41">
      <c r="A112" t="s">
        <v>22</v>
      </c>
      <c r="B112" t="s">
        <v>147</v>
      </c>
      <c r="C112" t="s">
        <v>148</v>
      </c>
      <c r="E112">
        <v>1</v>
      </c>
      <c r="F112" t="s">
        <v>13</v>
      </c>
      <c r="I112" t="s">
        <v>15</v>
      </c>
      <c r="J112">
        <f>vlookup("927-004000-100",B:AZ,column(i1),0)*e112</f>
        <v>0</v>
      </c>
      <c r="K112">
        <f>vlookup("927-004000-100",B:AZ,column(j1),0)*e112</f>
        <v>0</v>
      </c>
      <c r="L112">
        <f>vlookup("927-004000-100",B:AZ,column(k1),0)*e112</f>
        <v>0</v>
      </c>
      <c r="M112">
        <f>vlookup("927-004000-100",B:AZ,column(l1),0)*e112</f>
        <v>0</v>
      </c>
      <c r="N112">
        <f>vlookup("927-004000-100",B:AZ,column(m1),0)*e112</f>
        <v>0</v>
      </c>
      <c r="O112">
        <f>vlookup("927-004000-100",B:AZ,column(n1),0)*e112</f>
        <v>0</v>
      </c>
      <c r="P112">
        <f>vlookup("927-004000-100",B:AZ,column(o1),0)*e112</f>
        <v>0</v>
      </c>
      <c r="Q112">
        <f>vlookup("927-004000-100",B:AZ,column(p1),0)*e112</f>
        <v>0</v>
      </c>
      <c r="R112">
        <f>vlookup("927-004000-100",B:AZ,column(q1),0)*e112</f>
        <v>0</v>
      </c>
      <c r="S112">
        <f>vlookup("927-004000-100",B:AZ,column(r1),0)*e112</f>
        <v>0</v>
      </c>
      <c r="T112">
        <f>vlookup("927-004000-100",B:AZ,column(s1),0)*e112</f>
        <v>0</v>
      </c>
      <c r="U112">
        <f>vlookup("927-004000-100",B:AZ,column(t1),0)*e112</f>
        <v>0</v>
      </c>
      <c r="V112">
        <f>vlookup("927-004000-100",B:AZ,column(u1),0)*e112</f>
        <v>0</v>
      </c>
      <c r="W112">
        <f>vlookup("927-004000-100",B:AZ,column(v1),0)*e112</f>
        <v>0</v>
      </c>
      <c r="X112">
        <f>vlookup("927-004000-100",B:AZ,column(w1),0)*e112</f>
        <v>0</v>
      </c>
      <c r="Y112">
        <f>vlookup("927-004000-100",B:AZ,column(x1),0)*e112</f>
        <v>0</v>
      </c>
      <c r="Z112">
        <f>vlookup("927-004000-100",B:AZ,column(y1),0)*e112</f>
        <v>0</v>
      </c>
      <c r="AA112">
        <f>vlookup("927-004000-100",B:AZ,column(z1),0)*e112</f>
        <v>0</v>
      </c>
      <c r="AB112">
        <f>vlookup("927-004000-100",B:AZ,column(aa1),0)*e112</f>
        <v>0</v>
      </c>
      <c r="AC112">
        <f>vlookup("927-004000-100",B:AZ,column(ab1),0)*e112</f>
        <v>0</v>
      </c>
      <c r="AD112">
        <f>vlookup("927-004000-100",B:AZ,column(ac1),0)*e112</f>
        <v>0</v>
      </c>
      <c r="AE112">
        <f>vlookup("927-004000-100",B:AZ,column(ad1),0)*e112</f>
        <v>0</v>
      </c>
      <c r="AF112">
        <f>vlookup("927-004000-100",B:AZ,column(ae1),0)*e112</f>
        <v>0</v>
      </c>
      <c r="AG112">
        <f>vlookup("927-004000-100",B:AZ,column(af1),0)*e112</f>
        <v>0</v>
      </c>
      <c r="AH112">
        <f>vlookup("927-004000-100",B:AZ,column(ag1),0)*e112</f>
        <v>0</v>
      </c>
      <c r="AI112">
        <f>vlookup("927-004000-100",B:AZ,column(ah1),0)*e112</f>
        <v>0</v>
      </c>
      <c r="AJ112">
        <f>vlookup("927-004000-100",B:AZ,column(ai1),0)*e112</f>
        <v>0</v>
      </c>
      <c r="AK112">
        <f>vlookup("927-004000-100",B:AZ,column(aj1),0)*e112</f>
        <v>0</v>
      </c>
      <c r="AL112">
        <f>vlookup("927-004000-100",B:AZ,column(ak1),0)*e112</f>
        <v>0</v>
      </c>
      <c r="AM112">
        <f>vlookup("927-004000-100",B:AZ,column(al1),0)*e112</f>
        <v>0</v>
      </c>
      <c r="AN112">
        <f>vlookup("927-004000-100",B:AZ,column(am1),0)*e112</f>
        <v>0</v>
      </c>
      <c r="AO112">
        <f>vlookup("927-004000-100",B:AZ,column(an1),0)*e112</f>
        <v>0</v>
      </c>
    </row>
    <row r="113" spans="1:41">
      <c r="A113" t="s">
        <v>22</v>
      </c>
      <c r="B113" t="s">
        <v>136</v>
      </c>
      <c r="C113" t="s">
        <v>149</v>
      </c>
      <c r="E113">
        <v>1</v>
      </c>
      <c r="F113" t="s">
        <v>150</v>
      </c>
      <c r="I113" t="s">
        <v>15</v>
      </c>
      <c r="J113">
        <f>vlookup("927-004000-100",B:AZ,column(i1),0)*e113</f>
        <v>0</v>
      </c>
      <c r="K113">
        <f>vlookup("927-004000-100",B:AZ,column(j1),0)*e113</f>
        <v>0</v>
      </c>
      <c r="L113">
        <f>vlookup("927-004000-100",B:AZ,column(k1),0)*e113</f>
        <v>0</v>
      </c>
      <c r="M113">
        <f>vlookup("927-004000-100",B:AZ,column(l1),0)*e113</f>
        <v>0</v>
      </c>
      <c r="N113">
        <f>vlookup("927-004000-100",B:AZ,column(m1),0)*e113</f>
        <v>0</v>
      </c>
      <c r="O113">
        <f>vlookup("927-004000-100",B:AZ,column(n1),0)*e113</f>
        <v>0</v>
      </c>
      <c r="P113">
        <f>vlookup("927-004000-100",B:AZ,column(o1),0)*e113</f>
        <v>0</v>
      </c>
      <c r="Q113">
        <f>vlookup("927-004000-100",B:AZ,column(p1),0)*e113</f>
        <v>0</v>
      </c>
      <c r="R113">
        <f>vlookup("927-004000-100",B:AZ,column(q1),0)*e113</f>
        <v>0</v>
      </c>
      <c r="S113">
        <f>vlookup("927-004000-100",B:AZ,column(r1),0)*e113</f>
        <v>0</v>
      </c>
      <c r="T113">
        <f>vlookup("927-004000-100",B:AZ,column(s1),0)*e113</f>
        <v>0</v>
      </c>
      <c r="U113">
        <f>vlookup("927-004000-100",B:AZ,column(t1),0)*e113</f>
        <v>0</v>
      </c>
      <c r="V113">
        <f>vlookup("927-004000-100",B:AZ,column(u1),0)*e113</f>
        <v>0</v>
      </c>
      <c r="W113">
        <f>vlookup("927-004000-100",B:AZ,column(v1),0)*e113</f>
        <v>0</v>
      </c>
      <c r="X113">
        <f>vlookup("927-004000-100",B:AZ,column(w1),0)*e113</f>
        <v>0</v>
      </c>
      <c r="Y113">
        <f>vlookup("927-004000-100",B:AZ,column(x1),0)*e113</f>
        <v>0</v>
      </c>
      <c r="Z113">
        <f>vlookup("927-004000-100",B:AZ,column(y1),0)*e113</f>
        <v>0</v>
      </c>
      <c r="AA113">
        <f>vlookup("927-004000-100",B:AZ,column(z1),0)*e113</f>
        <v>0</v>
      </c>
      <c r="AB113">
        <f>vlookup("927-004000-100",B:AZ,column(aa1),0)*e113</f>
        <v>0</v>
      </c>
      <c r="AC113">
        <f>vlookup("927-004000-100",B:AZ,column(ab1),0)*e113</f>
        <v>0</v>
      </c>
      <c r="AD113">
        <f>vlookup("927-004000-100",B:AZ,column(ac1),0)*e113</f>
        <v>0</v>
      </c>
      <c r="AE113">
        <f>vlookup("927-004000-100",B:AZ,column(ad1),0)*e113</f>
        <v>0</v>
      </c>
      <c r="AF113">
        <f>vlookup("927-004000-100",B:AZ,column(ae1),0)*e113</f>
        <v>0</v>
      </c>
      <c r="AG113">
        <f>vlookup("927-004000-100",B:AZ,column(af1),0)*e113</f>
        <v>0</v>
      </c>
      <c r="AH113">
        <f>vlookup("927-004000-100",B:AZ,column(ag1),0)*e113</f>
        <v>0</v>
      </c>
      <c r="AI113">
        <f>vlookup("927-004000-100",B:AZ,column(ah1),0)*e113</f>
        <v>0</v>
      </c>
      <c r="AJ113">
        <f>vlookup("927-004000-100",B:AZ,column(ai1),0)*e113</f>
        <v>0</v>
      </c>
      <c r="AK113">
        <f>vlookup("927-004000-100",B:AZ,column(aj1),0)*e113</f>
        <v>0</v>
      </c>
      <c r="AL113">
        <f>vlookup("927-004000-100",B:AZ,column(ak1),0)*e113</f>
        <v>0</v>
      </c>
      <c r="AM113">
        <f>vlookup("927-004000-100",B:AZ,column(al1),0)*e113</f>
        <v>0</v>
      </c>
      <c r="AN113">
        <f>vlookup("927-004000-100",B:AZ,column(am1),0)*e113</f>
        <v>0</v>
      </c>
      <c r="AO113">
        <f>vlookup("927-004000-100",B:AZ,column(an1),0)*e113</f>
        <v>0</v>
      </c>
    </row>
    <row r="114" spans="1:41">
      <c r="A114" t="s">
        <v>22</v>
      </c>
      <c r="B114" t="s">
        <v>151</v>
      </c>
      <c r="C114" t="s">
        <v>152</v>
      </c>
      <c r="E114">
        <v>2</v>
      </c>
      <c r="F114" t="s">
        <v>13</v>
      </c>
      <c r="I114" t="s">
        <v>15</v>
      </c>
      <c r="J114">
        <f>vlookup("927-004000-100",B:AZ,column(i1),0)*e114</f>
        <v>0</v>
      </c>
      <c r="K114">
        <f>vlookup("927-004000-100",B:AZ,column(j1),0)*e114</f>
        <v>0</v>
      </c>
      <c r="L114">
        <f>vlookup("927-004000-100",B:AZ,column(k1),0)*e114</f>
        <v>0</v>
      </c>
      <c r="M114">
        <f>vlookup("927-004000-100",B:AZ,column(l1),0)*e114</f>
        <v>0</v>
      </c>
      <c r="N114">
        <f>vlookup("927-004000-100",B:AZ,column(m1),0)*e114</f>
        <v>0</v>
      </c>
      <c r="O114">
        <f>vlookup("927-004000-100",B:AZ,column(n1),0)*e114</f>
        <v>0</v>
      </c>
      <c r="P114">
        <f>vlookup("927-004000-100",B:AZ,column(o1),0)*e114</f>
        <v>0</v>
      </c>
      <c r="Q114">
        <f>vlookup("927-004000-100",B:AZ,column(p1),0)*e114</f>
        <v>0</v>
      </c>
      <c r="R114">
        <f>vlookup("927-004000-100",B:AZ,column(q1),0)*e114</f>
        <v>0</v>
      </c>
      <c r="S114">
        <f>vlookup("927-004000-100",B:AZ,column(r1),0)*e114</f>
        <v>0</v>
      </c>
      <c r="T114">
        <f>vlookup("927-004000-100",B:AZ,column(s1),0)*e114</f>
        <v>0</v>
      </c>
      <c r="U114">
        <f>vlookup("927-004000-100",B:AZ,column(t1),0)*e114</f>
        <v>0</v>
      </c>
      <c r="V114">
        <f>vlookup("927-004000-100",B:AZ,column(u1),0)*e114</f>
        <v>0</v>
      </c>
      <c r="W114">
        <f>vlookup("927-004000-100",B:AZ,column(v1),0)*e114</f>
        <v>0</v>
      </c>
      <c r="X114">
        <f>vlookup("927-004000-100",B:AZ,column(w1),0)*e114</f>
        <v>0</v>
      </c>
      <c r="Y114">
        <f>vlookup("927-004000-100",B:AZ,column(x1),0)*e114</f>
        <v>0</v>
      </c>
      <c r="Z114">
        <f>vlookup("927-004000-100",B:AZ,column(y1),0)*e114</f>
        <v>0</v>
      </c>
      <c r="AA114">
        <f>vlookup("927-004000-100",B:AZ,column(z1),0)*e114</f>
        <v>0</v>
      </c>
      <c r="AB114">
        <f>vlookup("927-004000-100",B:AZ,column(aa1),0)*e114</f>
        <v>0</v>
      </c>
      <c r="AC114">
        <f>vlookup("927-004000-100",B:AZ,column(ab1),0)*e114</f>
        <v>0</v>
      </c>
      <c r="AD114">
        <f>vlookup("927-004000-100",B:AZ,column(ac1),0)*e114</f>
        <v>0</v>
      </c>
      <c r="AE114">
        <f>vlookup("927-004000-100",B:AZ,column(ad1),0)*e114</f>
        <v>0</v>
      </c>
      <c r="AF114">
        <f>vlookup("927-004000-100",B:AZ,column(ae1),0)*e114</f>
        <v>0</v>
      </c>
      <c r="AG114">
        <f>vlookup("927-004000-100",B:AZ,column(af1),0)*e114</f>
        <v>0</v>
      </c>
      <c r="AH114">
        <f>vlookup("927-004000-100",B:AZ,column(ag1),0)*e114</f>
        <v>0</v>
      </c>
      <c r="AI114">
        <f>vlookup("927-004000-100",B:AZ,column(ah1),0)*e114</f>
        <v>0</v>
      </c>
      <c r="AJ114">
        <f>vlookup("927-004000-100",B:AZ,column(ai1),0)*e114</f>
        <v>0</v>
      </c>
      <c r="AK114">
        <f>vlookup("927-004000-100",B:AZ,column(aj1),0)*e114</f>
        <v>0</v>
      </c>
      <c r="AL114">
        <f>vlookup("927-004000-100",B:AZ,column(ak1),0)*e114</f>
        <v>0</v>
      </c>
      <c r="AM114">
        <f>vlookup("927-004000-100",B:AZ,column(al1),0)*e114</f>
        <v>0</v>
      </c>
      <c r="AN114">
        <f>vlookup("927-004000-100",B:AZ,column(am1),0)*e114</f>
        <v>0</v>
      </c>
      <c r="AO114">
        <f>vlookup("927-004000-100",B:AZ,column(an1),0)*e114</f>
        <v>0</v>
      </c>
    </row>
    <row r="115" spans="1:41">
      <c r="A115" t="s">
        <v>78</v>
      </c>
      <c r="B115" t="s">
        <v>138</v>
      </c>
      <c r="C115" t="s">
        <v>153</v>
      </c>
      <c r="E115">
        <v>0.17</v>
      </c>
      <c r="F115" t="s">
        <v>13</v>
      </c>
      <c r="I115" t="s">
        <v>15</v>
      </c>
      <c r="J115">
        <f>vlookup("927-004000-100",B:AZ,column(i1),0)*e115</f>
        <v>0</v>
      </c>
      <c r="K115">
        <f>vlookup("927-004000-100",B:AZ,column(j1),0)*e115</f>
        <v>0</v>
      </c>
      <c r="L115">
        <f>vlookup("927-004000-100",B:AZ,column(k1),0)*e115</f>
        <v>0</v>
      </c>
      <c r="M115">
        <f>vlookup("927-004000-100",B:AZ,column(l1),0)*e115</f>
        <v>0</v>
      </c>
      <c r="N115">
        <f>vlookup("927-004000-100",B:AZ,column(m1),0)*e115</f>
        <v>0</v>
      </c>
      <c r="O115">
        <f>vlookup("927-004000-100",B:AZ,column(n1),0)*e115</f>
        <v>0</v>
      </c>
      <c r="P115">
        <f>vlookup("927-004000-100",B:AZ,column(o1),0)*e115</f>
        <v>0</v>
      </c>
      <c r="Q115">
        <f>vlookup("927-004000-100",B:AZ,column(p1),0)*e115</f>
        <v>0</v>
      </c>
      <c r="R115">
        <f>vlookup("927-004000-100",B:AZ,column(q1),0)*e115</f>
        <v>0</v>
      </c>
      <c r="S115">
        <f>vlookup("927-004000-100",B:AZ,column(r1),0)*e115</f>
        <v>0</v>
      </c>
      <c r="T115">
        <f>vlookup("927-004000-100",B:AZ,column(s1),0)*e115</f>
        <v>0</v>
      </c>
      <c r="U115">
        <f>vlookup("927-004000-100",B:AZ,column(t1),0)*e115</f>
        <v>0</v>
      </c>
      <c r="V115">
        <f>vlookup("927-004000-100",B:AZ,column(u1),0)*e115</f>
        <v>0</v>
      </c>
      <c r="W115">
        <f>vlookup("927-004000-100",B:AZ,column(v1),0)*e115</f>
        <v>0</v>
      </c>
      <c r="X115">
        <f>vlookup("927-004000-100",B:AZ,column(w1),0)*e115</f>
        <v>0</v>
      </c>
      <c r="Y115">
        <f>vlookup("927-004000-100",B:AZ,column(x1),0)*e115</f>
        <v>0</v>
      </c>
      <c r="Z115">
        <f>vlookup("927-004000-100",B:AZ,column(y1),0)*e115</f>
        <v>0</v>
      </c>
      <c r="AA115">
        <f>vlookup("927-004000-100",B:AZ,column(z1),0)*e115</f>
        <v>0</v>
      </c>
      <c r="AB115">
        <f>vlookup("927-004000-100",B:AZ,column(aa1),0)*e115</f>
        <v>0</v>
      </c>
      <c r="AC115">
        <f>vlookup("927-004000-100",B:AZ,column(ab1),0)*e115</f>
        <v>0</v>
      </c>
      <c r="AD115">
        <f>vlookup("927-004000-100",B:AZ,column(ac1),0)*e115</f>
        <v>0</v>
      </c>
      <c r="AE115">
        <f>vlookup("927-004000-100",B:AZ,column(ad1),0)*e115</f>
        <v>0</v>
      </c>
      <c r="AF115">
        <f>vlookup("927-004000-100",B:AZ,column(ae1),0)*e115</f>
        <v>0</v>
      </c>
      <c r="AG115">
        <f>vlookup("927-004000-100",B:AZ,column(af1),0)*e115</f>
        <v>0</v>
      </c>
      <c r="AH115">
        <f>vlookup("927-004000-100",B:AZ,column(ag1),0)*e115</f>
        <v>0</v>
      </c>
      <c r="AI115">
        <f>vlookup("927-004000-100",B:AZ,column(ah1),0)*e115</f>
        <v>0</v>
      </c>
      <c r="AJ115">
        <f>vlookup("927-004000-100",B:AZ,column(ai1),0)*e115</f>
        <v>0</v>
      </c>
      <c r="AK115">
        <f>vlookup("927-004000-100",B:AZ,column(aj1),0)*e115</f>
        <v>0</v>
      </c>
      <c r="AL115">
        <f>vlookup("927-004000-100",B:AZ,column(ak1),0)*e115</f>
        <v>0</v>
      </c>
      <c r="AM115">
        <f>vlookup("927-004000-100",B:AZ,column(al1),0)*e115</f>
        <v>0</v>
      </c>
      <c r="AN115">
        <f>vlookup("927-004000-100",B:AZ,column(am1),0)*e115</f>
        <v>0</v>
      </c>
      <c r="AO115">
        <f>vlookup("927-004000-100",B:AZ,column(an1),0)*e115</f>
        <v>0</v>
      </c>
    </row>
    <row r="116" spans="1:41">
      <c r="A116" t="s">
        <v>10</v>
      </c>
      <c r="B116" t="s">
        <v>140</v>
      </c>
      <c r="C116" t="s">
        <v>154</v>
      </c>
      <c r="E116">
        <v>1</v>
      </c>
      <c r="F116" t="s">
        <v>13</v>
      </c>
      <c r="I116" t="s">
        <v>14</v>
      </c>
      <c r="AO116">
        <f>sum(j116:an116)</f>
        <v>0</v>
      </c>
    </row>
    <row r="117" spans="1:41">
      <c r="I117" t="s">
        <v>15</v>
      </c>
      <c r="J117">
        <f>vlookup("927-004000-100",Out!B:AZ,column(i1),0)</f>
        <v>0</v>
      </c>
      <c r="K117">
        <f>vlookup("927-004000-100",Out!B:AZ,column(j1),0)</f>
        <v>0</v>
      </c>
      <c r="L117">
        <f>vlookup("927-004000-100",Out!B:AZ,column(k1),0)</f>
        <v>0</v>
      </c>
      <c r="M117">
        <f>vlookup("927-004000-100",Out!B:AZ,column(l1),0)</f>
        <v>0</v>
      </c>
      <c r="N117">
        <f>vlookup("927-004000-100",Out!B:AZ,column(m1),0)</f>
        <v>0</v>
      </c>
      <c r="O117">
        <f>vlookup("927-004000-100",Out!B:AZ,column(n1),0)</f>
        <v>0</v>
      </c>
      <c r="P117">
        <f>vlookup("927-004000-100",Out!B:AZ,column(o1),0)</f>
        <v>0</v>
      </c>
      <c r="Q117">
        <f>vlookup("927-004000-100",Out!B:AZ,column(p1),0)</f>
        <v>0</v>
      </c>
      <c r="R117">
        <f>vlookup("927-004000-100",Out!B:AZ,column(q1),0)</f>
        <v>0</v>
      </c>
      <c r="S117">
        <f>vlookup("927-004000-100",Out!B:AZ,column(r1),0)</f>
        <v>0</v>
      </c>
      <c r="T117">
        <f>vlookup("927-004000-100",Out!B:AZ,column(s1),0)</f>
        <v>0</v>
      </c>
      <c r="U117">
        <f>vlookup("927-004000-100",Out!B:AZ,column(t1),0)</f>
        <v>0</v>
      </c>
      <c r="V117">
        <f>vlookup("927-004000-100",Out!B:AZ,column(u1),0)</f>
        <v>0</v>
      </c>
      <c r="W117">
        <f>vlookup("927-004000-100",Out!B:AZ,column(v1),0)</f>
        <v>0</v>
      </c>
      <c r="X117">
        <f>vlookup("927-004000-100",Out!B:AZ,column(w1),0)</f>
        <v>0</v>
      </c>
      <c r="Y117">
        <f>vlookup("927-004000-100",Out!B:AZ,column(x1),0)</f>
        <v>0</v>
      </c>
      <c r="Z117">
        <f>vlookup("927-004000-100",Out!B:AZ,column(y1),0)</f>
        <v>0</v>
      </c>
      <c r="AA117">
        <f>vlookup("927-004000-100",Out!B:AZ,column(z1),0)</f>
        <v>0</v>
      </c>
      <c r="AB117">
        <f>vlookup("927-004000-100",Out!B:AZ,column(aa1),0)</f>
        <v>0</v>
      </c>
      <c r="AC117">
        <f>vlookup("927-004000-100",Out!B:AZ,column(ab1),0)</f>
        <v>0</v>
      </c>
      <c r="AD117">
        <f>vlookup("927-004000-100",Out!B:AZ,column(ac1),0)</f>
        <v>0</v>
      </c>
      <c r="AE117">
        <f>vlookup("927-004000-100",Out!B:AZ,column(ad1),0)</f>
        <v>0</v>
      </c>
      <c r="AF117">
        <f>vlookup("927-004000-100",Out!B:AZ,column(ae1),0)</f>
        <v>0</v>
      </c>
      <c r="AG117">
        <f>vlookup("927-004000-100",Out!B:AZ,column(af1),0)</f>
        <v>0</v>
      </c>
      <c r="AH117">
        <f>vlookup("927-004000-100",Out!B:AZ,column(ag1),0)</f>
        <v>0</v>
      </c>
      <c r="AI117">
        <f>vlookup("927-004000-100",Out!B:AZ,column(ah1),0)</f>
        <v>0</v>
      </c>
      <c r="AJ117">
        <f>vlookup("927-004000-100",Out!B:AZ,column(ai1),0)</f>
        <v>0</v>
      </c>
      <c r="AK117">
        <f>vlookup("927-004000-100",Out!B:AZ,column(aj1),0)</f>
        <v>0</v>
      </c>
      <c r="AL117">
        <f>vlookup("927-004000-100",Out!B:AZ,column(ak1),0)</f>
        <v>0</v>
      </c>
      <c r="AM117">
        <f>vlookup("927-004000-100",Out!B:AZ,column(al1),0)</f>
        <v>0</v>
      </c>
      <c r="AN117">
        <f>vlookup("927-004000-100",Out!B:AZ,column(am1),0)</f>
        <v>0</v>
      </c>
      <c r="AO117">
        <f>vlookup("927-004000-100",Out!B:AZ,column(an1),0)</f>
        <v>0</v>
      </c>
    </row>
    <row r="118" spans="1:41">
      <c r="H118" t="s">
        <v>16</v>
      </c>
      <c r="J118">
        <f>indirect(address(118,9))+indirect(address(116,10))-indirect(address(117,10))</f>
        <v>0</v>
      </c>
      <c r="K118">
        <f>indirect(address(118,10))+indirect(address(116,11))-indirect(address(117,11))</f>
        <v>0</v>
      </c>
      <c r="L118">
        <f>indirect(address(118,11))+indirect(address(116,12))-indirect(address(117,12))</f>
        <v>0</v>
      </c>
      <c r="M118">
        <f>indirect(address(118,12))+indirect(address(116,13))-indirect(address(117,13))</f>
        <v>0</v>
      </c>
      <c r="N118">
        <f>indirect(address(118,13))+indirect(address(116,14))-indirect(address(117,14))</f>
        <v>0</v>
      </c>
      <c r="O118">
        <f>indirect(address(118,14))+indirect(address(116,15))-indirect(address(117,15))</f>
        <v>0</v>
      </c>
      <c r="P118">
        <f>indirect(address(118,15))+indirect(address(116,16))-indirect(address(117,16))</f>
        <v>0</v>
      </c>
      <c r="Q118">
        <f>indirect(address(118,16))+indirect(address(116,17))-indirect(address(117,17))</f>
        <v>0</v>
      </c>
      <c r="R118">
        <f>indirect(address(118,17))+indirect(address(116,18))-indirect(address(117,18))</f>
        <v>0</v>
      </c>
      <c r="S118">
        <f>indirect(address(118,18))+indirect(address(116,19))-indirect(address(117,19))</f>
        <v>0</v>
      </c>
      <c r="T118">
        <f>indirect(address(118,19))+indirect(address(116,20))-indirect(address(117,20))</f>
        <v>0</v>
      </c>
      <c r="U118">
        <f>indirect(address(118,20))+indirect(address(116,21))-indirect(address(117,21))</f>
        <v>0</v>
      </c>
      <c r="V118">
        <f>indirect(address(118,21))+indirect(address(116,22))-indirect(address(117,22))</f>
        <v>0</v>
      </c>
      <c r="W118">
        <f>indirect(address(118,22))+indirect(address(116,23))-indirect(address(117,23))</f>
        <v>0</v>
      </c>
      <c r="X118">
        <f>indirect(address(118,23))+indirect(address(116,24))-indirect(address(117,24))</f>
        <v>0</v>
      </c>
      <c r="Y118">
        <f>indirect(address(118,24))+indirect(address(116,25))-indirect(address(117,25))</f>
        <v>0</v>
      </c>
      <c r="Z118">
        <f>indirect(address(118,25))+indirect(address(116,26))-indirect(address(117,26))</f>
        <v>0</v>
      </c>
      <c r="AA118">
        <f>indirect(address(118,26))+indirect(address(116,27))-indirect(address(117,27))</f>
        <v>0</v>
      </c>
      <c r="AB118">
        <f>indirect(address(118,27))+indirect(address(116,28))-indirect(address(117,28))</f>
        <v>0</v>
      </c>
      <c r="AC118">
        <f>indirect(address(118,28))+indirect(address(116,29))-indirect(address(117,29))</f>
        <v>0</v>
      </c>
      <c r="AD118">
        <f>indirect(address(118,29))+indirect(address(116,30))-indirect(address(117,30))</f>
        <v>0</v>
      </c>
      <c r="AE118">
        <f>indirect(address(118,30))+indirect(address(116,31))-indirect(address(117,31))</f>
        <v>0</v>
      </c>
      <c r="AF118">
        <f>indirect(address(118,31))+indirect(address(116,32))-indirect(address(117,32))</f>
        <v>0</v>
      </c>
      <c r="AG118">
        <f>indirect(address(118,32))+indirect(address(116,33))-indirect(address(117,33))</f>
        <v>0</v>
      </c>
      <c r="AH118">
        <f>indirect(address(118,33))+indirect(address(116,34))-indirect(address(117,34))</f>
        <v>0</v>
      </c>
      <c r="AI118">
        <f>indirect(address(118,34))+indirect(address(116,35))-indirect(address(117,35))</f>
        <v>0</v>
      </c>
      <c r="AJ118">
        <f>indirect(address(118,35))+indirect(address(116,36))-indirect(address(117,36))</f>
        <v>0</v>
      </c>
      <c r="AK118">
        <f>indirect(address(118,36))+indirect(address(116,37))-indirect(address(117,37))</f>
        <v>0</v>
      </c>
      <c r="AL118">
        <f>indirect(address(118,37))+indirect(address(116,38))-indirect(address(117,38))</f>
        <v>0</v>
      </c>
      <c r="AM118">
        <f>indirect(address(118,38))+indirect(address(116,39))-indirect(address(117,39))</f>
        <v>0</v>
      </c>
      <c r="AN118">
        <f>indirect(address(118,39))+indirect(address(116,40))-indirect(address(117,40))</f>
        <v>0</v>
      </c>
      <c r="AO118">
        <f>indirect(address(118,40))</f>
        <v>0</v>
      </c>
    </row>
    <row r="119" spans="1:41">
      <c r="A119" t="s">
        <v>17</v>
      </c>
      <c r="B119" t="s">
        <v>155</v>
      </c>
      <c r="C119" t="s">
        <v>156</v>
      </c>
      <c r="E119">
        <v>1</v>
      </c>
      <c r="F119" t="s">
        <v>13</v>
      </c>
      <c r="I119" t="s">
        <v>15</v>
      </c>
      <c r="J119">
        <f>vlookup("927-004000-100",B:AZ,column(i1),0)*e119</f>
        <v>0</v>
      </c>
      <c r="K119">
        <f>vlookup("927-004000-100",B:AZ,column(j1),0)*e119</f>
        <v>0</v>
      </c>
      <c r="L119">
        <f>vlookup("927-004000-100",B:AZ,column(k1),0)*e119</f>
        <v>0</v>
      </c>
      <c r="M119">
        <f>vlookup("927-004000-100",B:AZ,column(l1),0)*e119</f>
        <v>0</v>
      </c>
      <c r="N119">
        <f>vlookup("927-004000-100",B:AZ,column(m1),0)*e119</f>
        <v>0</v>
      </c>
      <c r="O119">
        <f>vlookup("927-004000-100",B:AZ,column(n1),0)*e119</f>
        <v>0</v>
      </c>
      <c r="P119">
        <f>vlookup("927-004000-100",B:AZ,column(o1),0)*e119</f>
        <v>0</v>
      </c>
      <c r="Q119">
        <f>vlookup("927-004000-100",B:AZ,column(p1),0)*e119</f>
        <v>0</v>
      </c>
      <c r="R119">
        <f>vlookup("927-004000-100",B:AZ,column(q1),0)*e119</f>
        <v>0</v>
      </c>
      <c r="S119">
        <f>vlookup("927-004000-100",B:AZ,column(r1),0)*e119</f>
        <v>0</v>
      </c>
      <c r="T119">
        <f>vlookup("927-004000-100",B:AZ,column(s1),0)*e119</f>
        <v>0</v>
      </c>
      <c r="U119">
        <f>vlookup("927-004000-100",B:AZ,column(t1),0)*e119</f>
        <v>0</v>
      </c>
      <c r="V119">
        <f>vlookup("927-004000-100",B:AZ,column(u1),0)*e119</f>
        <v>0</v>
      </c>
      <c r="W119">
        <f>vlookup("927-004000-100",B:AZ,column(v1),0)*e119</f>
        <v>0</v>
      </c>
      <c r="X119">
        <f>vlookup("927-004000-100",B:AZ,column(w1),0)*e119</f>
        <v>0</v>
      </c>
      <c r="Y119">
        <f>vlookup("927-004000-100",B:AZ,column(x1),0)*e119</f>
        <v>0</v>
      </c>
      <c r="Z119">
        <f>vlookup("927-004000-100",B:AZ,column(y1),0)*e119</f>
        <v>0</v>
      </c>
      <c r="AA119">
        <f>vlookup("927-004000-100",B:AZ,column(z1),0)*e119</f>
        <v>0</v>
      </c>
      <c r="AB119">
        <f>vlookup("927-004000-100",B:AZ,column(aa1),0)*e119</f>
        <v>0</v>
      </c>
      <c r="AC119">
        <f>vlookup("927-004000-100",B:AZ,column(ab1),0)*e119</f>
        <v>0</v>
      </c>
      <c r="AD119">
        <f>vlookup("927-004000-100",B:AZ,column(ac1),0)*e119</f>
        <v>0</v>
      </c>
      <c r="AE119">
        <f>vlookup("927-004000-100",B:AZ,column(ad1),0)*e119</f>
        <v>0</v>
      </c>
      <c r="AF119">
        <f>vlookup("927-004000-100",B:AZ,column(ae1),0)*e119</f>
        <v>0</v>
      </c>
      <c r="AG119">
        <f>vlookup("927-004000-100",B:AZ,column(af1),0)*e119</f>
        <v>0</v>
      </c>
      <c r="AH119">
        <f>vlookup("927-004000-100",B:AZ,column(ag1),0)*e119</f>
        <v>0</v>
      </c>
      <c r="AI119">
        <f>vlookup("927-004000-100",B:AZ,column(ah1),0)*e119</f>
        <v>0</v>
      </c>
      <c r="AJ119">
        <f>vlookup("927-004000-100",B:AZ,column(ai1),0)*e119</f>
        <v>0</v>
      </c>
      <c r="AK119">
        <f>vlookup("927-004000-100",B:AZ,column(aj1),0)*e119</f>
        <v>0</v>
      </c>
      <c r="AL119">
        <f>vlookup("927-004000-100",B:AZ,column(ak1),0)*e119</f>
        <v>0</v>
      </c>
      <c r="AM119">
        <f>vlookup("927-004000-100",B:AZ,column(al1),0)*e119</f>
        <v>0</v>
      </c>
      <c r="AN119">
        <f>vlookup("927-004000-100",B:AZ,column(am1),0)*e119</f>
        <v>0</v>
      </c>
      <c r="AO119">
        <f>vlookup("927-004000-100",B:AZ,column(an1),0)*e119</f>
        <v>0</v>
      </c>
    </row>
    <row r="120" spans="1:41">
      <c r="A120" t="s">
        <v>17</v>
      </c>
      <c r="B120" t="s">
        <v>157</v>
      </c>
      <c r="C120" t="s">
        <v>158</v>
      </c>
      <c r="E120">
        <v>1</v>
      </c>
      <c r="F120" t="s">
        <v>13</v>
      </c>
      <c r="I120" t="s">
        <v>15</v>
      </c>
      <c r="J120">
        <f>vlookup("927-004000-100",B:AZ,column(i1),0)*e120</f>
        <v>0</v>
      </c>
      <c r="K120">
        <f>vlookup("927-004000-100",B:AZ,column(j1),0)*e120</f>
        <v>0</v>
      </c>
      <c r="L120">
        <f>vlookup("927-004000-100",B:AZ,column(k1),0)*e120</f>
        <v>0</v>
      </c>
      <c r="M120">
        <f>vlookup("927-004000-100",B:AZ,column(l1),0)*e120</f>
        <v>0</v>
      </c>
      <c r="N120">
        <f>vlookup("927-004000-100",B:AZ,column(m1),0)*e120</f>
        <v>0</v>
      </c>
      <c r="O120">
        <f>vlookup("927-004000-100",B:AZ,column(n1),0)*e120</f>
        <v>0</v>
      </c>
      <c r="P120">
        <f>vlookup("927-004000-100",B:AZ,column(o1),0)*e120</f>
        <v>0</v>
      </c>
      <c r="Q120">
        <f>vlookup("927-004000-100",B:AZ,column(p1),0)*e120</f>
        <v>0</v>
      </c>
      <c r="R120">
        <f>vlookup("927-004000-100",B:AZ,column(q1),0)*e120</f>
        <v>0</v>
      </c>
      <c r="S120">
        <f>vlookup("927-004000-100",B:AZ,column(r1),0)*e120</f>
        <v>0</v>
      </c>
      <c r="T120">
        <f>vlookup("927-004000-100",B:AZ,column(s1),0)*e120</f>
        <v>0</v>
      </c>
      <c r="U120">
        <f>vlookup("927-004000-100",B:AZ,column(t1),0)*e120</f>
        <v>0</v>
      </c>
      <c r="V120">
        <f>vlookup("927-004000-100",B:AZ,column(u1),0)*e120</f>
        <v>0</v>
      </c>
      <c r="W120">
        <f>vlookup("927-004000-100",B:AZ,column(v1),0)*e120</f>
        <v>0</v>
      </c>
      <c r="X120">
        <f>vlookup("927-004000-100",B:AZ,column(w1),0)*e120</f>
        <v>0</v>
      </c>
      <c r="Y120">
        <f>vlookup("927-004000-100",B:AZ,column(x1),0)*e120</f>
        <v>0</v>
      </c>
      <c r="Z120">
        <f>vlookup("927-004000-100",B:AZ,column(y1),0)*e120</f>
        <v>0</v>
      </c>
      <c r="AA120">
        <f>vlookup("927-004000-100",B:AZ,column(z1),0)*e120</f>
        <v>0</v>
      </c>
      <c r="AB120">
        <f>vlookup("927-004000-100",B:AZ,column(aa1),0)*e120</f>
        <v>0</v>
      </c>
      <c r="AC120">
        <f>vlookup("927-004000-100",B:AZ,column(ab1),0)*e120</f>
        <v>0</v>
      </c>
      <c r="AD120">
        <f>vlookup("927-004000-100",B:AZ,column(ac1),0)*e120</f>
        <v>0</v>
      </c>
      <c r="AE120">
        <f>vlookup("927-004000-100",B:AZ,column(ad1),0)*e120</f>
        <v>0</v>
      </c>
      <c r="AF120">
        <f>vlookup("927-004000-100",B:AZ,column(ae1),0)*e120</f>
        <v>0</v>
      </c>
      <c r="AG120">
        <f>vlookup("927-004000-100",B:AZ,column(af1),0)*e120</f>
        <v>0</v>
      </c>
      <c r="AH120">
        <f>vlookup("927-004000-100",B:AZ,column(ag1),0)*e120</f>
        <v>0</v>
      </c>
      <c r="AI120">
        <f>vlookup("927-004000-100",B:AZ,column(ah1),0)*e120</f>
        <v>0</v>
      </c>
      <c r="AJ120">
        <f>vlookup("927-004000-100",B:AZ,column(ai1),0)*e120</f>
        <v>0</v>
      </c>
      <c r="AK120">
        <f>vlookup("927-004000-100",B:AZ,column(aj1),0)*e120</f>
        <v>0</v>
      </c>
      <c r="AL120">
        <f>vlookup("927-004000-100",B:AZ,column(ak1),0)*e120</f>
        <v>0</v>
      </c>
      <c r="AM120">
        <f>vlookup("927-004000-100",B:AZ,column(al1),0)*e120</f>
        <v>0</v>
      </c>
      <c r="AN120">
        <f>vlookup("927-004000-100",B:AZ,column(am1),0)*e120</f>
        <v>0</v>
      </c>
      <c r="AO120">
        <f>vlookup("927-004000-100",B:AZ,column(an1),0)*e120</f>
        <v>0</v>
      </c>
    </row>
    <row r="121" spans="1:41">
      <c r="A121" t="s">
        <v>17</v>
      </c>
      <c r="B121" t="s">
        <v>159</v>
      </c>
      <c r="C121" t="s">
        <v>160</v>
      </c>
      <c r="E121">
        <v>1</v>
      </c>
      <c r="F121" t="s">
        <v>13</v>
      </c>
      <c r="I121" t="s">
        <v>15</v>
      </c>
      <c r="J121">
        <f>vlookup("927-004000-100",B:AZ,column(i1),0)*e121</f>
        <v>0</v>
      </c>
      <c r="K121">
        <f>vlookup("927-004000-100",B:AZ,column(j1),0)*e121</f>
        <v>0</v>
      </c>
      <c r="L121">
        <f>vlookup("927-004000-100",B:AZ,column(k1),0)*e121</f>
        <v>0</v>
      </c>
      <c r="M121">
        <f>vlookup("927-004000-100",B:AZ,column(l1),0)*e121</f>
        <v>0</v>
      </c>
      <c r="N121">
        <f>vlookup("927-004000-100",B:AZ,column(m1),0)*e121</f>
        <v>0</v>
      </c>
      <c r="O121">
        <f>vlookup("927-004000-100",B:AZ,column(n1),0)*e121</f>
        <v>0</v>
      </c>
      <c r="P121">
        <f>vlookup("927-004000-100",B:AZ,column(o1),0)*e121</f>
        <v>0</v>
      </c>
      <c r="Q121">
        <f>vlookup("927-004000-100",B:AZ,column(p1),0)*e121</f>
        <v>0</v>
      </c>
      <c r="R121">
        <f>vlookup("927-004000-100",B:AZ,column(q1),0)*e121</f>
        <v>0</v>
      </c>
      <c r="S121">
        <f>vlookup("927-004000-100",B:AZ,column(r1),0)*e121</f>
        <v>0</v>
      </c>
      <c r="T121">
        <f>vlookup("927-004000-100",B:AZ,column(s1),0)*e121</f>
        <v>0</v>
      </c>
      <c r="U121">
        <f>vlookup("927-004000-100",B:AZ,column(t1),0)*e121</f>
        <v>0</v>
      </c>
      <c r="V121">
        <f>vlookup("927-004000-100",B:AZ,column(u1),0)*e121</f>
        <v>0</v>
      </c>
      <c r="W121">
        <f>vlookup("927-004000-100",B:AZ,column(v1),0)*e121</f>
        <v>0</v>
      </c>
      <c r="X121">
        <f>vlookup("927-004000-100",B:AZ,column(w1),0)*e121</f>
        <v>0</v>
      </c>
      <c r="Y121">
        <f>vlookup("927-004000-100",B:AZ,column(x1),0)*e121</f>
        <v>0</v>
      </c>
      <c r="Z121">
        <f>vlookup("927-004000-100",B:AZ,column(y1),0)*e121</f>
        <v>0</v>
      </c>
      <c r="AA121">
        <f>vlookup("927-004000-100",B:AZ,column(z1),0)*e121</f>
        <v>0</v>
      </c>
      <c r="AB121">
        <f>vlookup("927-004000-100",B:AZ,column(aa1),0)*e121</f>
        <v>0</v>
      </c>
      <c r="AC121">
        <f>vlookup("927-004000-100",B:AZ,column(ab1),0)*e121</f>
        <v>0</v>
      </c>
      <c r="AD121">
        <f>vlookup("927-004000-100",B:AZ,column(ac1),0)*e121</f>
        <v>0</v>
      </c>
      <c r="AE121">
        <f>vlookup("927-004000-100",B:AZ,column(ad1),0)*e121</f>
        <v>0</v>
      </c>
      <c r="AF121">
        <f>vlookup("927-004000-100",B:AZ,column(ae1),0)*e121</f>
        <v>0</v>
      </c>
      <c r="AG121">
        <f>vlookup("927-004000-100",B:AZ,column(af1),0)*e121</f>
        <v>0</v>
      </c>
      <c r="AH121">
        <f>vlookup("927-004000-100",B:AZ,column(ag1),0)*e121</f>
        <v>0</v>
      </c>
      <c r="AI121">
        <f>vlookup("927-004000-100",B:AZ,column(ah1),0)*e121</f>
        <v>0</v>
      </c>
      <c r="AJ121">
        <f>vlookup("927-004000-100",B:AZ,column(ai1),0)*e121</f>
        <v>0</v>
      </c>
      <c r="AK121">
        <f>vlookup("927-004000-100",B:AZ,column(aj1),0)*e121</f>
        <v>0</v>
      </c>
      <c r="AL121">
        <f>vlookup("927-004000-100",B:AZ,column(ak1),0)*e121</f>
        <v>0</v>
      </c>
      <c r="AM121">
        <f>vlookup("927-004000-100",B:AZ,column(al1),0)*e121</f>
        <v>0</v>
      </c>
      <c r="AN121">
        <f>vlookup("927-004000-100",B:AZ,column(am1),0)*e121</f>
        <v>0</v>
      </c>
      <c r="AO121">
        <f>vlookup("927-004000-100",B:AZ,column(an1),0)*e121</f>
        <v>0</v>
      </c>
    </row>
    <row r="122" spans="1:41">
      <c r="A122" t="s">
        <v>22</v>
      </c>
      <c r="B122" t="s">
        <v>134</v>
      </c>
      <c r="C122" t="s">
        <v>135</v>
      </c>
      <c r="E122">
        <v>1</v>
      </c>
      <c r="F122" t="s">
        <v>13</v>
      </c>
      <c r="I122" t="s">
        <v>15</v>
      </c>
      <c r="J122">
        <f>vlookup("927-004000-100",B:AZ,column(i1),0)*e122</f>
        <v>0</v>
      </c>
      <c r="K122">
        <f>vlookup("927-004000-100",B:AZ,column(j1),0)*e122</f>
        <v>0</v>
      </c>
      <c r="L122">
        <f>vlookup("927-004000-100",B:AZ,column(k1),0)*e122</f>
        <v>0</v>
      </c>
      <c r="M122">
        <f>vlookup("927-004000-100",B:AZ,column(l1),0)*e122</f>
        <v>0</v>
      </c>
      <c r="N122">
        <f>vlookup("927-004000-100",B:AZ,column(m1),0)*e122</f>
        <v>0</v>
      </c>
      <c r="O122">
        <f>vlookup("927-004000-100",B:AZ,column(n1),0)*e122</f>
        <v>0</v>
      </c>
      <c r="P122">
        <f>vlookup("927-004000-100",B:AZ,column(o1),0)*e122</f>
        <v>0</v>
      </c>
      <c r="Q122">
        <f>vlookup("927-004000-100",B:AZ,column(p1),0)*e122</f>
        <v>0</v>
      </c>
      <c r="R122">
        <f>vlookup("927-004000-100",B:AZ,column(q1),0)*e122</f>
        <v>0</v>
      </c>
      <c r="S122">
        <f>vlookup("927-004000-100",B:AZ,column(r1),0)*e122</f>
        <v>0</v>
      </c>
      <c r="T122">
        <f>vlookup("927-004000-100",B:AZ,column(s1),0)*e122</f>
        <v>0</v>
      </c>
      <c r="U122">
        <f>vlookup("927-004000-100",B:AZ,column(t1),0)*e122</f>
        <v>0</v>
      </c>
      <c r="V122">
        <f>vlookup("927-004000-100",B:AZ,column(u1),0)*e122</f>
        <v>0</v>
      </c>
      <c r="W122">
        <f>vlookup("927-004000-100",B:AZ,column(v1),0)*e122</f>
        <v>0</v>
      </c>
      <c r="X122">
        <f>vlookup("927-004000-100",B:AZ,column(w1),0)*e122</f>
        <v>0</v>
      </c>
      <c r="Y122">
        <f>vlookup("927-004000-100",B:AZ,column(x1),0)*e122</f>
        <v>0</v>
      </c>
      <c r="Z122">
        <f>vlookup("927-004000-100",B:AZ,column(y1),0)*e122</f>
        <v>0</v>
      </c>
      <c r="AA122">
        <f>vlookup("927-004000-100",B:AZ,column(z1),0)*e122</f>
        <v>0</v>
      </c>
      <c r="AB122">
        <f>vlookup("927-004000-100",B:AZ,column(aa1),0)*e122</f>
        <v>0</v>
      </c>
      <c r="AC122">
        <f>vlookup("927-004000-100",B:AZ,column(ab1),0)*e122</f>
        <v>0</v>
      </c>
      <c r="AD122">
        <f>vlookup("927-004000-100",B:AZ,column(ac1),0)*e122</f>
        <v>0</v>
      </c>
      <c r="AE122">
        <f>vlookup("927-004000-100",B:AZ,column(ad1),0)*e122</f>
        <v>0</v>
      </c>
      <c r="AF122">
        <f>vlookup("927-004000-100",B:AZ,column(ae1),0)*e122</f>
        <v>0</v>
      </c>
      <c r="AG122">
        <f>vlookup("927-004000-100",B:AZ,column(af1),0)*e122</f>
        <v>0</v>
      </c>
      <c r="AH122">
        <f>vlookup("927-004000-100",B:AZ,column(ag1),0)*e122</f>
        <v>0</v>
      </c>
      <c r="AI122">
        <f>vlookup("927-004000-100",B:AZ,column(ah1),0)*e122</f>
        <v>0</v>
      </c>
      <c r="AJ122">
        <f>vlookup("927-004000-100",B:AZ,column(ai1),0)*e122</f>
        <v>0</v>
      </c>
      <c r="AK122">
        <f>vlookup("927-004000-100",B:AZ,column(aj1),0)*e122</f>
        <v>0</v>
      </c>
      <c r="AL122">
        <f>vlookup("927-004000-100",B:AZ,column(ak1),0)*e122</f>
        <v>0</v>
      </c>
      <c r="AM122">
        <f>vlookup("927-004000-100",B:AZ,column(al1),0)*e122</f>
        <v>0</v>
      </c>
      <c r="AN122">
        <f>vlookup("927-004000-100",B:AZ,column(am1),0)*e122</f>
        <v>0</v>
      </c>
      <c r="AO122">
        <f>vlookup("927-004000-100",B:AZ,column(an1),0)*e122</f>
        <v>0</v>
      </c>
    </row>
    <row r="123" spans="1:41">
      <c r="A123" t="s">
        <v>22</v>
      </c>
      <c r="B123" t="s">
        <v>136</v>
      </c>
      <c r="C123" t="s">
        <v>137</v>
      </c>
      <c r="E123">
        <v>1</v>
      </c>
      <c r="F123" t="s">
        <v>13</v>
      </c>
      <c r="I123" t="s">
        <v>15</v>
      </c>
      <c r="J123">
        <f>vlookup("927-004000-100",B:AZ,column(i1),0)*e123</f>
        <v>0</v>
      </c>
      <c r="K123">
        <f>vlookup("927-004000-100",B:AZ,column(j1),0)*e123</f>
        <v>0</v>
      </c>
      <c r="L123">
        <f>vlookup("927-004000-100",B:AZ,column(k1),0)*e123</f>
        <v>0</v>
      </c>
      <c r="M123">
        <f>vlookup("927-004000-100",B:AZ,column(l1),0)*e123</f>
        <v>0</v>
      </c>
      <c r="N123">
        <f>vlookup("927-004000-100",B:AZ,column(m1),0)*e123</f>
        <v>0</v>
      </c>
      <c r="O123">
        <f>vlookup("927-004000-100",B:AZ,column(n1),0)*e123</f>
        <v>0</v>
      </c>
      <c r="P123">
        <f>vlookup("927-004000-100",B:AZ,column(o1),0)*e123</f>
        <v>0</v>
      </c>
      <c r="Q123">
        <f>vlookup("927-004000-100",B:AZ,column(p1),0)*e123</f>
        <v>0</v>
      </c>
      <c r="R123">
        <f>vlookup("927-004000-100",B:AZ,column(q1),0)*e123</f>
        <v>0</v>
      </c>
      <c r="S123">
        <f>vlookup("927-004000-100",B:AZ,column(r1),0)*e123</f>
        <v>0</v>
      </c>
      <c r="T123">
        <f>vlookup("927-004000-100",B:AZ,column(s1),0)*e123</f>
        <v>0</v>
      </c>
      <c r="U123">
        <f>vlookup("927-004000-100",B:AZ,column(t1),0)*e123</f>
        <v>0</v>
      </c>
      <c r="V123">
        <f>vlookup("927-004000-100",B:AZ,column(u1),0)*e123</f>
        <v>0</v>
      </c>
      <c r="W123">
        <f>vlookup("927-004000-100",B:AZ,column(v1),0)*e123</f>
        <v>0</v>
      </c>
      <c r="X123">
        <f>vlookup("927-004000-100",B:AZ,column(w1),0)*e123</f>
        <v>0</v>
      </c>
      <c r="Y123">
        <f>vlookup("927-004000-100",B:AZ,column(x1),0)*e123</f>
        <v>0</v>
      </c>
      <c r="Z123">
        <f>vlookup("927-004000-100",B:AZ,column(y1),0)*e123</f>
        <v>0</v>
      </c>
      <c r="AA123">
        <f>vlookup("927-004000-100",B:AZ,column(z1),0)*e123</f>
        <v>0</v>
      </c>
      <c r="AB123">
        <f>vlookup("927-004000-100",B:AZ,column(aa1),0)*e123</f>
        <v>0</v>
      </c>
      <c r="AC123">
        <f>vlookup("927-004000-100",B:AZ,column(ab1),0)*e123</f>
        <v>0</v>
      </c>
      <c r="AD123">
        <f>vlookup("927-004000-100",B:AZ,column(ac1),0)*e123</f>
        <v>0</v>
      </c>
      <c r="AE123">
        <f>vlookup("927-004000-100",B:AZ,column(ad1),0)*e123</f>
        <v>0</v>
      </c>
      <c r="AF123">
        <f>vlookup("927-004000-100",B:AZ,column(ae1),0)*e123</f>
        <v>0</v>
      </c>
      <c r="AG123">
        <f>vlookup("927-004000-100",B:AZ,column(af1),0)*e123</f>
        <v>0</v>
      </c>
      <c r="AH123">
        <f>vlookup("927-004000-100",B:AZ,column(ag1),0)*e123</f>
        <v>0</v>
      </c>
      <c r="AI123">
        <f>vlookup("927-004000-100",B:AZ,column(ah1),0)*e123</f>
        <v>0</v>
      </c>
      <c r="AJ123">
        <f>vlookup("927-004000-100",B:AZ,column(ai1),0)*e123</f>
        <v>0</v>
      </c>
      <c r="AK123">
        <f>vlookup("927-004000-100",B:AZ,column(aj1),0)*e123</f>
        <v>0</v>
      </c>
      <c r="AL123">
        <f>vlookup("927-004000-100",B:AZ,column(ak1),0)*e123</f>
        <v>0</v>
      </c>
      <c r="AM123">
        <f>vlookup("927-004000-100",B:AZ,column(al1),0)*e123</f>
        <v>0</v>
      </c>
      <c r="AN123">
        <f>vlookup("927-004000-100",B:AZ,column(am1),0)*e123</f>
        <v>0</v>
      </c>
      <c r="AO123">
        <f>vlookup("927-004000-100",B:AZ,column(an1),0)*e123</f>
        <v>0</v>
      </c>
    </row>
    <row r="124" spans="1:41">
      <c r="A124" t="s">
        <v>78</v>
      </c>
      <c r="B124" t="s">
        <v>138</v>
      </c>
      <c r="C124" t="s">
        <v>139</v>
      </c>
      <c r="E124">
        <v>0.1667</v>
      </c>
      <c r="F124" t="s">
        <v>13</v>
      </c>
      <c r="I124" t="s">
        <v>15</v>
      </c>
      <c r="J124">
        <f>vlookup("927-004000-100",B:AZ,column(i1),0)*e124</f>
        <v>0</v>
      </c>
      <c r="K124">
        <f>vlookup("927-004000-100",B:AZ,column(j1),0)*e124</f>
        <v>0</v>
      </c>
      <c r="L124">
        <f>vlookup("927-004000-100",B:AZ,column(k1),0)*e124</f>
        <v>0</v>
      </c>
      <c r="M124">
        <f>vlookup("927-004000-100",B:AZ,column(l1),0)*e124</f>
        <v>0</v>
      </c>
      <c r="N124">
        <f>vlookup("927-004000-100",B:AZ,column(m1),0)*e124</f>
        <v>0</v>
      </c>
      <c r="O124">
        <f>vlookup("927-004000-100",B:AZ,column(n1),0)*e124</f>
        <v>0</v>
      </c>
      <c r="P124">
        <f>vlookup("927-004000-100",B:AZ,column(o1),0)*e124</f>
        <v>0</v>
      </c>
      <c r="Q124">
        <f>vlookup("927-004000-100",B:AZ,column(p1),0)*e124</f>
        <v>0</v>
      </c>
      <c r="R124">
        <f>vlookup("927-004000-100",B:AZ,column(q1),0)*e124</f>
        <v>0</v>
      </c>
      <c r="S124">
        <f>vlookup("927-004000-100",B:AZ,column(r1),0)*e124</f>
        <v>0</v>
      </c>
      <c r="T124">
        <f>vlookup("927-004000-100",B:AZ,column(s1),0)*e124</f>
        <v>0</v>
      </c>
      <c r="U124">
        <f>vlookup("927-004000-100",B:AZ,column(t1),0)*e124</f>
        <v>0</v>
      </c>
      <c r="V124">
        <f>vlookup("927-004000-100",B:AZ,column(u1),0)*e124</f>
        <v>0</v>
      </c>
      <c r="W124">
        <f>vlookup("927-004000-100",B:AZ,column(v1),0)*e124</f>
        <v>0</v>
      </c>
      <c r="X124">
        <f>vlookup("927-004000-100",B:AZ,column(w1),0)*e124</f>
        <v>0</v>
      </c>
      <c r="Y124">
        <f>vlookup("927-004000-100",B:AZ,column(x1),0)*e124</f>
        <v>0</v>
      </c>
      <c r="Z124">
        <f>vlookup("927-004000-100",B:AZ,column(y1),0)*e124</f>
        <v>0</v>
      </c>
      <c r="AA124">
        <f>vlookup("927-004000-100",B:AZ,column(z1),0)*e124</f>
        <v>0</v>
      </c>
      <c r="AB124">
        <f>vlookup("927-004000-100",B:AZ,column(aa1),0)*e124</f>
        <v>0</v>
      </c>
      <c r="AC124">
        <f>vlookup("927-004000-100",B:AZ,column(ab1),0)*e124</f>
        <v>0</v>
      </c>
      <c r="AD124">
        <f>vlookup("927-004000-100",B:AZ,column(ac1),0)*e124</f>
        <v>0</v>
      </c>
      <c r="AE124">
        <f>vlookup("927-004000-100",B:AZ,column(ad1),0)*e124</f>
        <v>0</v>
      </c>
      <c r="AF124">
        <f>vlookup("927-004000-100",B:AZ,column(ae1),0)*e124</f>
        <v>0</v>
      </c>
      <c r="AG124">
        <f>vlookup("927-004000-100",B:AZ,column(af1),0)*e124</f>
        <v>0</v>
      </c>
      <c r="AH124">
        <f>vlookup("927-004000-100",B:AZ,column(ag1),0)*e124</f>
        <v>0</v>
      </c>
      <c r="AI124">
        <f>vlookup("927-004000-100",B:AZ,column(ah1),0)*e124</f>
        <v>0</v>
      </c>
      <c r="AJ124">
        <f>vlookup("927-004000-100",B:AZ,column(ai1),0)*e124</f>
        <v>0</v>
      </c>
      <c r="AK124">
        <f>vlookup("927-004000-100",B:AZ,column(aj1),0)*e124</f>
        <v>0</v>
      </c>
      <c r="AL124">
        <f>vlookup("927-004000-100",B:AZ,column(ak1),0)*e124</f>
        <v>0</v>
      </c>
      <c r="AM124">
        <f>vlookup("927-004000-100",B:AZ,column(al1),0)*e124</f>
        <v>0</v>
      </c>
      <c r="AN124">
        <f>vlookup("927-004000-100",B:AZ,column(am1),0)*e124</f>
        <v>0</v>
      </c>
      <c r="AO124">
        <f>vlookup("927-004000-100",B:AZ,column(an1),0)*e124</f>
        <v>0</v>
      </c>
    </row>
    <row r="125" spans="1:41">
      <c r="A125" t="s">
        <v>10</v>
      </c>
      <c r="B125" t="s">
        <v>161</v>
      </c>
      <c r="C125" t="s">
        <v>162</v>
      </c>
      <c r="E125">
        <v>1</v>
      </c>
      <c r="F125" t="s">
        <v>13</v>
      </c>
      <c r="I125" t="s">
        <v>14</v>
      </c>
      <c r="AO125">
        <f>sum(j125:an125)</f>
        <v>0</v>
      </c>
    </row>
    <row r="126" spans="1:41">
      <c r="I126" t="s">
        <v>15</v>
      </c>
      <c r="J126">
        <f>vlookup("924-718897-100",Out!B:AZ,column(i1),0)</f>
        <v>0</v>
      </c>
      <c r="K126">
        <f>vlookup("924-718897-100",Out!B:AZ,column(j1),0)</f>
        <v>0</v>
      </c>
      <c r="L126">
        <f>vlookup("924-718897-100",Out!B:AZ,column(k1),0)</f>
        <v>0</v>
      </c>
      <c r="M126">
        <f>vlookup("924-718897-100",Out!B:AZ,column(l1),0)</f>
        <v>0</v>
      </c>
      <c r="N126">
        <f>vlookup("924-718897-100",Out!B:AZ,column(m1),0)</f>
        <v>0</v>
      </c>
      <c r="O126">
        <f>vlookup("924-718897-100",Out!B:AZ,column(n1),0)</f>
        <v>0</v>
      </c>
      <c r="P126">
        <f>vlookup("924-718897-100",Out!B:AZ,column(o1),0)</f>
        <v>0</v>
      </c>
      <c r="Q126">
        <f>vlookup("924-718897-100",Out!B:AZ,column(p1),0)</f>
        <v>0</v>
      </c>
      <c r="R126">
        <f>vlookup("924-718897-100",Out!B:AZ,column(q1),0)</f>
        <v>0</v>
      </c>
      <c r="S126">
        <f>vlookup("924-718897-100",Out!B:AZ,column(r1),0)</f>
        <v>0</v>
      </c>
      <c r="T126">
        <f>vlookup("924-718897-100",Out!B:AZ,column(s1),0)</f>
        <v>0</v>
      </c>
      <c r="U126">
        <f>vlookup("924-718897-100",Out!B:AZ,column(t1),0)</f>
        <v>0</v>
      </c>
      <c r="V126">
        <f>vlookup("924-718897-100",Out!B:AZ,column(u1),0)</f>
        <v>0</v>
      </c>
      <c r="W126">
        <f>vlookup("924-718897-100",Out!B:AZ,column(v1),0)</f>
        <v>0</v>
      </c>
      <c r="X126">
        <f>vlookup("924-718897-100",Out!B:AZ,column(w1),0)</f>
        <v>0</v>
      </c>
      <c r="Y126">
        <f>vlookup("924-718897-100",Out!B:AZ,column(x1),0)</f>
        <v>0</v>
      </c>
      <c r="Z126">
        <f>vlookup("924-718897-100",Out!B:AZ,column(y1),0)</f>
        <v>0</v>
      </c>
      <c r="AA126">
        <f>vlookup("924-718897-100",Out!B:AZ,column(z1),0)</f>
        <v>0</v>
      </c>
      <c r="AB126">
        <f>vlookup("924-718897-100",Out!B:AZ,column(aa1),0)</f>
        <v>0</v>
      </c>
      <c r="AC126">
        <f>vlookup("924-718897-100",Out!B:AZ,column(ab1),0)</f>
        <v>0</v>
      </c>
      <c r="AD126">
        <f>vlookup("924-718897-100",Out!B:AZ,column(ac1),0)</f>
        <v>0</v>
      </c>
      <c r="AE126">
        <f>vlookup("924-718897-100",Out!B:AZ,column(ad1),0)</f>
        <v>0</v>
      </c>
      <c r="AF126">
        <f>vlookup("924-718897-100",Out!B:AZ,column(ae1),0)</f>
        <v>0</v>
      </c>
      <c r="AG126">
        <f>vlookup("924-718897-100",Out!B:AZ,column(af1),0)</f>
        <v>0</v>
      </c>
      <c r="AH126">
        <f>vlookup("924-718897-100",Out!B:AZ,column(ag1),0)</f>
        <v>0</v>
      </c>
      <c r="AI126">
        <f>vlookup("924-718897-100",Out!B:AZ,column(ah1),0)</f>
        <v>0</v>
      </c>
      <c r="AJ126">
        <f>vlookup("924-718897-100",Out!B:AZ,column(ai1),0)</f>
        <v>0</v>
      </c>
      <c r="AK126">
        <f>vlookup("924-718897-100",Out!B:AZ,column(aj1),0)</f>
        <v>0</v>
      </c>
      <c r="AL126">
        <f>vlookup("924-718897-100",Out!B:AZ,column(ak1),0)</f>
        <v>0</v>
      </c>
      <c r="AM126">
        <f>vlookup("924-718897-100",Out!B:AZ,column(al1),0)</f>
        <v>0</v>
      </c>
      <c r="AN126">
        <f>vlookup("924-718897-100",Out!B:AZ,column(am1),0)</f>
        <v>0</v>
      </c>
      <c r="AO126">
        <f>vlookup("924-718897-100",Out!B:AZ,column(an1),0)</f>
        <v>0</v>
      </c>
    </row>
    <row r="127" spans="1:41">
      <c r="H127" t="s">
        <v>16</v>
      </c>
      <c r="J127">
        <f>indirect(address(127,9))+indirect(address(125,10))-indirect(address(126,10))</f>
        <v>0</v>
      </c>
      <c r="K127">
        <f>indirect(address(127,10))+indirect(address(125,11))-indirect(address(126,11))</f>
        <v>0</v>
      </c>
      <c r="L127">
        <f>indirect(address(127,11))+indirect(address(125,12))-indirect(address(126,12))</f>
        <v>0</v>
      </c>
      <c r="M127">
        <f>indirect(address(127,12))+indirect(address(125,13))-indirect(address(126,13))</f>
        <v>0</v>
      </c>
      <c r="N127">
        <f>indirect(address(127,13))+indirect(address(125,14))-indirect(address(126,14))</f>
        <v>0</v>
      </c>
      <c r="O127">
        <f>indirect(address(127,14))+indirect(address(125,15))-indirect(address(126,15))</f>
        <v>0</v>
      </c>
      <c r="P127">
        <f>indirect(address(127,15))+indirect(address(125,16))-indirect(address(126,16))</f>
        <v>0</v>
      </c>
      <c r="Q127">
        <f>indirect(address(127,16))+indirect(address(125,17))-indirect(address(126,17))</f>
        <v>0</v>
      </c>
      <c r="R127">
        <f>indirect(address(127,17))+indirect(address(125,18))-indirect(address(126,18))</f>
        <v>0</v>
      </c>
      <c r="S127">
        <f>indirect(address(127,18))+indirect(address(125,19))-indirect(address(126,19))</f>
        <v>0</v>
      </c>
      <c r="T127">
        <f>indirect(address(127,19))+indirect(address(125,20))-indirect(address(126,20))</f>
        <v>0</v>
      </c>
      <c r="U127">
        <f>indirect(address(127,20))+indirect(address(125,21))-indirect(address(126,21))</f>
        <v>0</v>
      </c>
      <c r="V127">
        <f>indirect(address(127,21))+indirect(address(125,22))-indirect(address(126,22))</f>
        <v>0</v>
      </c>
      <c r="W127">
        <f>indirect(address(127,22))+indirect(address(125,23))-indirect(address(126,23))</f>
        <v>0</v>
      </c>
      <c r="X127">
        <f>indirect(address(127,23))+indirect(address(125,24))-indirect(address(126,24))</f>
        <v>0</v>
      </c>
      <c r="Y127">
        <f>indirect(address(127,24))+indirect(address(125,25))-indirect(address(126,25))</f>
        <v>0</v>
      </c>
      <c r="Z127">
        <f>indirect(address(127,25))+indirect(address(125,26))-indirect(address(126,26))</f>
        <v>0</v>
      </c>
      <c r="AA127">
        <f>indirect(address(127,26))+indirect(address(125,27))-indirect(address(126,27))</f>
        <v>0</v>
      </c>
      <c r="AB127">
        <f>indirect(address(127,27))+indirect(address(125,28))-indirect(address(126,28))</f>
        <v>0</v>
      </c>
      <c r="AC127">
        <f>indirect(address(127,28))+indirect(address(125,29))-indirect(address(126,29))</f>
        <v>0</v>
      </c>
      <c r="AD127">
        <f>indirect(address(127,29))+indirect(address(125,30))-indirect(address(126,30))</f>
        <v>0</v>
      </c>
      <c r="AE127">
        <f>indirect(address(127,30))+indirect(address(125,31))-indirect(address(126,31))</f>
        <v>0</v>
      </c>
      <c r="AF127">
        <f>indirect(address(127,31))+indirect(address(125,32))-indirect(address(126,32))</f>
        <v>0</v>
      </c>
      <c r="AG127">
        <f>indirect(address(127,32))+indirect(address(125,33))-indirect(address(126,33))</f>
        <v>0</v>
      </c>
      <c r="AH127">
        <f>indirect(address(127,33))+indirect(address(125,34))-indirect(address(126,34))</f>
        <v>0</v>
      </c>
      <c r="AI127">
        <f>indirect(address(127,34))+indirect(address(125,35))-indirect(address(126,35))</f>
        <v>0</v>
      </c>
      <c r="AJ127">
        <f>indirect(address(127,35))+indirect(address(125,36))-indirect(address(126,36))</f>
        <v>0</v>
      </c>
      <c r="AK127">
        <f>indirect(address(127,36))+indirect(address(125,37))-indirect(address(126,37))</f>
        <v>0</v>
      </c>
      <c r="AL127">
        <f>indirect(address(127,37))+indirect(address(125,38))-indirect(address(126,38))</f>
        <v>0</v>
      </c>
      <c r="AM127">
        <f>indirect(address(127,38))+indirect(address(125,39))-indirect(address(126,39))</f>
        <v>0</v>
      </c>
      <c r="AN127">
        <f>indirect(address(127,39))+indirect(address(125,40))-indirect(address(126,40))</f>
        <v>0</v>
      </c>
      <c r="AO127">
        <f>indirect(address(127,40))</f>
        <v>0</v>
      </c>
    </row>
    <row r="128" spans="1:41">
      <c r="A128" t="s">
        <v>17</v>
      </c>
      <c r="B128" t="s">
        <v>163</v>
      </c>
      <c r="C128" t="s">
        <v>164</v>
      </c>
      <c r="E128">
        <v>1</v>
      </c>
      <c r="F128" t="s">
        <v>13</v>
      </c>
      <c r="I128" t="s">
        <v>15</v>
      </c>
      <c r="J128">
        <f>vlookup("924-718897-100",B:AZ,column(i1),0)*e128</f>
        <v>0</v>
      </c>
      <c r="K128">
        <f>vlookup("924-718897-100",B:AZ,column(j1),0)*e128</f>
        <v>0</v>
      </c>
      <c r="L128">
        <f>vlookup("924-718897-100",B:AZ,column(k1),0)*e128</f>
        <v>0</v>
      </c>
      <c r="M128">
        <f>vlookup("924-718897-100",B:AZ,column(l1),0)*e128</f>
        <v>0</v>
      </c>
      <c r="N128">
        <f>vlookup("924-718897-100",B:AZ,column(m1),0)*e128</f>
        <v>0</v>
      </c>
      <c r="O128">
        <f>vlookup("924-718897-100",B:AZ,column(n1),0)*e128</f>
        <v>0</v>
      </c>
      <c r="P128">
        <f>vlookup("924-718897-100",B:AZ,column(o1),0)*e128</f>
        <v>0</v>
      </c>
      <c r="Q128">
        <f>vlookup("924-718897-100",B:AZ,column(p1),0)*e128</f>
        <v>0</v>
      </c>
      <c r="R128">
        <f>vlookup("924-718897-100",B:AZ,column(q1),0)*e128</f>
        <v>0</v>
      </c>
      <c r="S128">
        <f>vlookup("924-718897-100",B:AZ,column(r1),0)*e128</f>
        <v>0</v>
      </c>
      <c r="T128">
        <f>vlookup("924-718897-100",B:AZ,column(s1),0)*e128</f>
        <v>0</v>
      </c>
      <c r="U128">
        <f>vlookup("924-718897-100",B:AZ,column(t1),0)*e128</f>
        <v>0</v>
      </c>
      <c r="V128">
        <f>vlookup("924-718897-100",B:AZ,column(u1),0)*e128</f>
        <v>0</v>
      </c>
      <c r="W128">
        <f>vlookup("924-718897-100",B:AZ,column(v1),0)*e128</f>
        <v>0</v>
      </c>
      <c r="X128">
        <f>vlookup("924-718897-100",B:AZ,column(w1),0)*e128</f>
        <v>0</v>
      </c>
      <c r="Y128">
        <f>vlookup("924-718897-100",B:AZ,column(x1),0)*e128</f>
        <v>0</v>
      </c>
      <c r="Z128">
        <f>vlookup("924-718897-100",B:AZ,column(y1),0)*e128</f>
        <v>0</v>
      </c>
      <c r="AA128">
        <f>vlookup("924-718897-100",B:AZ,column(z1),0)*e128</f>
        <v>0</v>
      </c>
      <c r="AB128">
        <f>vlookup("924-718897-100",B:AZ,column(aa1),0)*e128</f>
        <v>0</v>
      </c>
      <c r="AC128">
        <f>vlookup("924-718897-100",B:AZ,column(ab1),0)*e128</f>
        <v>0</v>
      </c>
      <c r="AD128">
        <f>vlookup("924-718897-100",B:AZ,column(ac1),0)*e128</f>
        <v>0</v>
      </c>
      <c r="AE128">
        <f>vlookup("924-718897-100",B:AZ,column(ad1),0)*e128</f>
        <v>0</v>
      </c>
      <c r="AF128">
        <f>vlookup("924-718897-100",B:AZ,column(ae1),0)*e128</f>
        <v>0</v>
      </c>
      <c r="AG128">
        <f>vlookup("924-718897-100",B:AZ,column(af1),0)*e128</f>
        <v>0</v>
      </c>
      <c r="AH128">
        <f>vlookup("924-718897-100",B:AZ,column(ag1),0)*e128</f>
        <v>0</v>
      </c>
      <c r="AI128">
        <f>vlookup("924-718897-100",B:AZ,column(ah1),0)*e128</f>
        <v>0</v>
      </c>
      <c r="AJ128">
        <f>vlookup("924-718897-100",B:AZ,column(ai1),0)*e128</f>
        <v>0</v>
      </c>
      <c r="AK128">
        <f>vlookup("924-718897-100",B:AZ,column(aj1),0)*e128</f>
        <v>0</v>
      </c>
      <c r="AL128">
        <f>vlookup("924-718897-100",B:AZ,column(ak1),0)*e128</f>
        <v>0</v>
      </c>
      <c r="AM128">
        <f>vlookup("924-718897-100",B:AZ,column(al1),0)*e128</f>
        <v>0</v>
      </c>
      <c r="AN128">
        <f>vlookup("924-718897-100",B:AZ,column(am1),0)*e128</f>
        <v>0</v>
      </c>
      <c r="AO128">
        <f>vlookup("924-718897-100",B:AZ,column(an1),0)*e128</f>
        <v>0</v>
      </c>
    </row>
    <row r="129" spans="1:41">
      <c r="A129" t="s">
        <v>22</v>
      </c>
      <c r="B129" t="s">
        <v>165</v>
      </c>
      <c r="C129" t="s">
        <v>166</v>
      </c>
      <c r="E129">
        <v>1</v>
      </c>
      <c r="F129" t="s">
        <v>13</v>
      </c>
      <c r="I129" t="s">
        <v>15</v>
      </c>
      <c r="J129">
        <f>vlookup("924-718897-100",B:AZ,column(i1),0)*e129</f>
        <v>0</v>
      </c>
      <c r="K129">
        <f>vlookup("924-718897-100",B:AZ,column(j1),0)*e129</f>
        <v>0</v>
      </c>
      <c r="L129">
        <f>vlookup("924-718897-100",B:AZ,column(k1),0)*e129</f>
        <v>0</v>
      </c>
      <c r="M129">
        <f>vlookup("924-718897-100",B:AZ,column(l1),0)*e129</f>
        <v>0</v>
      </c>
      <c r="N129">
        <f>vlookup("924-718897-100",B:AZ,column(m1),0)*e129</f>
        <v>0</v>
      </c>
      <c r="O129">
        <f>vlookup("924-718897-100",B:AZ,column(n1),0)*e129</f>
        <v>0</v>
      </c>
      <c r="P129">
        <f>vlookup("924-718897-100",B:AZ,column(o1),0)*e129</f>
        <v>0</v>
      </c>
      <c r="Q129">
        <f>vlookup("924-718897-100",B:AZ,column(p1),0)*e129</f>
        <v>0</v>
      </c>
      <c r="R129">
        <f>vlookup("924-718897-100",B:AZ,column(q1),0)*e129</f>
        <v>0</v>
      </c>
      <c r="S129">
        <f>vlookup("924-718897-100",B:AZ,column(r1),0)*e129</f>
        <v>0</v>
      </c>
      <c r="T129">
        <f>vlookup("924-718897-100",B:AZ,column(s1),0)*e129</f>
        <v>0</v>
      </c>
      <c r="U129">
        <f>vlookup("924-718897-100",B:AZ,column(t1),0)*e129</f>
        <v>0</v>
      </c>
      <c r="V129">
        <f>vlookup("924-718897-100",B:AZ,column(u1),0)*e129</f>
        <v>0</v>
      </c>
      <c r="W129">
        <f>vlookup("924-718897-100",B:AZ,column(v1),0)*e129</f>
        <v>0</v>
      </c>
      <c r="X129">
        <f>vlookup("924-718897-100",B:AZ,column(w1),0)*e129</f>
        <v>0</v>
      </c>
      <c r="Y129">
        <f>vlookup("924-718897-100",B:AZ,column(x1),0)*e129</f>
        <v>0</v>
      </c>
      <c r="Z129">
        <f>vlookup("924-718897-100",B:AZ,column(y1),0)*e129</f>
        <v>0</v>
      </c>
      <c r="AA129">
        <f>vlookup("924-718897-100",B:AZ,column(z1),0)*e129</f>
        <v>0</v>
      </c>
      <c r="AB129">
        <f>vlookup("924-718897-100",B:AZ,column(aa1),0)*e129</f>
        <v>0</v>
      </c>
      <c r="AC129">
        <f>vlookup("924-718897-100",B:AZ,column(ab1),0)*e129</f>
        <v>0</v>
      </c>
      <c r="AD129">
        <f>vlookup("924-718897-100",B:AZ,column(ac1),0)*e129</f>
        <v>0</v>
      </c>
      <c r="AE129">
        <f>vlookup("924-718897-100",B:AZ,column(ad1),0)*e129</f>
        <v>0</v>
      </c>
      <c r="AF129">
        <f>vlookup("924-718897-100",B:AZ,column(ae1),0)*e129</f>
        <v>0</v>
      </c>
      <c r="AG129">
        <f>vlookup("924-718897-100",B:AZ,column(af1),0)*e129</f>
        <v>0</v>
      </c>
      <c r="AH129">
        <f>vlookup("924-718897-100",B:AZ,column(ag1),0)*e129</f>
        <v>0</v>
      </c>
      <c r="AI129">
        <f>vlookup("924-718897-100",B:AZ,column(ah1),0)*e129</f>
        <v>0</v>
      </c>
      <c r="AJ129">
        <f>vlookup("924-718897-100",B:AZ,column(ai1),0)*e129</f>
        <v>0</v>
      </c>
      <c r="AK129">
        <f>vlookup("924-718897-100",B:AZ,column(aj1),0)*e129</f>
        <v>0</v>
      </c>
      <c r="AL129">
        <f>vlookup("924-718897-100",B:AZ,column(ak1),0)*e129</f>
        <v>0</v>
      </c>
      <c r="AM129">
        <f>vlookup("924-718897-100",B:AZ,column(al1),0)*e129</f>
        <v>0</v>
      </c>
      <c r="AN129">
        <f>vlookup("924-718897-100",B:AZ,column(am1),0)*e129</f>
        <v>0</v>
      </c>
      <c r="AO129">
        <f>vlookup("924-718897-100",B:AZ,column(an1),0)*e129</f>
        <v>0</v>
      </c>
    </row>
    <row r="130" spans="1:41">
      <c r="A130" t="s">
        <v>22</v>
      </c>
      <c r="B130" t="s">
        <v>167</v>
      </c>
      <c r="C130" t="s">
        <v>168</v>
      </c>
      <c r="E130">
        <v>1</v>
      </c>
      <c r="F130" t="s">
        <v>13</v>
      </c>
      <c r="I130" t="s">
        <v>15</v>
      </c>
      <c r="J130">
        <f>vlookup("924-718897-100",B:AZ,column(i1),0)*e130</f>
        <v>0</v>
      </c>
      <c r="K130">
        <f>vlookup("924-718897-100",B:AZ,column(j1),0)*e130</f>
        <v>0</v>
      </c>
      <c r="L130">
        <f>vlookup("924-718897-100",B:AZ,column(k1),0)*e130</f>
        <v>0</v>
      </c>
      <c r="M130">
        <f>vlookup("924-718897-100",B:AZ,column(l1),0)*e130</f>
        <v>0</v>
      </c>
      <c r="N130">
        <f>vlookup("924-718897-100",B:AZ,column(m1),0)*e130</f>
        <v>0</v>
      </c>
      <c r="O130">
        <f>vlookup("924-718897-100",B:AZ,column(n1),0)*e130</f>
        <v>0</v>
      </c>
      <c r="P130">
        <f>vlookup("924-718897-100",B:AZ,column(o1),0)*e130</f>
        <v>0</v>
      </c>
      <c r="Q130">
        <f>vlookup("924-718897-100",B:AZ,column(p1),0)*e130</f>
        <v>0</v>
      </c>
      <c r="R130">
        <f>vlookup("924-718897-100",B:AZ,column(q1),0)*e130</f>
        <v>0</v>
      </c>
      <c r="S130">
        <f>vlookup("924-718897-100",B:AZ,column(r1),0)*e130</f>
        <v>0</v>
      </c>
      <c r="T130">
        <f>vlookup("924-718897-100",B:AZ,column(s1),0)*e130</f>
        <v>0</v>
      </c>
      <c r="U130">
        <f>vlookup("924-718897-100",B:AZ,column(t1),0)*e130</f>
        <v>0</v>
      </c>
      <c r="V130">
        <f>vlookup("924-718897-100",B:AZ,column(u1),0)*e130</f>
        <v>0</v>
      </c>
      <c r="W130">
        <f>vlookup("924-718897-100",B:AZ,column(v1),0)*e130</f>
        <v>0</v>
      </c>
      <c r="X130">
        <f>vlookup("924-718897-100",B:AZ,column(w1),0)*e130</f>
        <v>0</v>
      </c>
      <c r="Y130">
        <f>vlookup("924-718897-100",B:AZ,column(x1),0)*e130</f>
        <v>0</v>
      </c>
      <c r="Z130">
        <f>vlookup("924-718897-100",B:AZ,column(y1),0)*e130</f>
        <v>0</v>
      </c>
      <c r="AA130">
        <f>vlookup("924-718897-100",B:AZ,column(z1),0)*e130</f>
        <v>0</v>
      </c>
      <c r="AB130">
        <f>vlookup("924-718897-100",B:AZ,column(aa1),0)*e130</f>
        <v>0</v>
      </c>
      <c r="AC130">
        <f>vlookup("924-718897-100",B:AZ,column(ab1),0)*e130</f>
        <v>0</v>
      </c>
      <c r="AD130">
        <f>vlookup("924-718897-100",B:AZ,column(ac1),0)*e130</f>
        <v>0</v>
      </c>
      <c r="AE130">
        <f>vlookup("924-718897-100",B:AZ,column(ad1),0)*e130</f>
        <v>0</v>
      </c>
      <c r="AF130">
        <f>vlookup("924-718897-100",B:AZ,column(ae1),0)*e130</f>
        <v>0</v>
      </c>
      <c r="AG130">
        <f>vlookup("924-718897-100",B:AZ,column(af1),0)*e130</f>
        <v>0</v>
      </c>
      <c r="AH130">
        <f>vlookup("924-718897-100",B:AZ,column(ag1),0)*e130</f>
        <v>0</v>
      </c>
      <c r="AI130">
        <f>vlookup("924-718897-100",B:AZ,column(ah1),0)*e130</f>
        <v>0</v>
      </c>
      <c r="AJ130">
        <f>vlookup("924-718897-100",B:AZ,column(ai1),0)*e130</f>
        <v>0</v>
      </c>
      <c r="AK130">
        <f>vlookup("924-718897-100",B:AZ,column(aj1),0)*e130</f>
        <v>0</v>
      </c>
      <c r="AL130">
        <f>vlookup("924-718897-100",B:AZ,column(ak1),0)*e130</f>
        <v>0</v>
      </c>
      <c r="AM130">
        <f>vlookup("924-718897-100",B:AZ,column(al1),0)*e130</f>
        <v>0</v>
      </c>
      <c r="AN130">
        <f>vlookup("924-718897-100",B:AZ,column(am1),0)*e130</f>
        <v>0</v>
      </c>
      <c r="AO130">
        <f>vlookup("924-718897-100",B:AZ,column(an1),0)*e130</f>
        <v>0</v>
      </c>
    </row>
    <row r="131" spans="1:41">
      <c r="A131" t="s">
        <v>22</v>
      </c>
      <c r="B131" t="s">
        <v>169</v>
      </c>
      <c r="C131" t="s">
        <v>170</v>
      </c>
      <c r="E131">
        <v>2</v>
      </c>
      <c r="F131" t="s">
        <v>13</v>
      </c>
      <c r="I131" t="s">
        <v>15</v>
      </c>
      <c r="J131">
        <f>vlookup("924-718897-100",B:AZ,column(i1),0)*e131</f>
        <v>0</v>
      </c>
      <c r="K131">
        <f>vlookup("924-718897-100",B:AZ,column(j1),0)*e131</f>
        <v>0</v>
      </c>
      <c r="L131">
        <f>vlookup("924-718897-100",B:AZ,column(k1),0)*e131</f>
        <v>0</v>
      </c>
      <c r="M131">
        <f>vlookup("924-718897-100",B:AZ,column(l1),0)*e131</f>
        <v>0</v>
      </c>
      <c r="N131">
        <f>vlookup("924-718897-100",B:AZ,column(m1),0)*e131</f>
        <v>0</v>
      </c>
      <c r="O131">
        <f>vlookup("924-718897-100",B:AZ,column(n1),0)*e131</f>
        <v>0</v>
      </c>
      <c r="P131">
        <f>vlookup("924-718897-100",B:AZ,column(o1),0)*e131</f>
        <v>0</v>
      </c>
      <c r="Q131">
        <f>vlookup("924-718897-100",B:AZ,column(p1),0)*e131</f>
        <v>0</v>
      </c>
      <c r="R131">
        <f>vlookup("924-718897-100",B:AZ,column(q1),0)*e131</f>
        <v>0</v>
      </c>
      <c r="S131">
        <f>vlookup("924-718897-100",B:AZ,column(r1),0)*e131</f>
        <v>0</v>
      </c>
      <c r="T131">
        <f>vlookup("924-718897-100",B:AZ,column(s1),0)*e131</f>
        <v>0</v>
      </c>
      <c r="U131">
        <f>vlookup("924-718897-100",B:AZ,column(t1),0)*e131</f>
        <v>0</v>
      </c>
      <c r="V131">
        <f>vlookup("924-718897-100",B:AZ,column(u1),0)*e131</f>
        <v>0</v>
      </c>
      <c r="W131">
        <f>vlookup("924-718897-100",B:AZ,column(v1),0)*e131</f>
        <v>0</v>
      </c>
      <c r="X131">
        <f>vlookup("924-718897-100",B:AZ,column(w1),0)*e131</f>
        <v>0</v>
      </c>
      <c r="Y131">
        <f>vlookup("924-718897-100",B:AZ,column(x1),0)*e131</f>
        <v>0</v>
      </c>
      <c r="Z131">
        <f>vlookup("924-718897-100",B:AZ,column(y1),0)*e131</f>
        <v>0</v>
      </c>
      <c r="AA131">
        <f>vlookup("924-718897-100",B:AZ,column(z1),0)*e131</f>
        <v>0</v>
      </c>
      <c r="AB131">
        <f>vlookup("924-718897-100",B:AZ,column(aa1),0)*e131</f>
        <v>0</v>
      </c>
      <c r="AC131">
        <f>vlookup("924-718897-100",B:AZ,column(ab1),0)*e131</f>
        <v>0</v>
      </c>
      <c r="AD131">
        <f>vlookup("924-718897-100",B:AZ,column(ac1),0)*e131</f>
        <v>0</v>
      </c>
      <c r="AE131">
        <f>vlookup("924-718897-100",B:AZ,column(ad1),0)*e131</f>
        <v>0</v>
      </c>
      <c r="AF131">
        <f>vlookup("924-718897-100",B:AZ,column(ae1),0)*e131</f>
        <v>0</v>
      </c>
      <c r="AG131">
        <f>vlookup("924-718897-100",B:AZ,column(af1),0)*e131</f>
        <v>0</v>
      </c>
      <c r="AH131">
        <f>vlookup("924-718897-100",B:AZ,column(ag1),0)*e131</f>
        <v>0</v>
      </c>
      <c r="AI131">
        <f>vlookup("924-718897-100",B:AZ,column(ah1),0)*e131</f>
        <v>0</v>
      </c>
      <c r="AJ131">
        <f>vlookup("924-718897-100",B:AZ,column(ai1),0)*e131</f>
        <v>0</v>
      </c>
      <c r="AK131">
        <f>vlookup("924-718897-100",B:AZ,column(aj1),0)*e131</f>
        <v>0</v>
      </c>
      <c r="AL131">
        <f>vlookup("924-718897-100",B:AZ,column(ak1),0)*e131</f>
        <v>0</v>
      </c>
      <c r="AM131">
        <f>vlookup("924-718897-100",B:AZ,column(al1),0)*e131</f>
        <v>0</v>
      </c>
      <c r="AN131">
        <f>vlookup("924-718897-100",B:AZ,column(am1),0)*e131</f>
        <v>0</v>
      </c>
      <c r="AO131">
        <f>vlookup("924-718897-100",B:AZ,column(an1),0)*e131</f>
        <v>0</v>
      </c>
    </row>
    <row r="132" spans="1:41">
      <c r="A132" t="s">
        <v>22</v>
      </c>
      <c r="B132" t="s">
        <v>171</v>
      </c>
      <c r="C132" t="s">
        <v>172</v>
      </c>
      <c r="E132">
        <v>1</v>
      </c>
      <c r="F132" t="s">
        <v>13</v>
      </c>
      <c r="I132" t="s">
        <v>15</v>
      </c>
      <c r="J132">
        <f>vlookup("924-718897-100",B:AZ,column(i1),0)*e132</f>
        <v>0</v>
      </c>
      <c r="K132">
        <f>vlookup("924-718897-100",B:AZ,column(j1),0)*e132</f>
        <v>0</v>
      </c>
      <c r="L132">
        <f>vlookup("924-718897-100",B:AZ,column(k1),0)*e132</f>
        <v>0</v>
      </c>
      <c r="M132">
        <f>vlookup("924-718897-100",B:AZ,column(l1),0)*e132</f>
        <v>0</v>
      </c>
      <c r="N132">
        <f>vlookup("924-718897-100",B:AZ,column(m1),0)*e132</f>
        <v>0</v>
      </c>
      <c r="O132">
        <f>vlookup("924-718897-100",B:AZ,column(n1),0)*e132</f>
        <v>0</v>
      </c>
      <c r="P132">
        <f>vlookup("924-718897-100",B:AZ,column(o1),0)*e132</f>
        <v>0</v>
      </c>
      <c r="Q132">
        <f>vlookup("924-718897-100",B:AZ,column(p1),0)*e132</f>
        <v>0</v>
      </c>
      <c r="R132">
        <f>vlookup("924-718897-100",B:AZ,column(q1),0)*e132</f>
        <v>0</v>
      </c>
      <c r="S132">
        <f>vlookup("924-718897-100",B:AZ,column(r1),0)*e132</f>
        <v>0</v>
      </c>
      <c r="T132">
        <f>vlookup("924-718897-100",B:AZ,column(s1),0)*e132</f>
        <v>0</v>
      </c>
      <c r="U132">
        <f>vlookup("924-718897-100",B:AZ,column(t1),0)*e132</f>
        <v>0</v>
      </c>
      <c r="V132">
        <f>vlookup("924-718897-100",B:AZ,column(u1),0)*e132</f>
        <v>0</v>
      </c>
      <c r="W132">
        <f>vlookup("924-718897-100",B:AZ,column(v1),0)*e132</f>
        <v>0</v>
      </c>
      <c r="X132">
        <f>vlookup("924-718897-100",B:AZ,column(w1),0)*e132</f>
        <v>0</v>
      </c>
      <c r="Y132">
        <f>vlookup("924-718897-100",B:AZ,column(x1),0)*e132</f>
        <v>0</v>
      </c>
      <c r="Z132">
        <f>vlookup("924-718897-100",B:AZ,column(y1),0)*e132</f>
        <v>0</v>
      </c>
      <c r="AA132">
        <f>vlookup("924-718897-100",B:AZ,column(z1),0)*e132</f>
        <v>0</v>
      </c>
      <c r="AB132">
        <f>vlookup("924-718897-100",B:AZ,column(aa1),0)*e132</f>
        <v>0</v>
      </c>
      <c r="AC132">
        <f>vlookup("924-718897-100",B:AZ,column(ab1),0)*e132</f>
        <v>0</v>
      </c>
      <c r="AD132">
        <f>vlookup("924-718897-100",B:AZ,column(ac1),0)*e132</f>
        <v>0</v>
      </c>
      <c r="AE132">
        <f>vlookup("924-718897-100",B:AZ,column(ad1),0)*e132</f>
        <v>0</v>
      </c>
      <c r="AF132">
        <f>vlookup("924-718897-100",B:AZ,column(ae1),0)*e132</f>
        <v>0</v>
      </c>
      <c r="AG132">
        <f>vlookup("924-718897-100",B:AZ,column(af1),0)*e132</f>
        <v>0</v>
      </c>
      <c r="AH132">
        <f>vlookup("924-718897-100",B:AZ,column(ag1),0)*e132</f>
        <v>0</v>
      </c>
      <c r="AI132">
        <f>vlookup("924-718897-100",B:AZ,column(ah1),0)*e132</f>
        <v>0</v>
      </c>
      <c r="AJ132">
        <f>vlookup("924-718897-100",B:AZ,column(ai1),0)*e132</f>
        <v>0</v>
      </c>
      <c r="AK132">
        <f>vlookup("924-718897-100",B:AZ,column(aj1),0)*e132</f>
        <v>0</v>
      </c>
      <c r="AL132">
        <f>vlookup("924-718897-100",B:AZ,column(ak1),0)*e132</f>
        <v>0</v>
      </c>
      <c r="AM132">
        <f>vlookup("924-718897-100",B:AZ,column(al1),0)*e132</f>
        <v>0</v>
      </c>
      <c r="AN132">
        <f>vlookup("924-718897-100",B:AZ,column(am1),0)*e132</f>
        <v>0</v>
      </c>
      <c r="AO132">
        <f>vlookup("924-718897-100",B:AZ,column(an1),0)*e132</f>
        <v>0</v>
      </c>
    </row>
    <row r="133" spans="1:41">
      <c r="A133" t="s">
        <v>22</v>
      </c>
      <c r="B133" t="s">
        <v>173</v>
      </c>
      <c r="C133" t="s">
        <v>174</v>
      </c>
      <c r="E133">
        <v>1</v>
      </c>
      <c r="F133" t="s">
        <v>13</v>
      </c>
      <c r="I133" t="s">
        <v>15</v>
      </c>
      <c r="J133">
        <f>vlookup("924-718897-100",B:AZ,column(i1),0)*e133</f>
        <v>0</v>
      </c>
      <c r="K133">
        <f>vlookup("924-718897-100",B:AZ,column(j1),0)*e133</f>
        <v>0</v>
      </c>
      <c r="L133">
        <f>vlookup("924-718897-100",B:AZ,column(k1),0)*e133</f>
        <v>0</v>
      </c>
      <c r="M133">
        <f>vlookup("924-718897-100",B:AZ,column(l1),0)*e133</f>
        <v>0</v>
      </c>
      <c r="N133">
        <f>vlookup("924-718897-100",B:AZ,column(m1),0)*e133</f>
        <v>0</v>
      </c>
      <c r="O133">
        <f>vlookup("924-718897-100",B:AZ,column(n1),0)*e133</f>
        <v>0</v>
      </c>
      <c r="P133">
        <f>vlookup("924-718897-100",B:AZ,column(o1),0)*e133</f>
        <v>0</v>
      </c>
      <c r="Q133">
        <f>vlookup("924-718897-100",B:AZ,column(p1),0)*e133</f>
        <v>0</v>
      </c>
      <c r="R133">
        <f>vlookup("924-718897-100",B:AZ,column(q1),0)*e133</f>
        <v>0</v>
      </c>
      <c r="S133">
        <f>vlookup("924-718897-100",B:AZ,column(r1),0)*e133</f>
        <v>0</v>
      </c>
      <c r="T133">
        <f>vlookup("924-718897-100",B:AZ,column(s1),0)*e133</f>
        <v>0</v>
      </c>
      <c r="U133">
        <f>vlookup("924-718897-100",B:AZ,column(t1),0)*e133</f>
        <v>0</v>
      </c>
      <c r="V133">
        <f>vlookup("924-718897-100",B:AZ,column(u1),0)*e133</f>
        <v>0</v>
      </c>
      <c r="W133">
        <f>vlookup("924-718897-100",B:AZ,column(v1),0)*e133</f>
        <v>0</v>
      </c>
      <c r="X133">
        <f>vlookup("924-718897-100",B:AZ,column(w1),0)*e133</f>
        <v>0</v>
      </c>
      <c r="Y133">
        <f>vlookup("924-718897-100",B:AZ,column(x1),0)*e133</f>
        <v>0</v>
      </c>
      <c r="Z133">
        <f>vlookup("924-718897-100",B:AZ,column(y1),0)*e133</f>
        <v>0</v>
      </c>
      <c r="AA133">
        <f>vlookup("924-718897-100",B:AZ,column(z1),0)*e133</f>
        <v>0</v>
      </c>
      <c r="AB133">
        <f>vlookup("924-718897-100",B:AZ,column(aa1),0)*e133</f>
        <v>0</v>
      </c>
      <c r="AC133">
        <f>vlookup("924-718897-100",B:AZ,column(ab1),0)*e133</f>
        <v>0</v>
      </c>
      <c r="AD133">
        <f>vlookup("924-718897-100",B:AZ,column(ac1),0)*e133</f>
        <v>0</v>
      </c>
      <c r="AE133">
        <f>vlookup("924-718897-100",B:AZ,column(ad1),0)*e133</f>
        <v>0</v>
      </c>
      <c r="AF133">
        <f>vlookup("924-718897-100",B:AZ,column(ae1),0)*e133</f>
        <v>0</v>
      </c>
      <c r="AG133">
        <f>vlookup("924-718897-100",B:AZ,column(af1),0)*e133</f>
        <v>0</v>
      </c>
      <c r="AH133">
        <f>vlookup("924-718897-100",B:AZ,column(ag1),0)*e133</f>
        <v>0</v>
      </c>
      <c r="AI133">
        <f>vlookup("924-718897-100",B:AZ,column(ah1),0)*e133</f>
        <v>0</v>
      </c>
      <c r="AJ133">
        <f>vlookup("924-718897-100",B:AZ,column(ai1),0)*e133</f>
        <v>0</v>
      </c>
      <c r="AK133">
        <f>vlookup("924-718897-100",B:AZ,column(aj1),0)*e133</f>
        <v>0</v>
      </c>
      <c r="AL133">
        <f>vlookup("924-718897-100",B:AZ,column(ak1),0)*e133</f>
        <v>0</v>
      </c>
      <c r="AM133">
        <f>vlookup("924-718897-100",B:AZ,column(al1),0)*e133</f>
        <v>0</v>
      </c>
      <c r="AN133">
        <f>vlookup("924-718897-100",B:AZ,column(am1),0)*e133</f>
        <v>0</v>
      </c>
      <c r="AO133">
        <f>vlookup("924-718897-100",B:AZ,column(an1),0)*e133</f>
        <v>0</v>
      </c>
    </row>
    <row r="134" spans="1:41">
      <c r="A134" t="s">
        <v>10</v>
      </c>
      <c r="B134" t="s">
        <v>175</v>
      </c>
      <c r="C134" t="s">
        <v>176</v>
      </c>
      <c r="E134">
        <v>1</v>
      </c>
      <c r="I134" t="s">
        <v>14</v>
      </c>
      <c r="AO134">
        <f>sum(j134:an134)</f>
        <v>0</v>
      </c>
    </row>
    <row r="135" spans="1:41">
      <c r="I135" t="s">
        <v>15</v>
      </c>
      <c r="J135">
        <f>vlookup("924-718897-200",Out!B:AZ,column(i1),0)</f>
        <v>0</v>
      </c>
      <c r="K135">
        <f>vlookup("924-718897-200",Out!B:AZ,column(j1),0)</f>
        <v>0</v>
      </c>
      <c r="L135">
        <f>vlookup("924-718897-200",Out!B:AZ,column(k1),0)</f>
        <v>0</v>
      </c>
      <c r="M135">
        <f>vlookup("924-718897-200",Out!B:AZ,column(l1),0)</f>
        <v>0</v>
      </c>
      <c r="N135">
        <f>vlookup("924-718897-200",Out!B:AZ,column(m1),0)</f>
        <v>0</v>
      </c>
      <c r="O135">
        <f>vlookup("924-718897-200",Out!B:AZ,column(n1),0)</f>
        <v>0</v>
      </c>
      <c r="P135">
        <f>vlookup("924-718897-200",Out!B:AZ,column(o1),0)</f>
        <v>0</v>
      </c>
      <c r="Q135">
        <f>vlookup("924-718897-200",Out!B:AZ,column(p1),0)</f>
        <v>0</v>
      </c>
      <c r="R135">
        <f>vlookup("924-718897-200",Out!B:AZ,column(q1),0)</f>
        <v>0</v>
      </c>
      <c r="S135">
        <f>vlookup("924-718897-200",Out!B:AZ,column(r1),0)</f>
        <v>0</v>
      </c>
      <c r="T135">
        <f>vlookup("924-718897-200",Out!B:AZ,column(s1),0)</f>
        <v>0</v>
      </c>
      <c r="U135">
        <f>vlookup("924-718897-200",Out!B:AZ,column(t1),0)</f>
        <v>0</v>
      </c>
      <c r="V135">
        <f>vlookup("924-718897-200",Out!B:AZ,column(u1),0)</f>
        <v>0</v>
      </c>
      <c r="W135">
        <f>vlookup("924-718897-200",Out!B:AZ,column(v1),0)</f>
        <v>0</v>
      </c>
      <c r="X135">
        <f>vlookup("924-718897-200",Out!B:AZ,column(w1),0)</f>
        <v>0</v>
      </c>
      <c r="Y135">
        <f>vlookup("924-718897-200",Out!B:AZ,column(x1),0)</f>
        <v>0</v>
      </c>
      <c r="Z135">
        <f>vlookup("924-718897-200",Out!B:AZ,column(y1),0)</f>
        <v>0</v>
      </c>
      <c r="AA135">
        <f>vlookup("924-718897-200",Out!B:AZ,column(z1),0)</f>
        <v>0</v>
      </c>
      <c r="AB135">
        <f>vlookup("924-718897-200",Out!B:AZ,column(aa1),0)</f>
        <v>0</v>
      </c>
      <c r="AC135">
        <f>vlookup("924-718897-200",Out!B:AZ,column(ab1),0)</f>
        <v>0</v>
      </c>
      <c r="AD135">
        <f>vlookup("924-718897-200",Out!B:AZ,column(ac1),0)</f>
        <v>0</v>
      </c>
      <c r="AE135">
        <f>vlookup("924-718897-200",Out!B:AZ,column(ad1),0)</f>
        <v>0</v>
      </c>
      <c r="AF135">
        <f>vlookup("924-718897-200",Out!B:AZ,column(ae1),0)</f>
        <v>0</v>
      </c>
      <c r="AG135">
        <f>vlookup("924-718897-200",Out!B:AZ,column(af1),0)</f>
        <v>0</v>
      </c>
      <c r="AH135">
        <f>vlookup("924-718897-200",Out!B:AZ,column(ag1),0)</f>
        <v>0</v>
      </c>
      <c r="AI135">
        <f>vlookup("924-718897-200",Out!B:AZ,column(ah1),0)</f>
        <v>0</v>
      </c>
      <c r="AJ135">
        <f>vlookup("924-718897-200",Out!B:AZ,column(ai1),0)</f>
        <v>0</v>
      </c>
      <c r="AK135">
        <f>vlookup("924-718897-200",Out!B:AZ,column(aj1),0)</f>
        <v>0</v>
      </c>
      <c r="AL135">
        <f>vlookup("924-718897-200",Out!B:AZ,column(ak1),0)</f>
        <v>0</v>
      </c>
      <c r="AM135">
        <f>vlookup("924-718897-200",Out!B:AZ,column(al1),0)</f>
        <v>0</v>
      </c>
      <c r="AN135">
        <f>vlookup("924-718897-200",Out!B:AZ,column(am1),0)</f>
        <v>0</v>
      </c>
      <c r="AO135">
        <f>vlookup("924-718897-200",Out!B:AZ,column(an1),0)</f>
        <v>0</v>
      </c>
    </row>
    <row r="136" spans="1:41">
      <c r="H136" t="s">
        <v>16</v>
      </c>
      <c r="J136">
        <f>indirect(address(136,9))+indirect(address(134,10))-indirect(address(135,10))</f>
        <v>0</v>
      </c>
      <c r="K136">
        <f>indirect(address(136,10))+indirect(address(134,11))-indirect(address(135,11))</f>
        <v>0</v>
      </c>
      <c r="L136">
        <f>indirect(address(136,11))+indirect(address(134,12))-indirect(address(135,12))</f>
        <v>0</v>
      </c>
      <c r="M136">
        <f>indirect(address(136,12))+indirect(address(134,13))-indirect(address(135,13))</f>
        <v>0</v>
      </c>
      <c r="N136">
        <f>indirect(address(136,13))+indirect(address(134,14))-indirect(address(135,14))</f>
        <v>0</v>
      </c>
      <c r="O136">
        <f>indirect(address(136,14))+indirect(address(134,15))-indirect(address(135,15))</f>
        <v>0</v>
      </c>
      <c r="P136">
        <f>indirect(address(136,15))+indirect(address(134,16))-indirect(address(135,16))</f>
        <v>0</v>
      </c>
      <c r="Q136">
        <f>indirect(address(136,16))+indirect(address(134,17))-indirect(address(135,17))</f>
        <v>0</v>
      </c>
      <c r="R136">
        <f>indirect(address(136,17))+indirect(address(134,18))-indirect(address(135,18))</f>
        <v>0</v>
      </c>
      <c r="S136">
        <f>indirect(address(136,18))+indirect(address(134,19))-indirect(address(135,19))</f>
        <v>0</v>
      </c>
      <c r="T136">
        <f>indirect(address(136,19))+indirect(address(134,20))-indirect(address(135,20))</f>
        <v>0</v>
      </c>
      <c r="U136">
        <f>indirect(address(136,20))+indirect(address(134,21))-indirect(address(135,21))</f>
        <v>0</v>
      </c>
      <c r="V136">
        <f>indirect(address(136,21))+indirect(address(134,22))-indirect(address(135,22))</f>
        <v>0</v>
      </c>
      <c r="W136">
        <f>indirect(address(136,22))+indirect(address(134,23))-indirect(address(135,23))</f>
        <v>0</v>
      </c>
      <c r="X136">
        <f>indirect(address(136,23))+indirect(address(134,24))-indirect(address(135,24))</f>
        <v>0</v>
      </c>
      <c r="Y136">
        <f>indirect(address(136,24))+indirect(address(134,25))-indirect(address(135,25))</f>
        <v>0</v>
      </c>
      <c r="Z136">
        <f>indirect(address(136,25))+indirect(address(134,26))-indirect(address(135,26))</f>
        <v>0</v>
      </c>
      <c r="AA136">
        <f>indirect(address(136,26))+indirect(address(134,27))-indirect(address(135,27))</f>
        <v>0</v>
      </c>
      <c r="AB136">
        <f>indirect(address(136,27))+indirect(address(134,28))-indirect(address(135,28))</f>
        <v>0</v>
      </c>
      <c r="AC136">
        <f>indirect(address(136,28))+indirect(address(134,29))-indirect(address(135,29))</f>
        <v>0</v>
      </c>
      <c r="AD136">
        <f>indirect(address(136,29))+indirect(address(134,30))-indirect(address(135,30))</f>
        <v>0</v>
      </c>
      <c r="AE136">
        <f>indirect(address(136,30))+indirect(address(134,31))-indirect(address(135,31))</f>
        <v>0</v>
      </c>
      <c r="AF136">
        <f>indirect(address(136,31))+indirect(address(134,32))-indirect(address(135,32))</f>
        <v>0</v>
      </c>
      <c r="AG136">
        <f>indirect(address(136,32))+indirect(address(134,33))-indirect(address(135,33))</f>
        <v>0</v>
      </c>
      <c r="AH136">
        <f>indirect(address(136,33))+indirect(address(134,34))-indirect(address(135,34))</f>
        <v>0</v>
      </c>
      <c r="AI136">
        <f>indirect(address(136,34))+indirect(address(134,35))-indirect(address(135,35))</f>
        <v>0</v>
      </c>
      <c r="AJ136">
        <f>indirect(address(136,35))+indirect(address(134,36))-indirect(address(135,36))</f>
        <v>0</v>
      </c>
      <c r="AK136">
        <f>indirect(address(136,36))+indirect(address(134,37))-indirect(address(135,37))</f>
        <v>0</v>
      </c>
      <c r="AL136">
        <f>indirect(address(136,37))+indirect(address(134,38))-indirect(address(135,38))</f>
        <v>0</v>
      </c>
      <c r="AM136">
        <f>indirect(address(136,38))+indirect(address(134,39))-indirect(address(135,39))</f>
        <v>0</v>
      </c>
      <c r="AN136">
        <f>indirect(address(136,39))+indirect(address(134,40))-indirect(address(135,40))</f>
        <v>0</v>
      </c>
      <c r="AO136">
        <f>indirect(address(136,40))</f>
        <v>0</v>
      </c>
    </row>
    <row r="137" spans="1:41">
      <c r="A137" t="s">
        <v>17</v>
      </c>
      <c r="B137" t="s">
        <v>177</v>
      </c>
      <c r="C137" t="s">
        <v>178</v>
      </c>
      <c r="E137">
        <v>1</v>
      </c>
      <c r="I137" t="s">
        <v>15</v>
      </c>
      <c r="J137">
        <f>vlookup("924-718897-200",B:AZ,column(i1),0)*e137</f>
        <v>0</v>
      </c>
      <c r="K137">
        <f>vlookup("924-718897-200",B:AZ,column(j1),0)*e137</f>
        <v>0</v>
      </c>
      <c r="L137">
        <f>vlookup("924-718897-200",B:AZ,column(k1),0)*e137</f>
        <v>0</v>
      </c>
      <c r="M137">
        <f>vlookup("924-718897-200",B:AZ,column(l1),0)*e137</f>
        <v>0</v>
      </c>
      <c r="N137">
        <f>vlookup("924-718897-200",B:AZ,column(m1),0)*e137</f>
        <v>0</v>
      </c>
      <c r="O137">
        <f>vlookup("924-718897-200",B:AZ,column(n1),0)*e137</f>
        <v>0</v>
      </c>
      <c r="P137">
        <f>vlookup("924-718897-200",B:AZ,column(o1),0)*e137</f>
        <v>0</v>
      </c>
      <c r="Q137">
        <f>vlookup("924-718897-200",B:AZ,column(p1),0)*e137</f>
        <v>0</v>
      </c>
      <c r="R137">
        <f>vlookup("924-718897-200",B:AZ,column(q1),0)*e137</f>
        <v>0</v>
      </c>
      <c r="S137">
        <f>vlookup("924-718897-200",B:AZ,column(r1),0)*e137</f>
        <v>0</v>
      </c>
      <c r="T137">
        <f>vlookup("924-718897-200",B:AZ,column(s1),0)*e137</f>
        <v>0</v>
      </c>
      <c r="U137">
        <f>vlookup("924-718897-200",B:AZ,column(t1),0)*e137</f>
        <v>0</v>
      </c>
      <c r="V137">
        <f>vlookup("924-718897-200",B:AZ,column(u1),0)*e137</f>
        <v>0</v>
      </c>
      <c r="W137">
        <f>vlookup("924-718897-200",B:AZ,column(v1),0)*e137</f>
        <v>0</v>
      </c>
      <c r="X137">
        <f>vlookup("924-718897-200",B:AZ,column(w1),0)*e137</f>
        <v>0</v>
      </c>
      <c r="Y137">
        <f>vlookup("924-718897-200",B:AZ,column(x1),0)*e137</f>
        <v>0</v>
      </c>
      <c r="Z137">
        <f>vlookup("924-718897-200",B:AZ,column(y1),0)*e137</f>
        <v>0</v>
      </c>
      <c r="AA137">
        <f>vlookup("924-718897-200",B:AZ,column(z1),0)*e137</f>
        <v>0</v>
      </c>
      <c r="AB137">
        <f>vlookup("924-718897-200",B:AZ,column(aa1),0)*e137</f>
        <v>0</v>
      </c>
      <c r="AC137">
        <f>vlookup("924-718897-200",B:AZ,column(ab1),0)*e137</f>
        <v>0</v>
      </c>
      <c r="AD137">
        <f>vlookup("924-718897-200",B:AZ,column(ac1),0)*e137</f>
        <v>0</v>
      </c>
      <c r="AE137">
        <f>vlookup("924-718897-200",B:AZ,column(ad1),0)*e137</f>
        <v>0</v>
      </c>
      <c r="AF137">
        <f>vlookup("924-718897-200",B:AZ,column(ae1),0)*e137</f>
        <v>0</v>
      </c>
      <c r="AG137">
        <f>vlookup("924-718897-200",B:AZ,column(af1),0)*e137</f>
        <v>0</v>
      </c>
      <c r="AH137">
        <f>vlookup("924-718897-200",B:AZ,column(ag1),0)*e137</f>
        <v>0</v>
      </c>
      <c r="AI137">
        <f>vlookup("924-718897-200",B:AZ,column(ah1),0)*e137</f>
        <v>0</v>
      </c>
      <c r="AJ137">
        <f>vlookup("924-718897-200",B:AZ,column(ai1),0)*e137</f>
        <v>0</v>
      </c>
      <c r="AK137">
        <f>vlookup("924-718897-200",B:AZ,column(aj1),0)*e137</f>
        <v>0</v>
      </c>
      <c r="AL137">
        <f>vlookup("924-718897-200",B:AZ,column(ak1),0)*e137</f>
        <v>0</v>
      </c>
      <c r="AM137">
        <f>vlookup("924-718897-200",B:AZ,column(al1),0)*e137</f>
        <v>0</v>
      </c>
      <c r="AN137">
        <f>vlookup("924-718897-200",B:AZ,column(am1),0)*e137</f>
        <v>0</v>
      </c>
      <c r="AO137">
        <f>vlookup("924-718897-200",B:AZ,column(an1),0)*e137</f>
        <v>0</v>
      </c>
    </row>
    <row r="138" spans="1:41">
      <c r="A138" t="s">
        <v>22</v>
      </c>
      <c r="B138" t="s">
        <v>165</v>
      </c>
      <c r="C138" t="s">
        <v>166</v>
      </c>
      <c r="E138">
        <v>1</v>
      </c>
      <c r="I138" t="s">
        <v>15</v>
      </c>
      <c r="J138">
        <f>vlookup("924-718897-200",B:AZ,column(i1),0)*e138</f>
        <v>0</v>
      </c>
      <c r="K138">
        <f>vlookup("924-718897-200",B:AZ,column(j1),0)*e138</f>
        <v>0</v>
      </c>
      <c r="L138">
        <f>vlookup("924-718897-200",B:AZ,column(k1),0)*e138</f>
        <v>0</v>
      </c>
      <c r="M138">
        <f>vlookup("924-718897-200",B:AZ,column(l1),0)*e138</f>
        <v>0</v>
      </c>
      <c r="N138">
        <f>vlookup("924-718897-200",B:AZ,column(m1),0)*e138</f>
        <v>0</v>
      </c>
      <c r="O138">
        <f>vlookup("924-718897-200",B:AZ,column(n1),0)*e138</f>
        <v>0</v>
      </c>
      <c r="P138">
        <f>vlookup("924-718897-200",B:AZ,column(o1),0)*e138</f>
        <v>0</v>
      </c>
      <c r="Q138">
        <f>vlookup("924-718897-200",B:AZ,column(p1),0)*e138</f>
        <v>0</v>
      </c>
      <c r="R138">
        <f>vlookup("924-718897-200",B:AZ,column(q1),0)*e138</f>
        <v>0</v>
      </c>
      <c r="S138">
        <f>vlookup("924-718897-200",B:AZ,column(r1),0)*e138</f>
        <v>0</v>
      </c>
      <c r="T138">
        <f>vlookup("924-718897-200",B:AZ,column(s1),0)*e138</f>
        <v>0</v>
      </c>
      <c r="U138">
        <f>vlookup("924-718897-200",B:AZ,column(t1),0)*e138</f>
        <v>0</v>
      </c>
      <c r="V138">
        <f>vlookup("924-718897-200",B:AZ,column(u1),0)*e138</f>
        <v>0</v>
      </c>
      <c r="W138">
        <f>vlookup("924-718897-200",B:AZ,column(v1),0)*e138</f>
        <v>0</v>
      </c>
      <c r="X138">
        <f>vlookup("924-718897-200",B:AZ,column(w1),0)*e138</f>
        <v>0</v>
      </c>
      <c r="Y138">
        <f>vlookup("924-718897-200",B:AZ,column(x1),0)*e138</f>
        <v>0</v>
      </c>
      <c r="Z138">
        <f>vlookup("924-718897-200",B:AZ,column(y1),0)*e138</f>
        <v>0</v>
      </c>
      <c r="AA138">
        <f>vlookup("924-718897-200",B:AZ,column(z1),0)*e138</f>
        <v>0</v>
      </c>
      <c r="AB138">
        <f>vlookup("924-718897-200",B:AZ,column(aa1),0)*e138</f>
        <v>0</v>
      </c>
      <c r="AC138">
        <f>vlookup("924-718897-200",B:AZ,column(ab1),0)*e138</f>
        <v>0</v>
      </c>
      <c r="AD138">
        <f>vlookup("924-718897-200",B:AZ,column(ac1),0)*e138</f>
        <v>0</v>
      </c>
      <c r="AE138">
        <f>vlookup("924-718897-200",B:AZ,column(ad1),0)*e138</f>
        <v>0</v>
      </c>
      <c r="AF138">
        <f>vlookup("924-718897-200",B:AZ,column(ae1),0)*e138</f>
        <v>0</v>
      </c>
      <c r="AG138">
        <f>vlookup("924-718897-200",B:AZ,column(af1),0)*e138</f>
        <v>0</v>
      </c>
      <c r="AH138">
        <f>vlookup("924-718897-200",B:AZ,column(ag1),0)*e138</f>
        <v>0</v>
      </c>
      <c r="AI138">
        <f>vlookup("924-718897-200",B:AZ,column(ah1),0)*e138</f>
        <v>0</v>
      </c>
      <c r="AJ138">
        <f>vlookup("924-718897-200",B:AZ,column(ai1),0)*e138</f>
        <v>0</v>
      </c>
      <c r="AK138">
        <f>vlookup("924-718897-200",B:AZ,column(aj1),0)*e138</f>
        <v>0</v>
      </c>
      <c r="AL138">
        <f>vlookup("924-718897-200",B:AZ,column(ak1),0)*e138</f>
        <v>0</v>
      </c>
      <c r="AM138">
        <f>vlookup("924-718897-200",B:AZ,column(al1),0)*e138</f>
        <v>0</v>
      </c>
      <c r="AN138">
        <f>vlookup("924-718897-200",B:AZ,column(am1),0)*e138</f>
        <v>0</v>
      </c>
      <c r="AO138">
        <f>vlookup("924-718897-200",B:AZ,column(an1),0)*e138</f>
        <v>0</v>
      </c>
    </row>
    <row r="139" spans="1:41">
      <c r="A139" t="s">
        <v>22</v>
      </c>
      <c r="B139" t="s">
        <v>167</v>
      </c>
      <c r="C139" t="s">
        <v>168</v>
      </c>
      <c r="E139">
        <v>1</v>
      </c>
      <c r="I139" t="s">
        <v>15</v>
      </c>
      <c r="J139">
        <f>vlookup("924-718897-200",B:AZ,column(i1),0)*e139</f>
        <v>0</v>
      </c>
      <c r="K139">
        <f>vlookup("924-718897-200",B:AZ,column(j1),0)*e139</f>
        <v>0</v>
      </c>
      <c r="L139">
        <f>vlookup("924-718897-200",B:AZ,column(k1),0)*e139</f>
        <v>0</v>
      </c>
      <c r="M139">
        <f>vlookup("924-718897-200",B:AZ,column(l1),0)*e139</f>
        <v>0</v>
      </c>
      <c r="N139">
        <f>vlookup("924-718897-200",B:AZ,column(m1),0)*e139</f>
        <v>0</v>
      </c>
      <c r="O139">
        <f>vlookup("924-718897-200",B:AZ,column(n1),0)*e139</f>
        <v>0</v>
      </c>
      <c r="P139">
        <f>vlookup("924-718897-200",B:AZ,column(o1),0)*e139</f>
        <v>0</v>
      </c>
      <c r="Q139">
        <f>vlookup("924-718897-200",B:AZ,column(p1),0)*e139</f>
        <v>0</v>
      </c>
      <c r="R139">
        <f>vlookup("924-718897-200",B:AZ,column(q1),0)*e139</f>
        <v>0</v>
      </c>
      <c r="S139">
        <f>vlookup("924-718897-200",B:AZ,column(r1),0)*e139</f>
        <v>0</v>
      </c>
      <c r="T139">
        <f>vlookup("924-718897-200",B:AZ,column(s1),0)*e139</f>
        <v>0</v>
      </c>
      <c r="U139">
        <f>vlookup("924-718897-200",B:AZ,column(t1),0)*e139</f>
        <v>0</v>
      </c>
      <c r="V139">
        <f>vlookup("924-718897-200",B:AZ,column(u1),0)*e139</f>
        <v>0</v>
      </c>
      <c r="W139">
        <f>vlookup("924-718897-200",B:AZ,column(v1),0)*e139</f>
        <v>0</v>
      </c>
      <c r="X139">
        <f>vlookup("924-718897-200",B:AZ,column(w1),0)*e139</f>
        <v>0</v>
      </c>
      <c r="Y139">
        <f>vlookup("924-718897-200",B:AZ,column(x1),0)*e139</f>
        <v>0</v>
      </c>
      <c r="Z139">
        <f>vlookup("924-718897-200",B:AZ,column(y1),0)*e139</f>
        <v>0</v>
      </c>
      <c r="AA139">
        <f>vlookup("924-718897-200",B:AZ,column(z1),0)*e139</f>
        <v>0</v>
      </c>
      <c r="AB139">
        <f>vlookup("924-718897-200",B:AZ,column(aa1),0)*e139</f>
        <v>0</v>
      </c>
      <c r="AC139">
        <f>vlookup("924-718897-200",B:AZ,column(ab1),0)*e139</f>
        <v>0</v>
      </c>
      <c r="AD139">
        <f>vlookup("924-718897-200",B:AZ,column(ac1),0)*e139</f>
        <v>0</v>
      </c>
      <c r="AE139">
        <f>vlookup("924-718897-200",B:AZ,column(ad1),0)*e139</f>
        <v>0</v>
      </c>
      <c r="AF139">
        <f>vlookup("924-718897-200",B:AZ,column(ae1),0)*e139</f>
        <v>0</v>
      </c>
      <c r="AG139">
        <f>vlookup("924-718897-200",B:AZ,column(af1),0)*e139</f>
        <v>0</v>
      </c>
      <c r="AH139">
        <f>vlookup("924-718897-200",B:AZ,column(ag1),0)*e139</f>
        <v>0</v>
      </c>
      <c r="AI139">
        <f>vlookup("924-718897-200",B:AZ,column(ah1),0)*e139</f>
        <v>0</v>
      </c>
      <c r="AJ139">
        <f>vlookup("924-718897-200",B:AZ,column(ai1),0)*e139</f>
        <v>0</v>
      </c>
      <c r="AK139">
        <f>vlookup("924-718897-200",B:AZ,column(aj1),0)*e139</f>
        <v>0</v>
      </c>
      <c r="AL139">
        <f>vlookup("924-718897-200",B:AZ,column(ak1),0)*e139</f>
        <v>0</v>
      </c>
      <c r="AM139">
        <f>vlookup("924-718897-200",B:AZ,column(al1),0)*e139</f>
        <v>0</v>
      </c>
      <c r="AN139">
        <f>vlookup("924-718897-200",B:AZ,column(am1),0)*e139</f>
        <v>0</v>
      </c>
      <c r="AO139">
        <f>vlookup("924-718897-200",B:AZ,column(an1),0)*e139</f>
        <v>0</v>
      </c>
    </row>
    <row r="140" spans="1:41">
      <c r="A140" t="s">
        <v>22</v>
      </c>
      <c r="B140" t="s">
        <v>169</v>
      </c>
      <c r="C140" t="s">
        <v>170</v>
      </c>
      <c r="E140">
        <v>2</v>
      </c>
      <c r="I140" t="s">
        <v>15</v>
      </c>
      <c r="J140">
        <f>vlookup("924-718897-200",B:AZ,column(i1),0)*e140</f>
        <v>0</v>
      </c>
      <c r="K140">
        <f>vlookup("924-718897-200",B:AZ,column(j1),0)*e140</f>
        <v>0</v>
      </c>
      <c r="L140">
        <f>vlookup("924-718897-200",B:AZ,column(k1),0)*e140</f>
        <v>0</v>
      </c>
      <c r="M140">
        <f>vlookup("924-718897-200",B:AZ,column(l1),0)*e140</f>
        <v>0</v>
      </c>
      <c r="N140">
        <f>vlookup("924-718897-200",B:AZ,column(m1),0)*e140</f>
        <v>0</v>
      </c>
      <c r="O140">
        <f>vlookup("924-718897-200",B:AZ,column(n1),0)*e140</f>
        <v>0</v>
      </c>
      <c r="P140">
        <f>vlookup("924-718897-200",B:AZ,column(o1),0)*e140</f>
        <v>0</v>
      </c>
      <c r="Q140">
        <f>vlookup("924-718897-200",B:AZ,column(p1),0)*e140</f>
        <v>0</v>
      </c>
      <c r="R140">
        <f>vlookup("924-718897-200",B:AZ,column(q1),0)*e140</f>
        <v>0</v>
      </c>
      <c r="S140">
        <f>vlookup("924-718897-200",B:AZ,column(r1),0)*e140</f>
        <v>0</v>
      </c>
      <c r="T140">
        <f>vlookup("924-718897-200",B:AZ,column(s1),0)*e140</f>
        <v>0</v>
      </c>
      <c r="U140">
        <f>vlookup("924-718897-200",B:AZ,column(t1),0)*e140</f>
        <v>0</v>
      </c>
      <c r="V140">
        <f>vlookup("924-718897-200",B:AZ,column(u1),0)*e140</f>
        <v>0</v>
      </c>
      <c r="W140">
        <f>vlookup("924-718897-200",B:AZ,column(v1),0)*e140</f>
        <v>0</v>
      </c>
      <c r="X140">
        <f>vlookup("924-718897-200",B:AZ,column(w1),0)*e140</f>
        <v>0</v>
      </c>
      <c r="Y140">
        <f>vlookup("924-718897-200",B:AZ,column(x1),0)*e140</f>
        <v>0</v>
      </c>
      <c r="Z140">
        <f>vlookup("924-718897-200",B:AZ,column(y1),0)*e140</f>
        <v>0</v>
      </c>
      <c r="AA140">
        <f>vlookup("924-718897-200",B:AZ,column(z1),0)*e140</f>
        <v>0</v>
      </c>
      <c r="AB140">
        <f>vlookup("924-718897-200",B:AZ,column(aa1),0)*e140</f>
        <v>0</v>
      </c>
      <c r="AC140">
        <f>vlookup("924-718897-200",B:AZ,column(ab1),0)*e140</f>
        <v>0</v>
      </c>
      <c r="AD140">
        <f>vlookup("924-718897-200",B:AZ,column(ac1),0)*e140</f>
        <v>0</v>
      </c>
      <c r="AE140">
        <f>vlookup("924-718897-200",B:AZ,column(ad1),0)*e140</f>
        <v>0</v>
      </c>
      <c r="AF140">
        <f>vlookup("924-718897-200",B:AZ,column(ae1),0)*e140</f>
        <v>0</v>
      </c>
      <c r="AG140">
        <f>vlookup("924-718897-200",B:AZ,column(af1),0)*e140</f>
        <v>0</v>
      </c>
      <c r="AH140">
        <f>vlookup("924-718897-200",B:AZ,column(ag1),0)*e140</f>
        <v>0</v>
      </c>
      <c r="AI140">
        <f>vlookup("924-718897-200",B:AZ,column(ah1),0)*e140</f>
        <v>0</v>
      </c>
      <c r="AJ140">
        <f>vlookup("924-718897-200",B:AZ,column(ai1),0)*e140</f>
        <v>0</v>
      </c>
      <c r="AK140">
        <f>vlookup("924-718897-200",B:AZ,column(aj1),0)*e140</f>
        <v>0</v>
      </c>
      <c r="AL140">
        <f>vlookup("924-718897-200",B:AZ,column(ak1),0)*e140</f>
        <v>0</v>
      </c>
      <c r="AM140">
        <f>vlookup("924-718897-200",B:AZ,column(al1),0)*e140</f>
        <v>0</v>
      </c>
      <c r="AN140">
        <f>vlookup("924-718897-200",B:AZ,column(am1),0)*e140</f>
        <v>0</v>
      </c>
      <c r="AO140">
        <f>vlookup("924-718897-200",B:AZ,column(an1),0)*e140</f>
        <v>0</v>
      </c>
    </row>
    <row r="141" spans="1:41">
      <c r="A141" t="s">
        <v>22</v>
      </c>
      <c r="B141" t="s">
        <v>171</v>
      </c>
      <c r="C141" t="s">
        <v>172</v>
      </c>
      <c r="E141">
        <v>1</v>
      </c>
      <c r="I141" t="s">
        <v>15</v>
      </c>
      <c r="J141">
        <f>vlookup("924-718897-200",B:AZ,column(i1),0)*e141</f>
        <v>0</v>
      </c>
      <c r="K141">
        <f>vlookup("924-718897-200",B:AZ,column(j1),0)*e141</f>
        <v>0</v>
      </c>
      <c r="L141">
        <f>vlookup("924-718897-200",B:AZ,column(k1),0)*e141</f>
        <v>0</v>
      </c>
      <c r="M141">
        <f>vlookup("924-718897-200",B:AZ,column(l1),0)*e141</f>
        <v>0</v>
      </c>
      <c r="N141">
        <f>vlookup("924-718897-200",B:AZ,column(m1),0)*e141</f>
        <v>0</v>
      </c>
      <c r="O141">
        <f>vlookup("924-718897-200",B:AZ,column(n1),0)*e141</f>
        <v>0</v>
      </c>
      <c r="P141">
        <f>vlookup("924-718897-200",B:AZ,column(o1),0)*e141</f>
        <v>0</v>
      </c>
      <c r="Q141">
        <f>vlookup("924-718897-200",B:AZ,column(p1),0)*e141</f>
        <v>0</v>
      </c>
      <c r="R141">
        <f>vlookup("924-718897-200",B:AZ,column(q1),0)*e141</f>
        <v>0</v>
      </c>
      <c r="S141">
        <f>vlookup("924-718897-200",B:AZ,column(r1),0)*e141</f>
        <v>0</v>
      </c>
      <c r="T141">
        <f>vlookup("924-718897-200",B:AZ,column(s1),0)*e141</f>
        <v>0</v>
      </c>
      <c r="U141">
        <f>vlookup("924-718897-200",B:AZ,column(t1),0)*e141</f>
        <v>0</v>
      </c>
      <c r="V141">
        <f>vlookup("924-718897-200",B:AZ,column(u1),0)*e141</f>
        <v>0</v>
      </c>
      <c r="W141">
        <f>vlookup("924-718897-200",B:AZ,column(v1),0)*e141</f>
        <v>0</v>
      </c>
      <c r="X141">
        <f>vlookup("924-718897-200",B:AZ,column(w1),0)*e141</f>
        <v>0</v>
      </c>
      <c r="Y141">
        <f>vlookup("924-718897-200",B:AZ,column(x1),0)*e141</f>
        <v>0</v>
      </c>
      <c r="Z141">
        <f>vlookup("924-718897-200",B:AZ,column(y1),0)*e141</f>
        <v>0</v>
      </c>
      <c r="AA141">
        <f>vlookup("924-718897-200",B:AZ,column(z1),0)*e141</f>
        <v>0</v>
      </c>
      <c r="AB141">
        <f>vlookup("924-718897-200",B:AZ,column(aa1),0)*e141</f>
        <v>0</v>
      </c>
      <c r="AC141">
        <f>vlookup("924-718897-200",B:AZ,column(ab1),0)*e141</f>
        <v>0</v>
      </c>
      <c r="AD141">
        <f>vlookup("924-718897-200",B:AZ,column(ac1),0)*e141</f>
        <v>0</v>
      </c>
      <c r="AE141">
        <f>vlookup("924-718897-200",B:AZ,column(ad1),0)*e141</f>
        <v>0</v>
      </c>
      <c r="AF141">
        <f>vlookup("924-718897-200",B:AZ,column(ae1),0)*e141</f>
        <v>0</v>
      </c>
      <c r="AG141">
        <f>vlookup("924-718897-200",B:AZ,column(af1),0)*e141</f>
        <v>0</v>
      </c>
      <c r="AH141">
        <f>vlookup("924-718897-200",B:AZ,column(ag1),0)*e141</f>
        <v>0</v>
      </c>
      <c r="AI141">
        <f>vlookup("924-718897-200",B:AZ,column(ah1),0)*e141</f>
        <v>0</v>
      </c>
      <c r="AJ141">
        <f>vlookup("924-718897-200",B:AZ,column(ai1),0)*e141</f>
        <v>0</v>
      </c>
      <c r="AK141">
        <f>vlookup("924-718897-200",B:AZ,column(aj1),0)*e141</f>
        <v>0</v>
      </c>
      <c r="AL141">
        <f>vlookup("924-718897-200",B:AZ,column(ak1),0)*e141</f>
        <v>0</v>
      </c>
      <c r="AM141">
        <f>vlookup("924-718897-200",B:AZ,column(al1),0)*e141</f>
        <v>0</v>
      </c>
      <c r="AN141">
        <f>vlookup("924-718897-200",B:AZ,column(am1),0)*e141</f>
        <v>0</v>
      </c>
      <c r="AO141">
        <f>vlookup("924-718897-200",B:AZ,column(an1),0)*e141</f>
        <v>0</v>
      </c>
    </row>
    <row r="142" spans="1:41">
      <c r="A142" t="s">
        <v>22</v>
      </c>
      <c r="B142" t="s">
        <v>173</v>
      </c>
      <c r="C142" t="s">
        <v>174</v>
      </c>
      <c r="E142">
        <v>1</v>
      </c>
      <c r="I142" t="s">
        <v>15</v>
      </c>
      <c r="J142">
        <f>vlookup("924-718897-200",B:AZ,column(i1),0)*e142</f>
        <v>0</v>
      </c>
      <c r="K142">
        <f>vlookup("924-718897-200",B:AZ,column(j1),0)*e142</f>
        <v>0</v>
      </c>
      <c r="L142">
        <f>vlookup("924-718897-200",B:AZ,column(k1),0)*e142</f>
        <v>0</v>
      </c>
      <c r="M142">
        <f>vlookup("924-718897-200",B:AZ,column(l1),0)*e142</f>
        <v>0</v>
      </c>
      <c r="N142">
        <f>vlookup("924-718897-200",B:AZ,column(m1),0)*e142</f>
        <v>0</v>
      </c>
      <c r="O142">
        <f>vlookup("924-718897-200",B:AZ,column(n1),0)*e142</f>
        <v>0</v>
      </c>
      <c r="P142">
        <f>vlookup("924-718897-200",B:AZ,column(o1),0)*e142</f>
        <v>0</v>
      </c>
      <c r="Q142">
        <f>vlookup("924-718897-200",B:AZ,column(p1),0)*e142</f>
        <v>0</v>
      </c>
      <c r="R142">
        <f>vlookup("924-718897-200",B:AZ,column(q1),0)*e142</f>
        <v>0</v>
      </c>
      <c r="S142">
        <f>vlookup("924-718897-200",B:AZ,column(r1),0)*e142</f>
        <v>0</v>
      </c>
      <c r="T142">
        <f>vlookup("924-718897-200",B:AZ,column(s1),0)*e142</f>
        <v>0</v>
      </c>
      <c r="U142">
        <f>vlookup("924-718897-200",B:AZ,column(t1),0)*e142</f>
        <v>0</v>
      </c>
      <c r="V142">
        <f>vlookup("924-718897-200",B:AZ,column(u1),0)*e142</f>
        <v>0</v>
      </c>
      <c r="W142">
        <f>vlookup("924-718897-200",B:AZ,column(v1),0)*e142</f>
        <v>0</v>
      </c>
      <c r="X142">
        <f>vlookup("924-718897-200",B:AZ,column(w1),0)*e142</f>
        <v>0</v>
      </c>
      <c r="Y142">
        <f>vlookup("924-718897-200",B:AZ,column(x1),0)*e142</f>
        <v>0</v>
      </c>
      <c r="Z142">
        <f>vlookup("924-718897-200",B:AZ,column(y1),0)*e142</f>
        <v>0</v>
      </c>
      <c r="AA142">
        <f>vlookup("924-718897-200",B:AZ,column(z1),0)*e142</f>
        <v>0</v>
      </c>
      <c r="AB142">
        <f>vlookup("924-718897-200",B:AZ,column(aa1),0)*e142</f>
        <v>0</v>
      </c>
      <c r="AC142">
        <f>vlookup("924-718897-200",B:AZ,column(ab1),0)*e142</f>
        <v>0</v>
      </c>
      <c r="AD142">
        <f>vlookup("924-718897-200",B:AZ,column(ac1),0)*e142</f>
        <v>0</v>
      </c>
      <c r="AE142">
        <f>vlookup("924-718897-200",B:AZ,column(ad1),0)*e142</f>
        <v>0</v>
      </c>
      <c r="AF142">
        <f>vlookup("924-718897-200",B:AZ,column(ae1),0)*e142</f>
        <v>0</v>
      </c>
      <c r="AG142">
        <f>vlookup("924-718897-200",B:AZ,column(af1),0)*e142</f>
        <v>0</v>
      </c>
      <c r="AH142">
        <f>vlookup("924-718897-200",B:AZ,column(ag1),0)*e142</f>
        <v>0</v>
      </c>
      <c r="AI142">
        <f>vlookup("924-718897-200",B:AZ,column(ah1),0)*e142</f>
        <v>0</v>
      </c>
      <c r="AJ142">
        <f>vlookup("924-718897-200",B:AZ,column(ai1),0)*e142</f>
        <v>0</v>
      </c>
      <c r="AK142">
        <f>vlookup("924-718897-200",B:AZ,column(aj1),0)*e142</f>
        <v>0</v>
      </c>
      <c r="AL142">
        <f>vlookup("924-718897-200",B:AZ,column(ak1),0)*e142</f>
        <v>0</v>
      </c>
      <c r="AM142">
        <f>vlookup("924-718897-200",B:AZ,column(al1),0)*e142</f>
        <v>0</v>
      </c>
      <c r="AN142">
        <f>vlookup("924-718897-200",B:AZ,column(am1),0)*e142</f>
        <v>0</v>
      </c>
      <c r="AO142">
        <f>vlookup("924-718897-200",B:AZ,column(an1),0)*e142</f>
        <v>0</v>
      </c>
    </row>
    <row r="143" spans="1:41">
      <c r="A143" t="s">
        <v>10</v>
      </c>
      <c r="B143" t="s">
        <v>179</v>
      </c>
      <c r="C143" t="s">
        <v>162</v>
      </c>
      <c r="E143">
        <v>1</v>
      </c>
      <c r="I143" t="s">
        <v>14</v>
      </c>
      <c r="AO143">
        <f>sum(j143:an143)</f>
        <v>0</v>
      </c>
    </row>
    <row r="144" spans="1:41">
      <c r="I144" t="s">
        <v>15</v>
      </c>
      <c r="J144">
        <f>vlookup("924-718057-100",Out!B:AZ,column(i1),0)</f>
        <v>0</v>
      </c>
      <c r="K144">
        <f>vlookup("924-718057-100",Out!B:AZ,column(j1),0)</f>
        <v>0</v>
      </c>
      <c r="L144">
        <f>vlookup("924-718057-100",Out!B:AZ,column(k1),0)</f>
        <v>0</v>
      </c>
      <c r="M144">
        <f>vlookup("924-718057-100",Out!B:AZ,column(l1),0)</f>
        <v>0</v>
      </c>
      <c r="N144">
        <f>vlookup("924-718057-100",Out!B:AZ,column(m1),0)</f>
        <v>0</v>
      </c>
      <c r="O144">
        <f>vlookup("924-718057-100",Out!B:AZ,column(n1),0)</f>
        <v>0</v>
      </c>
      <c r="P144">
        <f>vlookup("924-718057-100",Out!B:AZ,column(o1),0)</f>
        <v>0</v>
      </c>
      <c r="Q144">
        <f>vlookup("924-718057-100",Out!B:AZ,column(p1),0)</f>
        <v>0</v>
      </c>
      <c r="R144">
        <f>vlookup("924-718057-100",Out!B:AZ,column(q1),0)</f>
        <v>0</v>
      </c>
      <c r="S144">
        <f>vlookup("924-718057-100",Out!B:AZ,column(r1),0)</f>
        <v>0</v>
      </c>
      <c r="T144">
        <f>vlookup("924-718057-100",Out!B:AZ,column(s1),0)</f>
        <v>0</v>
      </c>
      <c r="U144">
        <f>vlookup("924-718057-100",Out!B:AZ,column(t1),0)</f>
        <v>0</v>
      </c>
      <c r="V144">
        <f>vlookup("924-718057-100",Out!B:AZ,column(u1),0)</f>
        <v>0</v>
      </c>
      <c r="W144">
        <f>vlookup("924-718057-100",Out!B:AZ,column(v1),0)</f>
        <v>0</v>
      </c>
      <c r="X144">
        <f>vlookup("924-718057-100",Out!B:AZ,column(w1),0)</f>
        <v>0</v>
      </c>
      <c r="Y144">
        <f>vlookup("924-718057-100",Out!B:AZ,column(x1),0)</f>
        <v>0</v>
      </c>
      <c r="Z144">
        <f>vlookup("924-718057-100",Out!B:AZ,column(y1),0)</f>
        <v>0</v>
      </c>
      <c r="AA144">
        <f>vlookup("924-718057-100",Out!B:AZ,column(z1),0)</f>
        <v>0</v>
      </c>
      <c r="AB144">
        <f>vlookup("924-718057-100",Out!B:AZ,column(aa1),0)</f>
        <v>0</v>
      </c>
      <c r="AC144">
        <f>vlookup("924-718057-100",Out!B:AZ,column(ab1),0)</f>
        <v>0</v>
      </c>
      <c r="AD144">
        <f>vlookup("924-718057-100",Out!B:AZ,column(ac1),0)</f>
        <v>0</v>
      </c>
      <c r="AE144">
        <f>vlookup("924-718057-100",Out!B:AZ,column(ad1),0)</f>
        <v>0</v>
      </c>
      <c r="AF144">
        <f>vlookup("924-718057-100",Out!B:AZ,column(ae1),0)</f>
        <v>0</v>
      </c>
      <c r="AG144">
        <f>vlookup("924-718057-100",Out!B:AZ,column(af1),0)</f>
        <v>0</v>
      </c>
      <c r="AH144">
        <f>vlookup("924-718057-100",Out!B:AZ,column(ag1),0)</f>
        <v>0</v>
      </c>
      <c r="AI144">
        <f>vlookup("924-718057-100",Out!B:AZ,column(ah1),0)</f>
        <v>0</v>
      </c>
      <c r="AJ144">
        <f>vlookup("924-718057-100",Out!B:AZ,column(ai1),0)</f>
        <v>0</v>
      </c>
      <c r="AK144">
        <f>vlookup("924-718057-100",Out!B:AZ,column(aj1),0)</f>
        <v>0</v>
      </c>
      <c r="AL144">
        <f>vlookup("924-718057-100",Out!B:AZ,column(ak1),0)</f>
        <v>0</v>
      </c>
      <c r="AM144">
        <f>vlookup("924-718057-100",Out!B:AZ,column(al1),0)</f>
        <v>0</v>
      </c>
      <c r="AN144">
        <f>vlookup("924-718057-100",Out!B:AZ,column(am1),0)</f>
        <v>0</v>
      </c>
      <c r="AO144">
        <f>vlookup("924-718057-100",Out!B:AZ,column(an1),0)</f>
        <v>0</v>
      </c>
    </row>
    <row r="145" spans="1:41">
      <c r="H145" t="s">
        <v>16</v>
      </c>
      <c r="J145">
        <f>indirect(address(145,9))+indirect(address(143,10))-indirect(address(144,10))</f>
        <v>0</v>
      </c>
      <c r="K145">
        <f>indirect(address(145,10))+indirect(address(143,11))-indirect(address(144,11))</f>
        <v>0</v>
      </c>
      <c r="L145">
        <f>indirect(address(145,11))+indirect(address(143,12))-indirect(address(144,12))</f>
        <v>0</v>
      </c>
      <c r="M145">
        <f>indirect(address(145,12))+indirect(address(143,13))-indirect(address(144,13))</f>
        <v>0</v>
      </c>
      <c r="N145">
        <f>indirect(address(145,13))+indirect(address(143,14))-indirect(address(144,14))</f>
        <v>0</v>
      </c>
      <c r="O145">
        <f>indirect(address(145,14))+indirect(address(143,15))-indirect(address(144,15))</f>
        <v>0</v>
      </c>
      <c r="P145">
        <f>indirect(address(145,15))+indirect(address(143,16))-indirect(address(144,16))</f>
        <v>0</v>
      </c>
      <c r="Q145">
        <f>indirect(address(145,16))+indirect(address(143,17))-indirect(address(144,17))</f>
        <v>0</v>
      </c>
      <c r="R145">
        <f>indirect(address(145,17))+indirect(address(143,18))-indirect(address(144,18))</f>
        <v>0</v>
      </c>
      <c r="S145">
        <f>indirect(address(145,18))+indirect(address(143,19))-indirect(address(144,19))</f>
        <v>0</v>
      </c>
      <c r="T145">
        <f>indirect(address(145,19))+indirect(address(143,20))-indirect(address(144,20))</f>
        <v>0</v>
      </c>
      <c r="U145">
        <f>indirect(address(145,20))+indirect(address(143,21))-indirect(address(144,21))</f>
        <v>0</v>
      </c>
      <c r="V145">
        <f>indirect(address(145,21))+indirect(address(143,22))-indirect(address(144,22))</f>
        <v>0</v>
      </c>
      <c r="W145">
        <f>indirect(address(145,22))+indirect(address(143,23))-indirect(address(144,23))</f>
        <v>0</v>
      </c>
      <c r="X145">
        <f>indirect(address(145,23))+indirect(address(143,24))-indirect(address(144,24))</f>
        <v>0</v>
      </c>
      <c r="Y145">
        <f>indirect(address(145,24))+indirect(address(143,25))-indirect(address(144,25))</f>
        <v>0</v>
      </c>
      <c r="Z145">
        <f>indirect(address(145,25))+indirect(address(143,26))-indirect(address(144,26))</f>
        <v>0</v>
      </c>
      <c r="AA145">
        <f>indirect(address(145,26))+indirect(address(143,27))-indirect(address(144,27))</f>
        <v>0</v>
      </c>
      <c r="AB145">
        <f>indirect(address(145,27))+indirect(address(143,28))-indirect(address(144,28))</f>
        <v>0</v>
      </c>
      <c r="AC145">
        <f>indirect(address(145,28))+indirect(address(143,29))-indirect(address(144,29))</f>
        <v>0</v>
      </c>
      <c r="AD145">
        <f>indirect(address(145,29))+indirect(address(143,30))-indirect(address(144,30))</f>
        <v>0</v>
      </c>
      <c r="AE145">
        <f>indirect(address(145,30))+indirect(address(143,31))-indirect(address(144,31))</f>
        <v>0</v>
      </c>
      <c r="AF145">
        <f>indirect(address(145,31))+indirect(address(143,32))-indirect(address(144,32))</f>
        <v>0</v>
      </c>
      <c r="AG145">
        <f>indirect(address(145,32))+indirect(address(143,33))-indirect(address(144,33))</f>
        <v>0</v>
      </c>
      <c r="AH145">
        <f>indirect(address(145,33))+indirect(address(143,34))-indirect(address(144,34))</f>
        <v>0</v>
      </c>
      <c r="AI145">
        <f>indirect(address(145,34))+indirect(address(143,35))-indirect(address(144,35))</f>
        <v>0</v>
      </c>
      <c r="AJ145">
        <f>indirect(address(145,35))+indirect(address(143,36))-indirect(address(144,36))</f>
        <v>0</v>
      </c>
      <c r="AK145">
        <f>indirect(address(145,36))+indirect(address(143,37))-indirect(address(144,37))</f>
        <v>0</v>
      </c>
      <c r="AL145">
        <f>indirect(address(145,37))+indirect(address(143,38))-indirect(address(144,38))</f>
        <v>0</v>
      </c>
      <c r="AM145">
        <f>indirect(address(145,38))+indirect(address(143,39))-indirect(address(144,39))</f>
        <v>0</v>
      </c>
      <c r="AN145">
        <f>indirect(address(145,39))+indirect(address(143,40))-indirect(address(144,40))</f>
        <v>0</v>
      </c>
      <c r="AO145">
        <f>indirect(address(145,40))</f>
        <v>0</v>
      </c>
    </row>
    <row r="146" spans="1:41">
      <c r="A146" t="s">
        <v>17</v>
      </c>
      <c r="B146" t="s">
        <v>180</v>
      </c>
      <c r="C146" t="s">
        <v>164</v>
      </c>
      <c r="E146">
        <v>1</v>
      </c>
      <c r="I146" t="s">
        <v>15</v>
      </c>
      <c r="J146">
        <f>vlookup("924-718057-100",B:AZ,column(i1),0)*e146</f>
        <v>0</v>
      </c>
      <c r="K146">
        <f>vlookup("924-718057-100",B:AZ,column(j1),0)*e146</f>
        <v>0</v>
      </c>
      <c r="L146">
        <f>vlookup("924-718057-100",B:AZ,column(k1),0)*e146</f>
        <v>0</v>
      </c>
      <c r="M146">
        <f>vlookup("924-718057-100",B:AZ,column(l1),0)*e146</f>
        <v>0</v>
      </c>
      <c r="N146">
        <f>vlookup("924-718057-100",B:AZ,column(m1),0)*e146</f>
        <v>0</v>
      </c>
      <c r="O146">
        <f>vlookup("924-718057-100",B:AZ,column(n1),0)*e146</f>
        <v>0</v>
      </c>
      <c r="P146">
        <f>vlookup("924-718057-100",B:AZ,column(o1),0)*e146</f>
        <v>0</v>
      </c>
      <c r="Q146">
        <f>vlookup("924-718057-100",B:AZ,column(p1),0)*e146</f>
        <v>0</v>
      </c>
      <c r="R146">
        <f>vlookup("924-718057-100",B:AZ,column(q1),0)*e146</f>
        <v>0</v>
      </c>
      <c r="S146">
        <f>vlookup("924-718057-100",B:AZ,column(r1),0)*e146</f>
        <v>0</v>
      </c>
      <c r="T146">
        <f>vlookup("924-718057-100",B:AZ,column(s1),0)*e146</f>
        <v>0</v>
      </c>
      <c r="U146">
        <f>vlookup("924-718057-100",B:AZ,column(t1),0)*e146</f>
        <v>0</v>
      </c>
      <c r="V146">
        <f>vlookup("924-718057-100",B:AZ,column(u1),0)*e146</f>
        <v>0</v>
      </c>
      <c r="W146">
        <f>vlookup("924-718057-100",B:AZ,column(v1),0)*e146</f>
        <v>0</v>
      </c>
      <c r="X146">
        <f>vlookup("924-718057-100",B:AZ,column(w1),0)*e146</f>
        <v>0</v>
      </c>
      <c r="Y146">
        <f>vlookup("924-718057-100",B:AZ,column(x1),0)*e146</f>
        <v>0</v>
      </c>
      <c r="Z146">
        <f>vlookup("924-718057-100",B:AZ,column(y1),0)*e146</f>
        <v>0</v>
      </c>
      <c r="AA146">
        <f>vlookup("924-718057-100",B:AZ,column(z1),0)*e146</f>
        <v>0</v>
      </c>
      <c r="AB146">
        <f>vlookup("924-718057-100",B:AZ,column(aa1),0)*e146</f>
        <v>0</v>
      </c>
      <c r="AC146">
        <f>vlookup("924-718057-100",B:AZ,column(ab1),0)*e146</f>
        <v>0</v>
      </c>
      <c r="AD146">
        <f>vlookup("924-718057-100",B:AZ,column(ac1),0)*e146</f>
        <v>0</v>
      </c>
      <c r="AE146">
        <f>vlookup("924-718057-100",B:AZ,column(ad1),0)*e146</f>
        <v>0</v>
      </c>
      <c r="AF146">
        <f>vlookup("924-718057-100",B:AZ,column(ae1),0)*e146</f>
        <v>0</v>
      </c>
      <c r="AG146">
        <f>vlookup("924-718057-100",B:AZ,column(af1),0)*e146</f>
        <v>0</v>
      </c>
      <c r="AH146">
        <f>vlookup("924-718057-100",B:AZ,column(ag1),0)*e146</f>
        <v>0</v>
      </c>
      <c r="AI146">
        <f>vlookup("924-718057-100",B:AZ,column(ah1),0)*e146</f>
        <v>0</v>
      </c>
      <c r="AJ146">
        <f>vlookup("924-718057-100",B:AZ,column(ai1),0)*e146</f>
        <v>0</v>
      </c>
      <c r="AK146">
        <f>vlookup("924-718057-100",B:AZ,column(aj1),0)*e146</f>
        <v>0</v>
      </c>
      <c r="AL146">
        <f>vlookup("924-718057-100",B:AZ,column(ak1),0)*e146</f>
        <v>0</v>
      </c>
      <c r="AM146">
        <f>vlookup("924-718057-100",B:AZ,column(al1),0)*e146</f>
        <v>0</v>
      </c>
      <c r="AN146">
        <f>vlookup("924-718057-100",B:AZ,column(am1),0)*e146</f>
        <v>0</v>
      </c>
      <c r="AO146">
        <f>vlookup("924-718057-100",B:AZ,column(an1),0)*e146</f>
        <v>0</v>
      </c>
    </row>
    <row r="147" spans="1:41">
      <c r="A147" t="s">
        <v>22</v>
      </c>
      <c r="B147" t="s">
        <v>165</v>
      </c>
      <c r="C147" t="s">
        <v>166</v>
      </c>
      <c r="E147">
        <v>1</v>
      </c>
      <c r="I147" t="s">
        <v>15</v>
      </c>
      <c r="J147">
        <f>vlookup("924-718057-100",B:AZ,column(i1),0)*e147</f>
        <v>0</v>
      </c>
      <c r="K147">
        <f>vlookup("924-718057-100",B:AZ,column(j1),0)*e147</f>
        <v>0</v>
      </c>
      <c r="L147">
        <f>vlookup("924-718057-100",B:AZ,column(k1),0)*e147</f>
        <v>0</v>
      </c>
      <c r="M147">
        <f>vlookup("924-718057-100",B:AZ,column(l1),0)*e147</f>
        <v>0</v>
      </c>
      <c r="N147">
        <f>vlookup("924-718057-100",B:AZ,column(m1),0)*e147</f>
        <v>0</v>
      </c>
      <c r="O147">
        <f>vlookup("924-718057-100",B:AZ,column(n1),0)*e147</f>
        <v>0</v>
      </c>
      <c r="P147">
        <f>vlookup("924-718057-100",B:AZ,column(o1),0)*e147</f>
        <v>0</v>
      </c>
      <c r="Q147">
        <f>vlookup("924-718057-100",B:AZ,column(p1),0)*e147</f>
        <v>0</v>
      </c>
      <c r="R147">
        <f>vlookup("924-718057-100",B:AZ,column(q1),0)*e147</f>
        <v>0</v>
      </c>
      <c r="S147">
        <f>vlookup("924-718057-100",B:AZ,column(r1),0)*e147</f>
        <v>0</v>
      </c>
      <c r="T147">
        <f>vlookup("924-718057-100",B:AZ,column(s1),0)*e147</f>
        <v>0</v>
      </c>
      <c r="U147">
        <f>vlookup("924-718057-100",B:AZ,column(t1),0)*e147</f>
        <v>0</v>
      </c>
      <c r="V147">
        <f>vlookup("924-718057-100",B:AZ,column(u1),0)*e147</f>
        <v>0</v>
      </c>
      <c r="W147">
        <f>vlookup("924-718057-100",B:AZ,column(v1),0)*e147</f>
        <v>0</v>
      </c>
      <c r="X147">
        <f>vlookup("924-718057-100",B:AZ,column(w1),0)*e147</f>
        <v>0</v>
      </c>
      <c r="Y147">
        <f>vlookup("924-718057-100",B:AZ,column(x1),0)*e147</f>
        <v>0</v>
      </c>
      <c r="Z147">
        <f>vlookup("924-718057-100",B:AZ,column(y1),0)*e147</f>
        <v>0</v>
      </c>
      <c r="AA147">
        <f>vlookup("924-718057-100",B:AZ,column(z1),0)*e147</f>
        <v>0</v>
      </c>
      <c r="AB147">
        <f>vlookup("924-718057-100",B:AZ,column(aa1),0)*e147</f>
        <v>0</v>
      </c>
      <c r="AC147">
        <f>vlookup("924-718057-100",B:AZ,column(ab1),0)*e147</f>
        <v>0</v>
      </c>
      <c r="AD147">
        <f>vlookup("924-718057-100",B:AZ,column(ac1),0)*e147</f>
        <v>0</v>
      </c>
      <c r="AE147">
        <f>vlookup("924-718057-100",B:AZ,column(ad1),0)*e147</f>
        <v>0</v>
      </c>
      <c r="AF147">
        <f>vlookup("924-718057-100",B:AZ,column(ae1),0)*e147</f>
        <v>0</v>
      </c>
      <c r="AG147">
        <f>vlookup("924-718057-100",B:AZ,column(af1),0)*e147</f>
        <v>0</v>
      </c>
      <c r="AH147">
        <f>vlookup("924-718057-100",B:AZ,column(ag1),0)*e147</f>
        <v>0</v>
      </c>
      <c r="AI147">
        <f>vlookup("924-718057-100",B:AZ,column(ah1),0)*e147</f>
        <v>0</v>
      </c>
      <c r="AJ147">
        <f>vlookup("924-718057-100",B:AZ,column(ai1),0)*e147</f>
        <v>0</v>
      </c>
      <c r="AK147">
        <f>vlookup("924-718057-100",B:AZ,column(aj1),0)*e147</f>
        <v>0</v>
      </c>
      <c r="AL147">
        <f>vlookup("924-718057-100",B:AZ,column(ak1),0)*e147</f>
        <v>0</v>
      </c>
      <c r="AM147">
        <f>vlookup("924-718057-100",B:AZ,column(al1),0)*e147</f>
        <v>0</v>
      </c>
      <c r="AN147">
        <f>vlookup("924-718057-100",B:AZ,column(am1),0)*e147</f>
        <v>0</v>
      </c>
      <c r="AO147">
        <f>vlookup("924-718057-100",B:AZ,column(an1),0)*e147</f>
        <v>0</v>
      </c>
    </row>
    <row r="148" spans="1:41">
      <c r="A148" t="s">
        <v>22</v>
      </c>
      <c r="B148" t="s">
        <v>167</v>
      </c>
      <c r="C148" t="s">
        <v>168</v>
      </c>
      <c r="E148">
        <v>1</v>
      </c>
      <c r="I148" t="s">
        <v>15</v>
      </c>
      <c r="J148">
        <f>vlookup("924-718057-100",B:AZ,column(i1),0)*e148</f>
        <v>0</v>
      </c>
      <c r="K148">
        <f>vlookup("924-718057-100",B:AZ,column(j1),0)*e148</f>
        <v>0</v>
      </c>
      <c r="L148">
        <f>vlookup("924-718057-100",B:AZ,column(k1),0)*e148</f>
        <v>0</v>
      </c>
      <c r="M148">
        <f>vlookup("924-718057-100",B:AZ,column(l1),0)*e148</f>
        <v>0</v>
      </c>
      <c r="N148">
        <f>vlookup("924-718057-100",B:AZ,column(m1),0)*e148</f>
        <v>0</v>
      </c>
      <c r="O148">
        <f>vlookup("924-718057-100",B:AZ,column(n1),0)*e148</f>
        <v>0</v>
      </c>
      <c r="P148">
        <f>vlookup("924-718057-100",B:AZ,column(o1),0)*e148</f>
        <v>0</v>
      </c>
      <c r="Q148">
        <f>vlookup("924-718057-100",B:AZ,column(p1),0)*e148</f>
        <v>0</v>
      </c>
      <c r="R148">
        <f>vlookup("924-718057-100",B:AZ,column(q1),0)*e148</f>
        <v>0</v>
      </c>
      <c r="S148">
        <f>vlookup("924-718057-100",B:AZ,column(r1),0)*e148</f>
        <v>0</v>
      </c>
      <c r="T148">
        <f>vlookup("924-718057-100",B:AZ,column(s1),0)*e148</f>
        <v>0</v>
      </c>
      <c r="U148">
        <f>vlookup("924-718057-100",B:AZ,column(t1),0)*e148</f>
        <v>0</v>
      </c>
      <c r="V148">
        <f>vlookup("924-718057-100",B:AZ,column(u1),0)*e148</f>
        <v>0</v>
      </c>
      <c r="W148">
        <f>vlookup("924-718057-100",B:AZ,column(v1),0)*e148</f>
        <v>0</v>
      </c>
      <c r="X148">
        <f>vlookup("924-718057-100",B:AZ,column(w1),0)*e148</f>
        <v>0</v>
      </c>
      <c r="Y148">
        <f>vlookup("924-718057-100",B:AZ,column(x1),0)*e148</f>
        <v>0</v>
      </c>
      <c r="Z148">
        <f>vlookup("924-718057-100",B:AZ,column(y1),0)*e148</f>
        <v>0</v>
      </c>
      <c r="AA148">
        <f>vlookup("924-718057-100",B:AZ,column(z1),0)*e148</f>
        <v>0</v>
      </c>
      <c r="AB148">
        <f>vlookup("924-718057-100",B:AZ,column(aa1),0)*e148</f>
        <v>0</v>
      </c>
      <c r="AC148">
        <f>vlookup("924-718057-100",B:AZ,column(ab1),0)*e148</f>
        <v>0</v>
      </c>
      <c r="AD148">
        <f>vlookup("924-718057-100",B:AZ,column(ac1),0)*e148</f>
        <v>0</v>
      </c>
      <c r="AE148">
        <f>vlookup("924-718057-100",B:AZ,column(ad1),0)*e148</f>
        <v>0</v>
      </c>
      <c r="AF148">
        <f>vlookup("924-718057-100",B:AZ,column(ae1),0)*e148</f>
        <v>0</v>
      </c>
      <c r="AG148">
        <f>vlookup("924-718057-100",B:AZ,column(af1),0)*e148</f>
        <v>0</v>
      </c>
      <c r="AH148">
        <f>vlookup("924-718057-100",B:AZ,column(ag1),0)*e148</f>
        <v>0</v>
      </c>
      <c r="AI148">
        <f>vlookup("924-718057-100",B:AZ,column(ah1),0)*e148</f>
        <v>0</v>
      </c>
      <c r="AJ148">
        <f>vlookup("924-718057-100",B:AZ,column(ai1),0)*e148</f>
        <v>0</v>
      </c>
      <c r="AK148">
        <f>vlookup("924-718057-100",B:AZ,column(aj1),0)*e148</f>
        <v>0</v>
      </c>
      <c r="AL148">
        <f>vlookup("924-718057-100",B:AZ,column(ak1),0)*e148</f>
        <v>0</v>
      </c>
      <c r="AM148">
        <f>vlookup("924-718057-100",B:AZ,column(al1),0)*e148</f>
        <v>0</v>
      </c>
      <c r="AN148">
        <f>vlookup("924-718057-100",B:AZ,column(am1),0)*e148</f>
        <v>0</v>
      </c>
      <c r="AO148">
        <f>vlookup("924-718057-100",B:AZ,column(an1),0)*e148</f>
        <v>0</v>
      </c>
    </row>
    <row r="149" spans="1:41">
      <c r="A149" t="s">
        <v>22</v>
      </c>
      <c r="B149" t="s">
        <v>169</v>
      </c>
      <c r="C149" t="s">
        <v>170</v>
      </c>
      <c r="E149">
        <v>2</v>
      </c>
      <c r="I149" t="s">
        <v>15</v>
      </c>
      <c r="J149">
        <f>vlookup("924-718057-100",B:AZ,column(i1),0)*e149</f>
        <v>0</v>
      </c>
      <c r="K149">
        <f>vlookup("924-718057-100",B:AZ,column(j1),0)*e149</f>
        <v>0</v>
      </c>
      <c r="L149">
        <f>vlookup("924-718057-100",B:AZ,column(k1),0)*e149</f>
        <v>0</v>
      </c>
      <c r="M149">
        <f>vlookup("924-718057-100",B:AZ,column(l1),0)*e149</f>
        <v>0</v>
      </c>
      <c r="N149">
        <f>vlookup("924-718057-100",B:AZ,column(m1),0)*e149</f>
        <v>0</v>
      </c>
      <c r="O149">
        <f>vlookup("924-718057-100",B:AZ,column(n1),0)*e149</f>
        <v>0</v>
      </c>
      <c r="P149">
        <f>vlookup("924-718057-100",B:AZ,column(o1),0)*e149</f>
        <v>0</v>
      </c>
      <c r="Q149">
        <f>vlookup("924-718057-100",B:AZ,column(p1),0)*e149</f>
        <v>0</v>
      </c>
      <c r="R149">
        <f>vlookup("924-718057-100",B:AZ,column(q1),0)*e149</f>
        <v>0</v>
      </c>
      <c r="S149">
        <f>vlookup("924-718057-100",B:AZ,column(r1),0)*e149</f>
        <v>0</v>
      </c>
      <c r="T149">
        <f>vlookup("924-718057-100",B:AZ,column(s1),0)*e149</f>
        <v>0</v>
      </c>
      <c r="U149">
        <f>vlookup("924-718057-100",B:AZ,column(t1),0)*e149</f>
        <v>0</v>
      </c>
      <c r="V149">
        <f>vlookup("924-718057-100",B:AZ,column(u1),0)*e149</f>
        <v>0</v>
      </c>
      <c r="W149">
        <f>vlookup("924-718057-100",B:AZ,column(v1),0)*e149</f>
        <v>0</v>
      </c>
      <c r="X149">
        <f>vlookup("924-718057-100",B:AZ,column(w1),0)*e149</f>
        <v>0</v>
      </c>
      <c r="Y149">
        <f>vlookup("924-718057-100",B:AZ,column(x1),0)*e149</f>
        <v>0</v>
      </c>
      <c r="Z149">
        <f>vlookup("924-718057-100",B:AZ,column(y1),0)*e149</f>
        <v>0</v>
      </c>
      <c r="AA149">
        <f>vlookup("924-718057-100",B:AZ,column(z1),0)*e149</f>
        <v>0</v>
      </c>
      <c r="AB149">
        <f>vlookup("924-718057-100",B:AZ,column(aa1),0)*e149</f>
        <v>0</v>
      </c>
      <c r="AC149">
        <f>vlookup("924-718057-100",B:AZ,column(ab1),0)*e149</f>
        <v>0</v>
      </c>
      <c r="AD149">
        <f>vlookup("924-718057-100",B:AZ,column(ac1),0)*e149</f>
        <v>0</v>
      </c>
      <c r="AE149">
        <f>vlookup("924-718057-100",B:AZ,column(ad1),0)*e149</f>
        <v>0</v>
      </c>
      <c r="AF149">
        <f>vlookup("924-718057-100",B:AZ,column(ae1),0)*e149</f>
        <v>0</v>
      </c>
      <c r="AG149">
        <f>vlookup("924-718057-100",B:AZ,column(af1),0)*e149</f>
        <v>0</v>
      </c>
      <c r="AH149">
        <f>vlookup("924-718057-100",B:AZ,column(ag1),0)*e149</f>
        <v>0</v>
      </c>
      <c r="AI149">
        <f>vlookup("924-718057-100",B:AZ,column(ah1),0)*e149</f>
        <v>0</v>
      </c>
      <c r="AJ149">
        <f>vlookup("924-718057-100",B:AZ,column(ai1),0)*e149</f>
        <v>0</v>
      </c>
      <c r="AK149">
        <f>vlookup("924-718057-100",B:AZ,column(aj1),0)*e149</f>
        <v>0</v>
      </c>
      <c r="AL149">
        <f>vlookup("924-718057-100",B:AZ,column(ak1),0)*e149</f>
        <v>0</v>
      </c>
      <c r="AM149">
        <f>vlookup("924-718057-100",B:AZ,column(al1),0)*e149</f>
        <v>0</v>
      </c>
      <c r="AN149">
        <f>vlookup("924-718057-100",B:AZ,column(am1),0)*e149</f>
        <v>0</v>
      </c>
      <c r="AO149">
        <f>vlookup("924-718057-100",B:AZ,column(an1),0)*e149</f>
        <v>0</v>
      </c>
    </row>
    <row r="150" spans="1:41">
      <c r="A150" t="s">
        <v>22</v>
      </c>
      <c r="B150" t="s">
        <v>171</v>
      </c>
      <c r="C150" t="s">
        <v>172</v>
      </c>
      <c r="E150">
        <v>1</v>
      </c>
      <c r="I150" t="s">
        <v>15</v>
      </c>
      <c r="J150">
        <f>vlookup("924-718057-100",B:AZ,column(i1),0)*e150</f>
        <v>0</v>
      </c>
      <c r="K150">
        <f>vlookup("924-718057-100",B:AZ,column(j1),0)*e150</f>
        <v>0</v>
      </c>
      <c r="L150">
        <f>vlookup("924-718057-100",B:AZ,column(k1),0)*e150</f>
        <v>0</v>
      </c>
      <c r="M150">
        <f>vlookup("924-718057-100",B:AZ,column(l1),0)*e150</f>
        <v>0</v>
      </c>
      <c r="N150">
        <f>vlookup("924-718057-100",B:AZ,column(m1),0)*e150</f>
        <v>0</v>
      </c>
      <c r="O150">
        <f>vlookup("924-718057-100",B:AZ,column(n1),0)*e150</f>
        <v>0</v>
      </c>
      <c r="P150">
        <f>vlookup("924-718057-100",B:AZ,column(o1),0)*e150</f>
        <v>0</v>
      </c>
      <c r="Q150">
        <f>vlookup("924-718057-100",B:AZ,column(p1),0)*e150</f>
        <v>0</v>
      </c>
      <c r="R150">
        <f>vlookup("924-718057-100",B:AZ,column(q1),0)*e150</f>
        <v>0</v>
      </c>
      <c r="S150">
        <f>vlookup("924-718057-100",B:AZ,column(r1),0)*e150</f>
        <v>0</v>
      </c>
      <c r="T150">
        <f>vlookup("924-718057-100",B:AZ,column(s1),0)*e150</f>
        <v>0</v>
      </c>
      <c r="U150">
        <f>vlookup("924-718057-100",B:AZ,column(t1),0)*e150</f>
        <v>0</v>
      </c>
      <c r="V150">
        <f>vlookup("924-718057-100",B:AZ,column(u1),0)*e150</f>
        <v>0</v>
      </c>
      <c r="W150">
        <f>vlookup("924-718057-100",B:AZ,column(v1),0)*e150</f>
        <v>0</v>
      </c>
      <c r="X150">
        <f>vlookup("924-718057-100",B:AZ,column(w1),0)*e150</f>
        <v>0</v>
      </c>
      <c r="Y150">
        <f>vlookup("924-718057-100",B:AZ,column(x1),0)*e150</f>
        <v>0</v>
      </c>
      <c r="Z150">
        <f>vlookup("924-718057-100",B:AZ,column(y1),0)*e150</f>
        <v>0</v>
      </c>
      <c r="AA150">
        <f>vlookup("924-718057-100",B:AZ,column(z1),0)*e150</f>
        <v>0</v>
      </c>
      <c r="AB150">
        <f>vlookup("924-718057-100",B:AZ,column(aa1),0)*e150</f>
        <v>0</v>
      </c>
      <c r="AC150">
        <f>vlookup("924-718057-100",B:AZ,column(ab1),0)*e150</f>
        <v>0</v>
      </c>
      <c r="AD150">
        <f>vlookup("924-718057-100",B:AZ,column(ac1),0)*e150</f>
        <v>0</v>
      </c>
      <c r="AE150">
        <f>vlookup("924-718057-100",B:AZ,column(ad1),0)*e150</f>
        <v>0</v>
      </c>
      <c r="AF150">
        <f>vlookup("924-718057-100",B:AZ,column(ae1),0)*e150</f>
        <v>0</v>
      </c>
      <c r="AG150">
        <f>vlookup("924-718057-100",B:AZ,column(af1),0)*e150</f>
        <v>0</v>
      </c>
      <c r="AH150">
        <f>vlookup("924-718057-100",B:AZ,column(ag1),0)*e150</f>
        <v>0</v>
      </c>
      <c r="AI150">
        <f>vlookup("924-718057-100",B:AZ,column(ah1),0)*e150</f>
        <v>0</v>
      </c>
      <c r="AJ150">
        <f>vlookup("924-718057-100",B:AZ,column(ai1),0)*e150</f>
        <v>0</v>
      </c>
      <c r="AK150">
        <f>vlookup("924-718057-100",B:AZ,column(aj1),0)*e150</f>
        <v>0</v>
      </c>
      <c r="AL150">
        <f>vlookup("924-718057-100",B:AZ,column(ak1),0)*e150</f>
        <v>0</v>
      </c>
      <c r="AM150">
        <f>vlookup("924-718057-100",B:AZ,column(al1),0)*e150</f>
        <v>0</v>
      </c>
      <c r="AN150">
        <f>vlookup("924-718057-100",B:AZ,column(am1),0)*e150</f>
        <v>0</v>
      </c>
      <c r="AO150">
        <f>vlookup("924-718057-100",B:AZ,column(an1),0)*e150</f>
        <v>0</v>
      </c>
    </row>
    <row r="151" spans="1:41">
      <c r="A151" t="s">
        <v>22</v>
      </c>
      <c r="B151" t="s">
        <v>173</v>
      </c>
      <c r="C151" t="s">
        <v>174</v>
      </c>
      <c r="E151">
        <v>1</v>
      </c>
      <c r="I151" t="s">
        <v>15</v>
      </c>
      <c r="J151">
        <f>vlookup("924-718057-100",B:AZ,column(i1),0)*e151</f>
        <v>0</v>
      </c>
      <c r="K151">
        <f>vlookup("924-718057-100",B:AZ,column(j1),0)*e151</f>
        <v>0</v>
      </c>
      <c r="L151">
        <f>vlookup("924-718057-100",B:AZ,column(k1),0)*e151</f>
        <v>0</v>
      </c>
      <c r="M151">
        <f>vlookup("924-718057-100",B:AZ,column(l1),0)*e151</f>
        <v>0</v>
      </c>
      <c r="N151">
        <f>vlookup("924-718057-100",B:AZ,column(m1),0)*e151</f>
        <v>0</v>
      </c>
      <c r="O151">
        <f>vlookup("924-718057-100",B:AZ,column(n1),0)*e151</f>
        <v>0</v>
      </c>
      <c r="P151">
        <f>vlookup("924-718057-100",B:AZ,column(o1),0)*e151</f>
        <v>0</v>
      </c>
      <c r="Q151">
        <f>vlookup("924-718057-100",B:AZ,column(p1),0)*e151</f>
        <v>0</v>
      </c>
      <c r="R151">
        <f>vlookup("924-718057-100",B:AZ,column(q1),0)*e151</f>
        <v>0</v>
      </c>
      <c r="S151">
        <f>vlookup("924-718057-100",B:AZ,column(r1),0)*e151</f>
        <v>0</v>
      </c>
      <c r="T151">
        <f>vlookup("924-718057-100",B:AZ,column(s1),0)*e151</f>
        <v>0</v>
      </c>
      <c r="U151">
        <f>vlookup("924-718057-100",B:AZ,column(t1),0)*e151</f>
        <v>0</v>
      </c>
      <c r="V151">
        <f>vlookup("924-718057-100",B:AZ,column(u1),0)*e151</f>
        <v>0</v>
      </c>
      <c r="W151">
        <f>vlookup("924-718057-100",B:AZ,column(v1),0)*e151</f>
        <v>0</v>
      </c>
      <c r="X151">
        <f>vlookup("924-718057-100",B:AZ,column(w1),0)*e151</f>
        <v>0</v>
      </c>
      <c r="Y151">
        <f>vlookup("924-718057-100",B:AZ,column(x1),0)*e151</f>
        <v>0</v>
      </c>
      <c r="Z151">
        <f>vlookup("924-718057-100",B:AZ,column(y1),0)*e151</f>
        <v>0</v>
      </c>
      <c r="AA151">
        <f>vlookup("924-718057-100",B:AZ,column(z1),0)*e151</f>
        <v>0</v>
      </c>
      <c r="AB151">
        <f>vlookup("924-718057-100",B:AZ,column(aa1),0)*e151</f>
        <v>0</v>
      </c>
      <c r="AC151">
        <f>vlookup("924-718057-100",B:AZ,column(ab1),0)*e151</f>
        <v>0</v>
      </c>
      <c r="AD151">
        <f>vlookup("924-718057-100",B:AZ,column(ac1),0)*e151</f>
        <v>0</v>
      </c>
      <c r="AE151">
        <f>vlookup("924-718057-100",B:AZ,column(ad1),0)*e151</f>
        <v>0</v>
      </c>
      <c r="AF151">
        <f>vlookup("924-718057-100",B:AZ,column(ae1),0)*e151</f>
        <v>0</v>
      </c>
      <c r="AG151">
        <f>vlookup("924-718057-100",B:AZ,column(af1),0)*e151</f>
        <v>0</v>
      </c>
      <c r="AH151">
        <f>vlookup("924-718057-100",B:AZ,column(ag1),0)*e151</f>
        <v>0</v>
      </c>
      <c r="AI151">
        <f>vlookup("924-718057-100",B:AZ,column(ah1),0)*e151</f>
        <v>0</v>
      </c>
      <c r="AJ151">
        <f>vlookup("924-718057-100",B:AZ,column(ai1),0)*e151</f>
        <v>0</v>
      </c>
      <c r="AK151">
        <f>vlookup("924-718057-100",B:AZ,column(aj1),0)*e151</f>
        <v>0</v>
      </c>
      <c r="AL151">
        <f>vlookup("924-718057-100",B:AZ,column(ak1),0)*e151</f>
        <v>0</v>
      </c>
      <c r="AM151">
        <f>vlookup("924-718057-100",B:AZ,column(al1),0)*e151</f>
        <v>0</v>
      </c>
      <c r="AN151">
        <f>vlookup("924-718057-100",B:AZ,column(am1),0)*e151</f>
        <v>0</v>
      </c>
      <c r="AO151">
        <f>vlookup("924-718057-100",B:AZ,column(an1),0)*e151</f>
        <v>0</v>
      </c>
    </row>
    <row r="152" spans="1:41">
      <c r="A152" t="s">
        <v>22</v>
      </c>
      <c r="B152" t="s">
        <v>181</v>
      </c>
      <c r="C152" t="s">
        <v>182</v>
      </c>
      <c r="E152">
        <v>1</v>
      </c>
      <c r="I152" t="s">
        <v>15</v>
      </c>
      <c r="J152">
        <f>vlookup("924-718057-100",B:AZ,column(i1),0)*e152</f>
        <v>0</v>
      </c>
      <c r="K152">
        <f>vlookup("924-718057-100",B:AZ,column(j1),0)*e152</f>
        <v>0</v>
      </c>
      <c r="L152">
        <f>vlookup("924-718057-100",B:AZ,column(k1),0)*e152</f>
        <v>0</v>
      </c>
      <c r="M152">
        <f>vlookup("924-718057-100",B:AZ,column(l1),0)*e152</f>
        <v>0</v>
      </c>
      <c r="N152">
        <f>vlookup("924-718057-100",B:AZ,column(m1),0)*e152</f>
        <v>0</v>
      </c>
      <c r="O152">
        <f>vlookup("924-718057-100",B:AZ,column(n1),0)*e152</f>
        <v>0</v>
      </c>
      <c r="P152">
        <f>vlookup("924-718057-100",B:AZ,column(o1),0)*e152</f>
        <v>0</v>
      </c>
      <c r="Q152">
        <f>vlookup("924-718057-100",B:AZ,column(p1),0)*e152</f>
        <v>0</v>
      </c>
      <c r="R152">
        <f>vlookup("924-718057-100",B:AZ,column(q1),0)*e152</f>
        <v>0</v>
      </c>
      <c r="S152">
        <f>vlookup("924-718057-100",B:AZ,column(r1),0)*e152</f>
        <v>0</v>
      </c>
      <c r="T152">
        <f>vlookup("924-718057-100",B:AZ,column(s1),0)*e152</f>
        <v>0</v>
      </c>
      <c r="U152">
        <f>vlookup("924-718057-100",B:AZ,column(t1),0)*e152</f>
        <v>0</v>
      </c>
      <c r="V152">
        <f>vlookup("924-718057-100",B:AZ,column(u1),0)*e152</f>
        <v>0</v>
      </c>
      <c r="W152">
        <f>vlookup("924-718057-100",B:AZ,column(v1),0)*e152</f>
        <v>0</v>
      </c>
      <c r="X152">
        <f>vlookup("924-718057-100",B:AZ,column(w1),0)*e152</f>
        <v>0</v>
      </c>
      <c r="Y152">
        <f>vlookup("924-718057-100",B:AZ,column(x1),0)*e152</f>
        <v>0</v>
      </c>
      <c r="Z152">
        <f>vlookup("924-718057-100",B:AZ,column(y1),0)*e152</f>
        <v>0</v>
      </c>
      <c r="AA152">
        <f>vlookup("924-718057-100",B:AZ,column(z1),0)*e152</f>
        <v>0</v>
      </c>
      <c r="AB152">
        <f>vlookup("924-718057-100",B:AZ,column(aa1),0)*e152</f>
        <v>0</v>
      </c>
      <c r="AC152">
        <f>vlookup("924-718057-100",B:AZ,column(ab1),0)*e152</f>
        <v>0</v>
      </c>
      <c r="AD152">
        <f>vlookup("924-718057-100",B:AZ,column(ac1),0)*e152</f>
        <v>0</v>
      </c>
      <c r="AE152">
        <f>vlookup("924-718057-100",B:AZ,column(ad1),0)*e152</f>
        <v>0</v>
      </c>
      <c r="AF152">
        <f>vlookup("924-718057-100",B:AZ,column(ae1),0)*e152</f>
        <v>0</v>
      </c>
      <c r="AG152">
        <f>vlookup("924-718057-100",B:AZ,column(af1),0)*e152</f>
        <v>0</v>
      </c>
      <c r="AH152">
        <f>vlookup("924-718057-100",B:AZ,column(ag1),0)*e152</f>
        <v>0</v>
      </c>
      <c r="AI152">
        <f>vlookup("924-718057-100",B:AZ,column(ah1),0)*e152</f>
        <v>0</v>
      </c>
      <c r="AJ152">
        <f>vlookup("924-718057-100",B:AZ,column(ai1),0)*e152</f>
        <v>0</v>
      </c>
      <c r="AK152">
        <f>vlookup("924-718057-100",B:AZ,column(aj1),0)*e152</f>
        <v>0</v>
      </c>
      <c r="AL152">
        <f>vlookup("924-718057-100",B:AZ,column(ak1),0)*e152</f>
        <v>0</v>
      </c>
      <c r="AM152">
        <f>vlookup("924-718057-100",B:AZ,column(al1),0)*e152</f>
        <v>0</v>
      </c>
      <c r="AN152">
        <f>vlookup("924-718057-100",B:AZ,column(am1),0)*e152</f>
        <v>0</v>
      </c>
      <c r="AO152">
        <f>vlookup("924-718057-100",B:AZ,column(an1),0)*e152</f>
        <v>0</v>
      </c>
    </row>
    <row r="153" spans="1:41">
      <c r="A153" t="s">
        <v>10</v>
      </c>
      <c r="B153" t="s">
        <v>183</v>
      </c>
      <c r="C153" t="s">
        <v>176</v>
      </c>
      <c r="E153">
        <v>1</v>
      </c>
      <c r="I153" t="s">
        <v>14</v>
      </c>
      <c r="AO153">
        <f>sum(j153:an153)</f>
        <v>0</v>
      </c>
    </row>
    <row r="154" spans="1:41">
      <c r="I154" t="s">
        <v>15</v>
      </c>
      <c r="J154">
        <f>vlookup("924-718057-200",Out!B:AZ,column(i1),0)</f>
        <v>0</v>
      </c>
      <c r="K154">
        <f>vlookup("924-718057-200",Out!B:AZ,column(j1),0)</f>
        <v>0</v>
      </c>
      <c r="L154">
        <f>vlookup("924-718057-200",Out!B:AZ,column(k1),0)</f>
        <v>0</v>
      </c>
      <c r="M154">
        <f>vlookup("924-718057-200",Out!B:AZ,column(l1),0)</f>
        <v>0</v>
      </c>
      <c r="N154">
        <f>vlookup("924-718057-200",Out!B:AZ,column(m1),0)</f>
        <v>0</v>
      </c>
      <c r="O154">
        <f>vlookup("924-718057-200",Out!B:AZ,column(n1),0)</f>
        <v>0</v>
      </c>
      <c r="P154">
        <f>vlookup("924-718057-200",Out!B:AZ,column(o1),0)</f>
        <v>0</v>
      </c>
      <c r="Q154">
        <f>vlookup("924-718057-200",Out!B:AZ,column(p1),0)</f>
        <v>0</v>
      </c>
      <c r="R154">
        <f>vlookup("924-718057-200",Out!B:AZ,column(q1),0)</f>
        <v>0</v>
      </c>
      <c r="S154">
        <f>vlookup("924-718057-200",Out!B:AZ,column(r1),0)</f>
        <v>0</v>
      </c>
      <c r="T154">
        <f>vlookup("924-718057-200",Out!B:AZ,column(s1),0)</f>
        <v>0</v>
      </c>
      <c r="U154">
        <f>vlookup("924-718057-200",Out!B:AZ,column(t1),0)</f>
        <v>0</v>
      </c>
      <c r="V154">
        <f>vlookup("924-718057-200",Out!B:AZ,column(u1),0)</f>
        <v>0</v>
      </c>
      <c r="W154">
        <f>vlookup("924-718057-200",Out!B:AZ,column(v1),0)</f>
        <v>0</v>
      </c>
      <c r="X154">
        <f>vlookup("924-718057-200",Out!B:AZ,column(w1),0)</f>
        <v>0</v>
      </c>
      <c r="Y154">
        <f>vlookup("924-718057-200",Out!B:AZ,column(x1),0)</f>
        <v>0</v>
      </c>
      <c r="Z154">
        <f>vlookup("924-718057-200",Out!B:AZ,column(y1),0)</f>
        <v>0</v>
      </c>
      <c r="AA154">
        <f>vlookup("924-718057-200",Out!B:AZ,column(z1),0)</f>
        <v>0</v>
      </c>
      <c r="AB154">
        <f>vlookup("924-718057-200",Out!B:AZ,column(aa1),0)</f>
        <v>0</v>
      </c>
      <c r="AC154">
        <f>vlookup("924-718057-200",Out!B:AZ,column(ab1),0)</f>
        <v>0</v>
      </c>
      <c r="AD154">
        <f>vlookup("924-718057-200",Out!B:AZ,column(ac1),0)</f>
        <v>0</v>
      </c>
      <c r="AE154">
        <f>vlookup("924-718057-200",Out!B:AZ,column(ad1),0)</f>
        <v>0</v>
      </c>
      <c r="AF154">
        <f>vlookup("924-718057-200",Out!B:AZ,column(ae1),0)</f>
        <v>0</v>
      </c>
      <c r="AG154">
        <f>vlookup("924-718057-200",Out!B:AZ,column(af1),0)</f>
        <v>0</v>
      </c>
      <c r="AH154">
        <f>vlookup("924-718057-200",Out!B:AZ,column(ag1),0)</f>
        <v>0</v>
      </c>
      <c r="AI154">
        <f>vlookup("924-718057-200",Out!B:AZ,column(ah1),0)</f>
        <v>0</v>
      </c>
      <c r="AJ154">
        <f>vlookup("924-718057-200",Out!B:AZ,column(ai1),0)</f>
        <v>0</v>
      </c>
      <c r="AK154">
        <f>vlookup("924-718057-200",Out!B:AZ,column(aj1),0)</f>
        <v>0</v>
      </c>
      <c r="AL154">
        <f>vlookup("924-718057-200",Out!B:AZ,column(ak1),0)</f>
        <v>0</v>
      </c>
      <c r="AM154">
        <f>vlookup("924-718057-200",Out!B:AZ,column(al1),0)</f>
        <v>0</v>
      </c>
      <c r="AN154">
        <f>vlookup("924-718057-200",Out!B:AZ,column(am1),0)</f>
        <v>0</v>
      </c>
      <c r="AO154">
        <f>vlookup("924-718057-200",Out!B:AZ,column(an1),0)</f>
        <v>0</v>
      </c>
    </row>
    <row r="155" spans="1:41">
      <c r="H155" t="s">
        <v>16</v>
      </c>
      <c r="J155">
        <f>indirect(address(155,9))+indirect(address(153,10))-indirect(address(154,10))</f>
        <v>0</v>
      </c>
      <c r="K155">
        <f>indirect(address(155,10))+indirect(address(153,11))-indirect(address(154,11))</f>
        <v>0</v>
      </c>
      <c r="L155">
        <f>indirect(address(155,11))+indirect(address(153,12))-indirect(address(154,12))</f>
        <v>0</v>
      </c>
      <c r="M155">
        <f>indirect(address(155,12))+indirect(address(153,13))-indirect(address(154,13))</f>
        <v>0</v>
      </c>
      <c r="N155">
        <f>indirect(address(155,13))+indirect(address(153,14))-indirect(address(154,14))</f>
        <v>0</v>
      </c>
      <c r="O155">
        <f>indirect(address(155,14))+indirect(address(153,15))-indirect(address(154,15))</f>
        <v>0</v>
      </c>
      <c r="P155">
        <f>indirect(address(155,15))+indirect(address(153,16))-indirect(address(154,16))</f>
        <v>0</v>
      </c>
      <c r="Q155">
        <f>indirect(address(155,16))+indirect(address(153,17))-indirect(address(154,17))</f>
        <v>0</v>
      </c>
      <c r="R155">
        <f>indirect(address(155,17))+indirect(address(153,18))-indirect(address(154,18))</f>
        <v>0</v>
      </c>
      <c r="S155">
        <f>indirect(address(155,18))+indirect(address(153,19))-indirect(address(154,19))</f>
        <v>0</v>
      </c>
      <c r="T155">
        <f>indirect(address(155,19))+indirect(address(153,20))-indirect(address(154,20))</f>
        <v>0</v>
      </c>
      <c r="U155">
        <f>indirect(address(155,20))+indirect(address(153,21))-indirect(address(154,21))</f>
        <v>0</v>
      </c>
      <c r="V155">
        <f>indirect(address(155,21))+indirect(address(153,22))-indirect(address(154,22))</f>
        <v>0</v>
      </c>
      <c r="W155">
        <f>indirect(address(155,22))+indirect(address(153,23))-indirect(address(154,23))</f>
        <v>0</v>
      </c>
      <c r="X155">
        <f>indirect(address(155,23))+indirect(address(153,24))-indirect(address(154,24))</f>
        <v>0</v>
      </c>
      <c r="Y155">
        <f>indirect(address(155,24))+indirect(address(153,25))-indirect(address(154,25))</f>
        <v>0</v>
      </c>
      <c r="Z155">
        <f>indirect(address(155,25))+indirect(address(153,26))-indirect(address(154,26))</f>
        <v>0</v>
      </c>
      <c r="AA155">
        <f>indirect(address(155,26))+indirect(address(153,27))-indirect(address(154,27))</f>
        <v>0</v>
      </c>
      <c r="AB155">
        <f>indirect(address(155,27))+indirect(address(153,28))-indirect(address(154,28))</f>
        <v>0</v>
      </c>
      <c r="AC155">
        <f>indirect(address(155,28))+indirect(address(153,29))-indirect(address(154,29))</f>
        <v>0</v>
      </c>
      <c r="AD155">
        <f>indirect(address(155,29))+indirect(address(153,30))-indirect(address(154,30))</f>
        <v>0</v>
      </c>
      <c r="AE155">
        <f>indirect(address(155,30))+indirect(address(153,31))-indirect(address(154,31))</f>
        <v>0</v>
      </c>
      <c r="AF155">
        <f>indirect(address(155,31))+indirect(address(153,32))-indirect(address(154,32))</f>
        <v>0</v>
      </c>
      <c r="AG155">
        <f>indirect(address(155,32))+indirect(address(153,33))-indirect(address(154,33))</f>
        <v>0</v>
      </c>
      <c r="AH155">
        <f>indirect(address(155,33))+indirect(address(153,34))-indirect(address(154,34))</f>
        <v>0</v>
      </c>
      <c r="AI155">
        <f>indirect(address(155,34))+indirect(address(153,35))-indirect(address(154,35))</f>
        <v>0</v>
      </c>
      <c r="AJ155">
        <f>indirect(address(155,35))+indirect(address(153,36))-indirect(address(154,36))</f>
        <v>0</v>
      </c>
      <c r="AK155">
        <f>indirect(address(155,36))+indirect(address(153,37))-indirect(address(154,37))</f>
        <v>0</v>
      </c>
      <c r="AL155">
        <f>indirect(address(155,37))+indirect(address(153,38))-indirect(address(154,38))</f>
        <v>0</v>
      </c>
      <c r="AM155">
        <f>indirect(address(155,38))+indirect(address(153,39))-indirect(address(154,39))</f>
        <v>0</v>
      </c>
      <c r="AN155">
        <f>indirect(address(155,39))+indirect(address(153,40))-indirect(address(154,40))</f>
        <v>0</v>
      </c>
      <c r="AO155">
        <f>indirect(address(155,40))</f>
        <v>0</v>
      </c>
    </row>
    <row r="156" spans="1:41">
      <c r="A156" t="s">
        <v>17</v>
      </c>
      <c r="B156" t="s">
        <v>184</v>
      </c>
      <c r="C156" t="s">
        <v>178</v>
      </c>
      <c r="E156">
        <v>1</v>
      </c>
      <c r="I156" t="s">
        <v>15</v>
      </c>
      <c r="J156">
        <f>vlookup("924-718057-200",B:AZ,column(i1),0)*e156</f>
        <v>0</v>
      </c>
      <c r="K156">
        <f>vlookup("924-718057-200",B:AZ,column(j1),0)*e156</f>
        <v>0</v>
      </c>
      <c r="L156">
        <f>vlookup("924-718057-200",B:AZ,column(k1),0)*e156</f>
        <v>0</v>
      </c>
      <c r="M156">
        <f>vlookup("924-718057-200",B:AZ,column(l1),0)*e156</f>
        <v>0</v>
      </c>
      <c r="N156">
        <f>vlookup("924-718057-200",B:AZ,column(m1),0)*e156</f>
        <v>0</v>
      </c>
      <c r="O156">
        <f>vlookup("924-718057-200",B:AZ,column(n1),0)*e156</f>
        <v>0</v>
      </c>
      <c r="P156">
        <f>vlookup("924-718057-200",B:AZ,column(o1),0)*e156</f>
        <v>0</v>
      </c>
      <c r="Q156">
        <f>vlookup("924-718057-200",B:AZ,column(p1),0)*e156</f>
        <v>0</v>
      </c>
      <c r="R156">
        <f>vlookup("924-718057-200",B:AZ,column(q1),0)*e156</f>
        <v>0</v>
      </c>
      <c r="S156">
        <f>vlookup("924-718057-200",B:AZ,column(r1),0)*e156</f>
        <v>0</v>
      </c>
      <c r="T156">
        <f>vlookup("924-718057-200",B:AZ,column(s1),0)*e156</f>
        <v>0</v>
      </c>
      <c r="U156">
        <f>vlookup("924-718057-200",B:AZ,column(t1),0)*e156</f>
        <v>0</v>
      </c>
      <c r="V156">
        <f>vlookup("924-718057-200",B:AZ,column(u1),0)*e156</f>
        <v>0</v>
      </c>
      <c r="W156">
        <f>vlookup("924-718057-200",B:AZ,column(v1),0)*e156</f>
        <v>0</v>
      </c>
      <c r="X156">
        <f>vlookup("924-718057-200",B:AZ,column(w1),0)*e156</f>
        <v>0</v>
      </c>
      <c r="Y156">
        <f>vlookup("924-718057-200",B:AZ,column(x1),0)*e156</f>
        <v>0</v>
      </c>
      <c r="Z156">
        <f>vlookup("924-718057-200",B:AZ,column(y1),0)*e156</f>
        <v>0</v>
      </c>
      <c r="AA156">
        <f>vlookup("924-718057-200",B:AZ,column(z1),0)*e156</f>
        <v>0</v>
      </c>
      <c r="AB156">
        <f>vlookup("924-718057-200",B:AZ,column(aa1),0)*e156</f>
        <v>0</v>
      </c>
      <c r="AC156">
        <f>vlookup("924-718057-200",B:AZ,column(ab1),0)*e156</f>
        <v>0</v>
      </c>
      <c r="AD156">
        <f>vlookup("924-718057-200",B:AZ,column(ac1),0)*e156</f>
        <v>0</v>
      </c>
      <c r="AE156">
        <f>vlookup("924-718057-200",B:AZ,column(ad1),0)*e156</f>
        <v>0</v>
      </c>
      <c r="AF156">
        <f>vlookup("924-718057-200",B:AZ,column(ae1),0)*e156</f>
        <v>0</v>
      </c>
      <c r="AG156">
        <f>vlookup("924-718057-200",B:AZ,column(af1),0)*e156</f>
        <v>0</v>
      </c>
      <c r="AH156">
        <f>vlookup("924-718057-200",B:AZ,column(ag1),0)*e156</f>
        <v>0</v>
      </c>
      <c r="AI156">
        <f>vlookup("924-718057-200",B:AZ,column(ah1),0)*e156</f>
        <v>0</v>
      </c>
      <c r="AJ156">
        <f>vlookup("924-718057-200",B:AZ,column(ai1),0)*e156</f>
        <v>0</v>
      </c>
      <c r="AK156">
        <f>vlookup("924-718057-200",B:AZ,column(aj1),0)*e156</f>
        <v>0</v>
      </c>
      <c r="AL156">
        <f>vlookup("924-718057-200",B:AZ,column(ak1),0)*e156</f>
        <v>0</v>
      </c>
      <c r="AM156">
        <f>vlookup("924-718057-200",B:AZ,column(al1),0)*e156</f>
        <v>0</v>
      </c>
      <c r="AN156">
        <f>vlookup("924-718057-200",B:AZ,column(am1),0)*e156</f>
        <v>0</v>
      </c>
      <c r="AO156">
        <f>vlookup("924-718057-200",B:AZ,column(an1),0)*e156</f>
        <v>0</v>
      </c>
    </row>
    <row r="157" spans="1:41">
      <c r="A157" t="s">
        <v>22</v>
      </c>
      <c r="B157" t="s">
        <v>165</v>
      </c>
      <c r="C157" t="s">
        <v>166</v>
      </c>
      <c r="E157">
        <v>1</v>
      </c>
      <c r="I157" t="s">
        <v>15</v>
      </c>
      <c r="J157">
        <f>vlookup("924-718057-200",B:AZ,column(i1),0)*e157</f>
        <v>0</v>
      </c>
      <c r="K157">
        <f>vlookup("924-718057-200",B:AZ,column(j1),0)*e157</f>
        <v>0</v>
      </c>
      <c r="L157">
        <f>vlookup("924-718057-200",B:AZ,column(k1),0)*e157</f>
        <v>0</v>
      </c>
      <c r="M157">
        <f>vlookup("924-718057-200",B:AZ,column(l1),0)*e157</f>
        <v>0</v>
      </c>
      <c r="N157">
        <f>vlookup("924-718057-200",B:AZ,column(m1),0)*e157</f>
        <v>0</v>
      </c>
      <c r="O157">
        <f>vlookup("924-718057-200",B:AZ,column(n1),0)*e157</f>
        <v>0</v>
      </c>
      <c r="P157">
        <f>vlookup("924-718057-200",B:AZ,column(o1),0)*e157</f>
        <v>0</v>
      </c>
      <c r="Q157">
        <f>vlookup("924-718057-200",B:AZ,column(p1),0)*e157</f>
        <v>0</v>
      </c>
      <c r="R157">
        <f>vlookup("924-718057-200",B:AZ,column(q1),0)*e157</f>
        <v>0</v>
      </c>
      <c r="S157">
        <f>vlookup("924-718057-200",B:AZ,column(r1),0)*e157</f>
        <v>0</v>
      </c>
      <c r="T157">
        <f>vlookup("924-718057-200",B:AZ,column(s1),0)*e157</f>
        <v>0</v>
      </c>
      <c r="U157">
        <f>vlookup("924-718057-200",B:AZ,column(t1),0)*e157</f>
        <v>0</v>
      </c>
      <c r="V157">
        <f>vlookup("924-718057-200",B:AZ,column(u1),0)*e157</f>
        <v>0</v>
      </c>
      <c r="W157">
        <f>vlookup("924-718057-200",B:AZ,column(v1),0)*e157</f>
        <v>0</v>
      </c>
      <c r="X157">
        <f>vlookup("924-718057-200",B:AZ,column(w1),0)*e157</f>
        <v>0</v>
      </c>
      <c r="Y157">
        <f>vlookup("924-718057-200",B:AZ,column(x1),0)*e157</f>
        <v>0</v>
      </c>
      <c r="Z157">
        <f>vlookup("924-718057-200",B:AZ,column(y1),0)*e157</f>
        <v>0</v>
      </c>
      <c r="AA157">
        <f>vlookup("924-718057-200",B:AZ,column(z1),0)*e157</f>
        <v>0</v>
      </c>
      <c r="AB157">
        <f>vlookup("924-718057-200",B:AZ,column(aa1),0)*e157</f>
        <v>0</v>
      </c>
      <c r="AC157">
        <f>vlookup("924-718057-200",B:AZ,column(ab1),0)*e157</f>
        <v>0</v>
      </c>
      <c r="AD157">
        <f>vlookup("924-718057-200",B:AZ,column(ac1),0)*e157</f>
        <v>0</v>
      </c>
      <c r="AE157">
        <f>vlookup("924-718057-200",B:AZ,column(ad1),0)*e157</f>
        <v>0</v>
      </c>
      <c r="AF157">
        <f>vlookup("924-718057-200",B:AZ,column(ae1),0)*e157</f>
        <v>0</v>
      </c>
      <c r="AG157">
        <f>vlookup("924-718057-200",B:AZ,column(af1),0)*e157</f>
        <v>0</v>
      </c>
      <c r="AH157">
        <f>vlookup("924-718057-200",B:AZ,column(ag1),0)*e157</f>
        <v>0</v>
      </c>
      <c r="AI157">
        <f>vlookup("924-718057-200",B:AZ,column(ah1),0)*e157</f>
        <v>0</v>
      </c>
      <c r="AJ157">
        <f>vlookup("924-718057-200",B:AZ,column(ai1),0)*e157</f>
        <v>0</v>
      </c>
      <c r="AK157">
        <f>vlookup("924-718057-200",B:AZ,column(aj1),0)*e157</f>
        <v>0</v>
      </c>
      <c r="AL157">
        <f>vlookup("924-718057-200",B:AZ,column(ak1),0)*e157</f>
        <v>0</v>
      </c>
      <c r="AM157">
        <f>vlookup("924-718057-200",B:AZ,column(al1),0)*e157</f>
        <v>0</v>
      </c>
      <c r="AN157">
        <f>vlookup("924-718057-200",B:AZ,column(am1),0)*e157</f>
        <v>0</v>
      </c>
      <c r="AO157">
        <f>vlookup("924-718057-200",B:AZ,column(an1),0)*e157</f>
        <v>0</v>
      </c>
    </row>
    <row r="158" spans="1:41">
      <c r="A158" t="s">
        <v>22</v>
      </c>
      <c r="B158" t="s">
        <v>167</v>
      </c>
      <c r="C158" t="s">
        <v>168</v>
      </c>
      <c r="E158">
        <v>1</v>
      </c>
      <c r="I158" t="s">
        <v>15</v>
      </c>
      <c r="J158">
        <f>vlookup("924-718057-200",B:AZ,column(i1),0)*e158</f>
        <v>0</v>
      </c>
      <c r="K158">
        <f>vlookup("924-718057-200",B:AZ,column(j1),0)*e158</f>
        <v>0</v>
      </c>
      <c r="L158">
        <f>vlookup("924-718057-200",B:AZ,column(k1),0)*e158</f>
        <v>0</v>
      </c>
      <c r="M158">
        <f>vlookup("924-718057-200",B:AZ,column(l1),0)*e158</f>
        <v>0</v>
      </c>
      <c r="N158">
        <f>vlookup("924-718057-200",B:AZ,column(m1),0)*e158</f>
        <v>0</v>
      </c>
      <c r="O158">
        <f>vlookup("924-718057-200",B:AZ,column(n1),0)*e158</f>
        <v>0</v>
      </c>
      <c r="P158">
        <f>vlookup("924-718057-200",B:AZ,column(o1),0)*e158</f>
        <v>0</v>
      </c>
      <c r="Q158">
        <f>vlookup("924-718057-200",B:AZ,column(p1),0)*e158</f>
        <v>0</v>
      </c>
      <c r="R158">
        <f>vlookup("924-718057-200",B:AZ,column(q1),0)*e158</f>
        <v>0</v>
      </c>
      <c r="S158">
        <f>vlookup("924-718057-200",B:AZ,column(r1),0)*e158</f>
        <v>0</v>
      </c>
      <c r="T158">
        <f>vlookup("924-718057-200",B:AZ,column(s1),0)*e158</f>
        <v>0</v>
      </c>
      <c r="U158">
        <f>vlookup("924-718057-200",B:AZ,column(t1),0)*e158</f>
        <v>0</v>
      </c>
      <c r="V158">
        <f>vlookup("924-718057-200",B:AZ,column(u1),0)*e158</f>
        <v>0</v>
      </c>
      <c r="W158">
        <f>vlookup("924-718057-200",B:AZ,column(v1),0)*e158</f>
        <v>0</v>
      </c>
      <c r="X158">
        <f>vlookup("924-718057-200",B:AZ,column(w1),0)*e158</f>
        <v>0</v>
      </c>
      <c r="Y158">
        <f>vlookup("924-718057-200",B:AZ,column(x1),0)*e158</f>
        <v>0</v>
      </c>
      <c r="Z158">
        <f>vlookup("924-718057-200",B:AZ,column(y1),0)*e158</f>
        <v>0</v>
      </c>
      <c r="AA158">
        <f>vlookup("924-718057-200",B:AZ,column(z1),0)*e158</f>
        <v>0</v>
      </c>
      <c r="AB158">
        <f>vlookup("924-718057-200",B:AZ,column(aa1),0)*e158</f>
        <v>0</v>
      </c>
      <c r="AC158">
        <f>vlookup("924-718057-200",B:AZ,column(ab1),0)*e158</f>
        <v>0</v>
      </c>
      <c r="AD158">
        <f>vlookup("924-718057-200",B:AZ,column(ac1),0)*e158</f>
        <v>0</v>
      </c>
      <c r="AE158">
        <f>vlookup("924-718057-200",B:AZ,column(ad1),0)*e158</f>
        <v>0</v>
      </c>
      <c r="AF158">
        <f>vlookup("924-718057-200",B:AZ,column(ae1),0)*e158</f>
        <v>0</v>
      </c>
      <c r="AG158">
        <f>vlookup("924-718057-200",B:AZ,column(af1),0)*e158</f>
        <v>0</v>
      </c>
      <c r="AH158">
        <f>vlookup("924-718057-200",B:AZ,column(ag1),0)*e158</f>
        <v>0</v>
      </c>
      <c r="AI158">
        <f>vlookup("924-718057-200",B:AZ,column(ah1),0)*e158</f>
        <v>0</v>
      </c>
      <c r="AJ158">
        <f>vlookup("924-718057-200",B:AZ,column(ai1),0)*e158</f>
        <v>0</v>
      </c>
      <c r="AK158">
        <f>vlookup("924-718057-200",B:AZ,column(aj1),0)*e158</f>
        <v>0</v>
      </c>
      <c r="AL158">
        <f>vlookup("924-718057-200",B:AZ,column(ak1),0)*e158</f>
        <v>0</v>
      </c>
      <c r="AM158">
        <f>vlookup("924-718057-200",B:AZ,column(al1),0)*e158</f>
        <v>0</v>
      </c>
      <c r="AN158">
        <f>vlookup("924-718057-200",B:AZ,column(am1),0)*e158</f>
        <v>0</v>
      </c>
      <c r="AO158">
        <f>vlookup("924-718057-200",B:AZ,column(an1),0)*e158</f>
        <v>0</v>
      </c>
    </row>
    <row r="159" spans="1:41">
      <c r="A159" t="s">
        <v>22</v>
      </c>
      <c r="B159" t="s">
        <v>169</v>
      </c>
      <c r="C159" t="s">
        <v>170</v>
      </c>
      <c r="E159">
        <v>2</v>
      </c>
      <c r="I159" t="s">
        <v>15</v>
      </c>
      <c r="J159">
        <f>vlookup("924-718057-200",B:AZ,column(i1),0)*e159</f>
        <v>0</v>
      </c>
      <c r="K159">
        <f>vlookup("924-718057-200",B:AZ,column(j1),0)*e159</f>
        <v>0</v>
      </c>
      <c r="L159">
        <f>vlookup("924-718057-200",B:AZ,column(k1),0)*e159</f>
        <v>0</v>
      </c>
      <c r="M159">
        <f>vlookup("924-718057-200",B:AZ,column(l1),0)*e159</f>
        <v>0</v>
      </c>
      <c r="N159">
        <f>vlookup("924-718057-200",B:AZ,column(m1),0)*e159</f>
        <v>0</v>
      </c>
      <c r="O159">
        <f>vlookup("924-718057-200",B:AZ,column(n1),0)*e159</f>
        <v>0</v>
      </c>
      <c r="P159">
        <f>vlookup("924-718057-200",B:AZ,column(o1),0)*e159</f>
        <v>0</v>
      </c>
      <c r="Q159">
        <f>vlookup("924-718057-200",B:AZ,column(p1),0)*e159</f>
        <v>0</v>
      </c>
      <c r="R159">
        <f>vlookup("924-718057-200",B:AZ,column(q1),0)*e159</f>
        <v>0</v>
      </c>
      <c r="S159">
        <f>vlookup("924-718057-200",B:AZ,column(r1),0)*e159</f>
        <v>0</v>
      </c>
      <c r="T159">
        <f>vlookup("924-718057-200",B:AZ,column(s1),0)*e159</f>
        <v>0</v>
      </c>
      <c r="U159">
        <f>vlookup("924-718057-200",B:AZ,column(t1),0)*e159</f>
        <v>0</v>
      </c>
      <c r="V159">
        <f>vlookup("924-718057-200",B:AZ,column(u1),0)*e159</f>
        <v>0</v>
      </c>
      <c r="W159">
        <f>vlookup("924-718057-200",B:AZ,column(v1),0)*e159</f>
        <v>0</v>
      </c>
      <c r="X159">
        <f>vlookup("924-718057-200",B:AZ,column(w1),0)*e159</f>
        <v>0</v>
      </c>
      <c r="Y159">
        <f>vlookup("924-718057-200",B:AZ,column(x1),0)*e159</f>
        <v>0</v>
      </c>
      <c r="Z159">
        <f>vlookup("924-718057-200",B:AZ,column(y1),0)*e159</f>
        <v>0</v>
      </c>
      <c r="AA159">
        <f>vlookup("924-718057-200",B:AZ,column(z1),0)*e159</f>
        <v>0</v>
      </c>
      <c r="AB159">
        <f>vlookup("924-718057-200",B:AZ,column(aa1),0)*e159</f>
        <v>0</v>
      </c>
      <c r="AC159">
        <f>vlookup("924-718057-200",B:AZ,column(ab1),0)*e159</f>
        <v>0</v>
      </c>
      <c r="AD159">
        <f>vlookup("924-718057-200",B:AZ,column(ac1),0)*e159</f>
        <v>0</v>
      </c>
      <c r="AE159">
        <f>vlookup("924-718057-200",B:AZ,column(ad1),0)*e159</f>
        <v>0</v>
      </c>
      <c r="AF159">
        <f>vlookup("924-718057-200",B:AZ,column(ae1),0)*e159</f>
        <v>0</v>
      </c>
      <c r="AG159">
        <f>vlookup("924-718057-200",B:AZ,column(af1),0)*e159</f>
        <v>0</v>
      </c>
      <c r="AH159">
        <f>vlookup("924-718057-200",B:AZ,column(ag1),0)*e159</f>
        <v>0</v>
      </c>
      <c r="AI159">
        <f>vlookup("924-718057-200",B:AZ,column(ah1),0)*e159</f>
        <v>0</v>
      </c>
      <c r="AJ159">
        <f>vlookup("924-718057-200",B:AZ,column(ai1),0)*e159</f>
        <v>0</v>
      </c>
      <c r="AK159">
        <f>vlookup("924-718057-200",B:AZ,column(aj1),0)*e159</f>
        <v>0</v>
      </c>
      <c r="AL159">
        <f>vlookup("924-718057-200",B:AZ,column(ak1),0)*e159</f>
        <v>0</v>
      </c>
      <c r="AM159">
        <f>vlookup("924-718057-200",B:AZ,column(al1),0)*e159</f>
        <v>0</v>
      </c>
      <c r="AN159">
        <f>vlookup("924-718057-200",B:AZ,column(am1),0)*e159</f>
        <v>0</v>
      </c>
      <c r="AO159">
        <f>vlookup("924-718057-200",B:AZ,column(an1),0)*e159</f>
        <v>0</v>
      </c>
    </row>
    <row r="160" spans="1:41">
      <c r="A160" t="s">
        <v>22</v>
      </c>
      <c r="B160" t="s">
        <v>171</v>
      </c>
      <c r="C160" t="s">
        <v>172</v>
      </c>
      <c r="E160">
        <v>1</v>
      </c>
      <c r="I160" t="s">
        <v>15</v>
      </c>
      <c r="J160">
        <f>vlookup("924-718057-200",B:AZ,column(i1),0)*e160</f>
        <v>0</v>
      </c>
      <c r="K160">
        <f>vlookup("924-718057-200",B:AZ,column(j1),0)*e160</f>
        <v>0</v>
      </c>
      <c r="L160">
        <f>vlookup("924-718057-200",B:AZ,column(k1),0)*e160</f>
        <v>0</v>
      </c>
      <c r="M160">
        <f>vlookup("924-718057-200",B:AZ,column(l1),0)*e160</f>
        <v>0</v>
      </c>
      <c r="N160">
        <f>vlookup("924-718057-200",B:AZ,column(m1),0)*e160</f>
        <v>0</v>
      </c>
      <c r="O160">
        <f>vlookup("924-718057-200",B:AZ,column(n1),0)*e160</f>
        <v>0</v>
      </c>
      <c r="P160">
        <f>vlookup("924-718057-200",B:AZ,column(o1),0)*e160</f>
        <v>0</v>
      </c>
      <c r="Q160">
        <f>vlookup("924-718057-200",B:AZ,column(p1),0)*e160</f>
        <v>0</v>
      </c>
      <c r="R160">
        <f>vlookup("924-718057-200",B:AZ,column(q1),0)*e160</f>
        <v>0</v>
      </c>
      <c r="S160">
        <f>vlookup("924-718057-200",B:AZ,column(r1),0)*e160</f>
        <v>0</v>
      </c>
      <c r="T160">
        <f>vlookup("924-718057-200",B:AZ,column(s1),0)*e160</f>
        <v>0</v>
      </c>
      <c r="U160">
        <f>vlookup("924-718057-200",B:AZ,column(t1),0)*e160</f>
        <v>0</v>
      </c>
      <c r="V160">
        <f>vlookup("924-718057-200",B:AZ,column(u1),0)*e160</f>
        <v>0</v>
      </c>
      <c r="W160">
        <f>vlookup("924-718057-200",B:AZ,column(v1),0)*e160</f>
        <v>0</v>
      </c>
      <c r="X160">
        <f>vlookup("924-718057-200",B:AZ,column(w1),0)*e160</f>
        <v>0</v>
      </c>
      <c r="Y160">
        <f>vlookup("924-718057-200",B:AZ,column(x1),0)*e160</f>
        <v>0</v>
      </c>
      <c r="Z160">
        <f>vlookup("924-718057-200",B:AZ,column(y1),0)*e160</f>
        <v>0</v>
      </c>
      <c r="AA160">
        <f>vlookup("924-718057-200",B:AZ,column(z1),0)*e160</f>
        <v>0</v>
      </c>
      <c r="AB160">
        <f>vlookup("924-718057-200",B:AZ,column(aa1),0)*e160</f>
        <v>0</v>
      </c>
      <c r="AC160">
        <f>vlookup("924-718057-200",B:AZ,column(ab1),0)*e160</f>
        <v>0</v>
      </c>
      <c r="AD160">
        <f>vlookup("924-718057-200",B:AZ,column(ac1),0)*e160</f>
        <v>0</v>
      </c>
      <c r="AE160">
        <f>vlookup("924-718057-200",B:AZ,column(ad1),0)*e160</f>
        <v>0</v>
      </c>
      <c r="AF160">
        <f>vlookup("924-718057-200",B:AZ,column(ae1),0)*e160</f>
        <v>0</v>
      </c>
      <c r="AG160">
        <f>vlookup("924-718057-200",B:AZ,column(af1),0)*e160</f>
        <v>0</v>
      </c>
      <c r="AH160">
        <f>vlookup("924-718057-200",B:AZ,column(ag1),0)*e160</f>
        <v>0</v>
      </c>
      <c r="AI160">
        <f>vlookup("924-718057-200",B:AZ,column(ah1),0)*e160</f>
        <v>0</v>
      </c>
      <c r="AJ160">
        <f>vlookup("924-718057-200",B:AZ,column(ai1),0)*e160</f>
        <v>0</v>
      </c>
      <c r="AK160">
        <f>vlookup("924-718057-200",B:AZ,column(aj1),0)*e160</f>
        <v>0</v>
      </c>
      <c r="AL160">
        <f>vlookup("924-718057-200",B:AZ,column(ak1),0)*e160</f>
        <v>0</v>
      </c>
      <c r="AM160">
        <f>vlookup("924-718057-200",B:AZ,column(al1),0)*e160</f>
        <v>0</v>
      </c>
      <c r="AN160">
        <f>vlookup("924-718057-200",B:AZ,column(am1),0)*e160</f>
        <v>0</v>
      </c>
      <c r="AO160">
        <f>vlookup("924-718057-200",B:AZ,column(an1),0)*e160</f>
        <v>0</v>
      </c>
    </row>
    <row r="161" spans="1:41">
      <c r="A161" t="s">
        <v>22</v>
      </c>
      <c r="B161" t="s">
        <v>173</v>
      </c>
      <c r="C161" t="s">
        <v>174</v>
      </c>
      <c r="E161">
        <v>1</v>
      </c>
      <c r="I161" t="s">
        <v>15</v>
      </c>
      <c r="J161">
        <f>vlookup("924-718057-200",B:AZ,column(i1),0)*e161</f>
        <v>0</v>
      </c>
      <c r="K161">
        <f>vlookup("924-718057-200",B:AZ,column(j1),0)*e161</f>
        <v>0</v>
      </c>
      <c r="L161">
        <f>vlookup("924-718057-200",B:AZ,column(k1),0)*e161</f>
        <v>0</v>
      </c>
      <c r="M161">
        <f>vlookup("924-718057-200",B:AZ,column(l1),0)*e161</f>
        <v>0</v>
      </c>
      <c r="N161">
        <f>vlookup("924-718057-200",B:AZ,column(m1),0)*e161</f>
        <v>0</v>
      </c>
      <c r="O161">
        <f>vlookup("924-718057-200",B:AZ,column(n1),0)*e161</f>
        <v>0</v>
      </c>
      <c r="P161">
        <f>vlookup("924-718057-200",B:AZ,column(o1),0)*e161</f>
        <v>0</v>
      </c>
      <c r="Q161">
        <f>vlookup("924-718057-200",B:AZ,column(p1),0)*e161</f>
        <v>0</v>
      </c>
      <c r="R161">
        <f>vlookup("924-718057-200",B:AZ,column(q1),0)*e161</f>
        <v>0</v>
      </c>
      <c r="S161">
        <f>vlookup("924-718057-200",B:AZ,column(r1),0)*e161</f>
        <v>0</v>
      </c>
      <c r="T161">
        <f>vlookup("924-718057-200",B:AZ,column(s1),0)*e161</f>
        <v>0</v>
      </c>
      <c r="U161">
        <f>vlookup("924-718057-200",B:AZ,column(t1),0)*e161</f>
        <v>0</v>
      </c>
      <c r="V161">
        <f>vlookup("924-718057-200",B:AZ,column(u1),0)*e161</f>
        <v>0</v>
      </c>
      <c r="W161">
        <f>vlookup("924-718057-200",B:AZ,column(v1),0)*e161</f>
        <v>0</v>
      </c>
      <c r="X161">
        <f>vlookup("924-718057-200",B:AZ,column(w1),0)*e161</f>
        <v>0</v>
      </c>
      <c r="Y161">
        <f>vlookup("924-718057-200",B:AZ,column(x1),0)*e161</f>
        <v>0</v>
      </c>
      <c r="Z161">
        <f>vlookup("924-718057-200",B:AZ,column(y1),0)*e161</f>
        <v>0</v>
      </c>
      <c r="AA161">
        <f>vlookup("924-718057-200",B:AZ,column(z1),0)*e161</f>
        <v>0</v>
      </c>
      <c r="AB161">
        <f>vlookup("924-718057-200",B:AZ,column(aa1),0)*e161</f>
        <v>0</v>
      </c>
      <c r="AC161">
        <f>vlookup("924-718057-200",B:AZ,column(ab1),0)*e161</f>
        <v>0</v>
      </c>
      <c r="AD161">
        <f>vlookup("924-718057-200",B:AZ,column(ac1),0)*e161</f>
        <v>0</v>
      </c>
      <c r="AE161">
        <f>vlookup("924-718057-200",B:AZ,column(ad1),0)*e161</f>
        <v>0</v>
      </c>
      <c r="AF161">
        <f>vlookup("924-718057-200",B:AZ,column(ae1),0)*e161</f>
        <v>0</v>
      </c>
      <c r="AG161">
        <f>vlookup("924-718057-200",B:AZ,column(af1),0)*e161</f>
        <v>0</v>
      </c>
      <c r="AH161">
        <f>vlookup("924-718057-200",B:AZ,column(ag1),0)*e161</f>
        <v>0</v>
      </c>
      <c r="AI161">
        <f>vlookup("924-718057-200",B:AZ,column(ah1),0)*e161</f>
        <v>0</v>
      </c>
      <c r="AJ161">
        <f>vlookup("924-718057-200",B:AZ,column(ai1),0)*e161</f>
        <v>0</v>
      </c>
      <c r="AK161">
        <f>vlookup("924-718057-200",B:AZ,column(aj1),0)*e161</f>
        <v>0</v>
      </c>
      <c r="AL161">
        <f>vlookup("924-718057-200",B:AZ,column(ak1),0)*e161</f>
        <v>0</v>
      </c>
      <c r="AM161">
        <f>vlookup("924-718057-200",B:AZ,column(al1),0)*e161</f>
        <v>0</v>
      </c>
      <c r="AN161">
        <f>vlookup("924-718057-200",B:AZ,column(am1),0)*e161</f>
        <v>0</v>
      </c>
      <c r="AO161">
        <f>vlookup("924-718057-200",B:AZ,column(an1),0)*e161</f>
        <v>0</v>
      </c>
    </row>
    <row r="162" spans="1:41">
      <c r="A162" t="s">
        <v>22</v>
      </c>
      <c r="B162" t="s">
        <v>181</v>
      </c>
      <c r="C162" t="s">
        <v>182</v>
      </c>
      <c r="E162">
        <v>1</v>
      </c>
      <c r="I162" t="s">
        <v>15</v>
      </c>
      <c r="J162">
        <f>vlookup("924-718057-200",B:AZ,column(i1),0)*e162</f>
        <v>0</v>
      </c>
      <c r="K162">
        <f>vlookup("924-718057-200",B:AZ,column(j1),0)*e162</f>
        <v>0</v>
      </c>
      <c r="L162">
        <f>vlookup("924-718057-200",B:AZ,column(k1),0)*e162</f>
        <v>0</v>
      </c>
      <c r="M162">
        <f>vlookup("924-718057-200",B:AZ,column(l1),0)*e162</f>
        <v>0</v>
      </c>
      <c r="N162">
        <f>vlookup("924-718057-200",B:AZ,column(m1),0)*e162</f>
        <v>0</v>
      </c>
      <c r="O162">
        <f>vlookup("924-718057-200",B:AZ,column(n1),0)*e162</f>
        <v>0</v>
      </c>
      <c r="P162">
        <f>vlookup("924-718057-200",B:AZ,column(o1),0)*e162</f>
        <v>0</v>
      </c>
      <c r="Q162">
        <f>vlookup("924-718057-200",B:AZ,column(p1),0)*e162</f>
        <v>0</v>
      </c>
      <c r="R162">
        <f>vlookup("924-718057-200",B:AZ,column(q1),0)*e162</f>
        <v>0</v>
      </c>
      <c r="S162">
        <f>vlookup("924-718057-200",B:AZ,column(r1),0)*e162</f>
        <v>0</v>
      </c>
      <c r="T162">
        <f>vlookup("924-718057-200",B:AZ,column(s1),0)*e162</f>
        <v>0</v>
      </c>
      <c r="U162">
        <f>vlookup("924-718057-200",B:AZ,column(t1),0)*e162</f>
        <v>0</v>
      </c>
      <c r="V162">
        <f>vlookup("924-718057-200",B:AZ,column(u1),0)*e162</f>
        <v>0</v>
      </c>
      <c r="W162">
        <f>vlookup("924-718057-200",B:AZ,column(v1),0)*e162</f>
        <v>0</v>
      </c>
      <c r="X162">
        <f>vlookup("924-718057-200",B:AZ,column(w1),0)*e162</f>
        <v>0</v>
      </c>
      <c r="Y162">
        <f>vlookup("924-718057-200",B:AZ,column(x1),0)*e162</f>
        <v>0</v>
      </c>
      <c r="Z162">
        <f>vlookup("924-718057-200",B:AZ,column(y1),0)*e162</f>
        <v>0</v>
      </c>
      <c r="AA162">
        <f>vlookup("924-718057-200",B:AZ,column(z1),0)*e162</f>
        <v>0</v>
      </c>
      <c r="AB162">
        <f>vlookup("924-718057-200",B:AZ,column(aa1),0)*e162</f>
        <v>0</v>
      </c>
      <c r="AC162">
        <f>vlookup("924-718057-200",B:AZ,column(ab1),0)*e162</f>
        <v>0</v>
      </c>
      <c r="AD162">
        <f>vlookup("924-718057-200",B:AZ,column(ac1),0)*e162</f>
        <v>0</v>
      </c>
      <c r="AE162">
        <f>vlookup("924-718057-200",B:AZ,column(ad1),0)*e162</f>
        <v>0</v>
      </c>
      <c r="AF162">
        <f>vlookup("924-718057-200",B:AZ,column(ae1),0)*e162</f>
        <v>0</v>
      </c>
      <c r="AG162">
        <f>vlookup("924-718057-200",B:AZ,column(af1),0)*e162</f>
        <v>0</v>
      </c>
      <c r="AH162">
        <f>vlookup("924-718057-200",B:AZ,column(ag1),0)*e162</f>
        <v>0</v>
      </c>
      <c r="AI162">
        <f>vlookup("924-718057-200",B:AZ,column(ah1),0)*e162</f>
        <v>0</v>
      </c>
      <c r="AJ162">
        <f>vlookup("924-718057-200",B:AZ,column(ai1),0)*e162</f>
        <v>0</v>
      </c>
      <c r="AK162">
        <f>vlookup("924-718057-200",B:AZ,column(aj1),0)*e162</f>
        <v>0</v>
      </c>
      <c r="AL162">
        <f>vlookup("924-718057-200",B:AZ,column(ak1),0)*e162</f>
        <v>0</v>
      </c>
      <c r="AM162">
        <f>vlookup("924-718057-200",B:AZ,column(al1),0)*e162</f>
        <v>0</v>
      </c>
      <c r="AN162">
        <f>vlookup("924-718057-200",B:AZ,column(am1),0)*e162</f>
        <v>0</v>
      </c>
      <c r="AO162">
        <f>vlookup("924-718057-200",B:AZ,column(an1),0)*e162</f>
        <v>0</v>
      </c>
    </row>
    <row r="163" spans="1:41">
      <c r="A163" t="s">
        <v>10</v>
      </c>
      <c r="B163" t="s">
        <v>185</v>
      </c>
      <c r="C163" t="s">
        <v>186</v>
      </c>
      <c r="E163">
        <v>1</v>
      </c>
      <c r="I163" t="s">
        <v>14</v>
      </c>
      <c r="AO163">
        <f>sum(j163:an163)</f>
        <v>0</v>
      </c>
    </row>
    <row r="164" spans="1:41">
      <c r="I164" t="s">
        <v>15</v>
      </c>
      <c r="J164">
        <f>vlookup("924-700000-100",Out!B:AZ,column(i1),0)</f>
        <v>0</v>
      </c>
      <c r="K164">
        <f>vlookup("924-700000-100",Out!B:AZ,column(j1),0)</f>
        <v>0</v>
      </c>
      <c r="L164">
        <f>vlookup("924-700000-100",Out!B:AZ,column(k1),0)</f>
        <v>0</v>
      </c>
      <c r="M164">
        <f>vlookup("924-700000-100",Out!B:AZ,column(l1),0)</f>
        <v>0</v>
      </c>
      <c r="N164">
        <f>vlookup("924-700000-100",Out!B:AZ,column(m1),0)</f>
        <v>0</v>
      </c>
      <c r="O164">
        <f>vlookup("924-700000-100",Out!B:AZ,column(n1),0)</f>
        <v>0</v>
      </c>
      <c r="P164">
        <f>vlookup("924-700000-100",Out!B:AZ,column(o1),0)</f>
        <v>0</v>
      </c>
      <c r="Q164">
        <f>vlookup("924-700000-100",Out!B:AZ,column(p1),0)</f>
        <v>0</v>
      </c>
      <c r="R164">
        <f>vlookup("924-700000-100",Out!B:AZ,column(q1),0)</f>
        <v>0</v>
      </c>
      <c r="S164">
        <f>vlookup("924-700000-100",Out!B:AZ,column(r1),0)</f>
        <v>0</v>
      </c>
      <c r="T164">
        <f>vlookup("924-700000-100",Out!B:AZ,column(s1),0)</f>
        <v>0</v>
      </c>
      <c r="U164">
        <f>vlookup("924-700000-100",Out!B:AZ,column(t1),0)</f>
        <v>0</v>
      </c>
      <c r="V164">
        <f>vlookup("924-700000-100",Out!B:AZ,column(u1),0)</f>
        <v>0</v>
      </c>
      <c r="W164">
        <f>vlookup("924-700000-100",Out!B:AZ,column(v1),0)</f>
        <v>0</v>
      </c>
      <c r="X164">
        <f>vlookup("924-700000-100",Out!B:AZ,column(w1),0)</f>
        <v>0</v>
      </c>
      <c r="Y164">
        <f>vlookup("924-700000-100",Out!B:AZ,column(x1),0)</f>
        <v>0</v>
      </c>
      <c r="Z164">
        <f>vlookup("924-700000-100",Out!B:AZ,column(y1),0)</f>
        <v>0</v>
      </c>
      <c r="AA164">
        <f>vlookup("924-700000-100",Out!B:AZ,column(z1),0)</f>
        <v>0</v>
      </c>
      <c r="AB164">
        <f>vlookup("924-700000-100",Out!B:AZ,column(aa1),0)</f>
        <v>0</v>
      </c>
      <c r="AC164">
        <f>vlookup("924-700000-100",Out!B:AZ,column(ab1),0)</f>
        <v>0</v>
      </c>
      <c r="AD164">
        <f>vlookup("924-700000-100",Out!B:AZ,column(ac1),0)</f>
        <v>0</v>
      </c>
      <c r="AE164">
        <f>vlookup("924-700000-100",Out!B:AZ,column(ad1),0)</f>
        <v>0</v>
      </c>
      <c r="AF164">
        <f>vlookup("924-700000-100",Out!B:AZ,column(ae1),0)</f>
        <v>0</v>
      </c>
      <c r="AG164">
        <f>vlookup("924-700000-100",Out!B:AZ,column(af1),0)</f>
        <v>0</v>
      </c>
      <c r="AH164">
        <f>vlookup("924-700000-100",Out!B:AZ,column(ag1),0)</f>
        <v>0</v>
      </c>
      <c r="AI164">
        <f>vlookup("924-700000-100",Out!B:AZ,column(ah1),0)</f>
        <v>0</v>
      </c>
      <c r="AJ164">
        <f>vlookup("924-700000-100",Out!B:AZ,column(ai1),0)</f>
        <v>0</v>
      </c>
      <c r="AK164">
        <f>vlookup("924-700000-100",Out!B:AZ,column(aj1),0)</f>
        <v>0</v>
      </c>
      <c r="AL164">
        <f>vlookup("924-700000-100",Out!B:AZ,column(ak1),0)</f>
        <v>0</v>
      </c>
      <c r="AM164">
        <f>vlookup("924-700000-100",Out!B:AZ,column(al1),0)</f>
        <v>0</v>
      </c>
      <c r="AN164">
        <f>vlookup("924-700000-100",Out!B:AZ,column(am1),0)</f>
        <v>0</v>
      </c>
      <c r="AO164">
        <f>vlookup("924-700000-100",Out!B:AZ,column(an1),0)</f>
        <v>0</v>
      </c>
    </row>
    <row r="165" spans="1:41">
      <c r="H165" t="s">
        <v>16</v>
      </c>
      <c r="J165">
        <f>indirect(address(165,9))+indirect(address(163,10))-indirect(address(164,10))</f>
        <v>0</v>
      </c>
      <c r="K165">
        <f>indirect(address(165,10))+indirect(address(163,11))-indirect(address(164,11))</f>
        <v>0</v>
      </c>
      <c r="L165">
        <f>indirect(address(165,11))+indirect(address(163,12))-indirect(address(164,12))</f>
        <v>0</v>
      </c>
      <c r="M165">
        <f>indirect(address(165,12))+indirect(address(163,13))-indirect(address(164,13))</f>
        <v>0</v>
      </c>
      <c r="N165">
        <f>indirect(address(165,13))+indirect(address(163,14))-indirect(address(164,14))</f>
        <v>0</v>
      </c>
      <c r="O165">
        <f>indirect(address(165,14))+indirect(address(163,15))-indirect(address(164,15))</f>
        <v>0</v>
      </c>
      <c r="P165">
        <f>indirect(address(165,15))+indirect(address(163,16))-indirect(address(164,16))</f>
        <v>0</v>
      </c>
      <c r="Q165">
        <f>indirect(address(165,16))+indirect(address(163,17))-indirect(address(164,17))</f>
        <v>0</v>
      </c>
      <c r="R165">
        <f>indirect(address(165,17))+indirect(address(163,18))-indirect(address(164,18))</f>
        <v>0</v>
      </c>
      <c r="S165">
        <f>indirect(address(165,18))+indirect(address(163,19))-indirect(address(164,19))</f>
        <v>0</v>
      </c>
      <c r="T165">
        <f>indirect(address(165,19))+indirect(address(163,20))-indirect(address(164,20))</f>
        <v>0</v>
      </c>
      <c r="U165">
        <f>indirect(address(165,20))+indirect(address(163,21))-indirect(address(164,21))</f>
        <v>0</v>
      </c>
      <c r="V165">
        <f>indirect(address(165,21))+indirect(address(163,22))-indirect(address(164,22))</f>
        <v>0</v>
      </c>
      <c r="W165">
        <f>indirect(address(165,22))+indirect(address(163,23))-indirect(address(164,23))</f>
        <v>0</v>
      </c>
      <c r="X165">
        <f>indirect(address(165,23))+indirect(address(163,24))-indirect(address(164,24))</f>
        <v>0</v>
      </c>
      <c r="Y165">
        <f>indirect(address(165,24))+indirect(address(163,25))-indirect(address(164,25))</f>
        <v>0</v>
      </c>
      <c r="Z165">
        <f>indirect(address(165,25))+indirect(address(163,26))-indirect(address(164,26))</f>
        <v>0</v>
      </c>
      <c r="AA165">
        <f>indirect(address(165,26))+indirect(address(163,27))-indirect(address(164,27))</f>
        <v>0</v>
      </c>
      <c r="AB165">
        <f>indirect(address(165,27))+indirect(address(163,28))-indirect(address(164,28))</f>
        <v>0</v>
      </c>
      <c r="AC165">
        <f>indirect(address(165,28))+indirect(address(163,29))-indirect(address(164,29))</f>
        <v>0</v>
      </c>
      <c r="AD165">
        <f>indirect(address(165,29))+indirect(address(163,30))-indirect(address(164,30))</f>
        <v>0</v>
      </c>
      <c r="AE165">
        <f>indirect(address(165,30))+indirect(address(163,31))-indirect(address(164,31))</f>
        <v>0</v>
      </c>
      <c r="AF165">
        <f>indirect(address(165,31))+indirect(address(163,32))-indirect(address(164,32))</f>
        <v>0</v>
      </c>
      <c r="AG165">
        <f>indirect(address(165,32))+indirect(address(163,33))-indirect(address(164,33))</f>
        <v>0</v>
      </c>
      <c r="AH165">
        <f>indirect(address(165,33))+indirect(address(163,34))-indirect(address(164,34))</f>
        <v>0</v>
      </c>
      <c r="AI165">
        <f>indirect(address(165,34))+indirect(address(163,35))-indirect(address(164,35))</f>
        <v>0</v>
      </c>
      <c r="AJ165">
        <f>indirect(address(165,35))+indirect(address(163,36))-indirect(address(164,36))</f>
        <v>0</v>
      </c>
      <c r="AK165">
        <f>indirect(address(165,36))+indirect(address(163,37))-indirect(address(164,37))</f>
        <v>0</v>
      </c>
      <c r="AL165">
        <f>indirect(address(165,37))+indirect(address(163,38))-indirect(address(164,38))</f>
        <v>0</v>
      </c>
      <c r="AM165">
        <f>indirect(address(165,38))+indirect(address(163,39))-indirect(address(164,39))</f>
        <v>0</v>
      </c>
      <c r="AN165">
        <f>indirect(address(165,39))+indirect(address(163,40))-indirect(address(164,40))</f>
        <v>0</v>
      </c>
      <c r="AO165">
        <f>indirect(address(165,40))</f>
        <v>0</v>
      </c>
    </row>
    <row r="166" spans="1:41">
      <c r="A166" t="s">
        <v>17</v>
      </c>
      <c r="B166" t="s">
        <v>187</v>
      </c>
      <c r="C166" t="s">
        <v>188</v>
      </c>
      <c r="E166">
        <v>1</v>
      </c>
      <c r="I166" t="s">
        <v>15</v>
      </c>
      <c r="J166">
        <f>vlookup("924-700000-100",B:AZ,column(i1),0)*e166</f>
        <v>0</v>
      </c>
      <c r="K166">
        <f>vlookup("924-700000-100",B:AZ,column(j1),0)*e166</f>
        <v>0</v>
      </c>
      <c r="L166">
        <f>vlookup("924-700000-100",B:AZ,column(k1),0)*e166</f>
        <v>0</v>
      </c>
      <c r="M166">
        <f>vlookup("924-700000-100",B:AZ,column(l1),0)*e166</f>
        <v>0</v>
      </c>
      <c r="N166">
        <f>vlookup("924-700000-100",B:AZ,column(m1),0)*e166</f>
        <v>0</v>
      </c>
      <c r="O166">
        <f>vlookup("924-700000-100",B:AZ,column(n1),0)*e166</f>
        <v>0</v>
      </c>
      <c r="P166">
        <f>vlookup("924-700000-100",B:AZ,column(o1),0)*e166</f>
        <v>0</v>
      </c>
      <c r="Q166">
        <f>vlookup("924-700000-100",B:AZ,column(p1),0)*e166</f>
        <v>0</v>
      </c>
      <c r="R166">
        <f>vlookup("924-700000-100",B:AZ,column(q1),0)*e166</f>
        <v>0</v>
      </c>
      <c r="S166">
        <f>vlookup("924-700000-100",B:AZ,column(r1),0)*e166</f>
        <v>0</v>
      </c>
      <c r="T166">
        <f>vlookup("924-700000-100",B:AZ,column(s1),0)*e166</f>
        <v>0</v>
      </c>
      <c r="U166">
        <f>vlookup("924-700000-100",B:AZ,column(t1),0)*e166</f>
        <v>0</v>
      </c>
      <c r="V166">
        <f>vlookup("924-700000-100",B:AZ,column(u1),0)*e166</f>
        <v>0</v>
      </c>
      <c r="W166">
        <f>vlookup("924-700000-100",B:AZ,column(v1),0)*e166</f>
        <v>0</v>
      </c>
      <c r="X166">
        <f>vlookup("924-700000-100",B:AZ,column(w1),0)*e166</f>
        <v>0</v>
      </c>
      <c r="Y166">
        <f>vlookup("924-700000-100",B:AZ,column(x1),0)*e166</f>
        <v>0</v>
      </c>
      <c r="Z166">
        <f>vlookup("924-700000-100",B:AZ,column(y1),0)*e166</f>
        <v>0</v>
      </c>
      <c r="AA166">
        <f>vlookup("924-700000-100",B:AZ,column(z1),0)*e166</f>
        <v>0</v>
      </c>
      <c r="AB166">
        <f>vlookup("924-700000-100",B:AZ,column(aa1),0)*e166</f>
        <v>0</v>
      </c>
      <c r="AC166">
        <f>vlookup("924-700000-100",B:AZ,column(ab1),0)*e166</f>
        <v>0</v>
      </c>
      <c r="AD166">
        <f>vlookup("924-700000-100",B:AZ,column(ac1),0)*e166</f>
        <v>0</v>
      </c>
      <c r="AE166">
        <f>vlookup("924-700000-100",B:AZ,column(ad1),0)*e166</f>
        <v>0</v>
      </c>
      <c r="AF166">
        <f>vlookup("924-700000-100",B:AZ,column(ae1),0)*e166</f>
        <v>0</v>
      </c>
      <c r="AG166">
        <f>vlookup("924-700000-100",B:AZ,column(af1),0)*e166</f>
        <v>0</v>
      </c>
      <c r="AH166">
        <f>vlookup("924-700000-100",B:AZ,column(ag1),0)*e166</f>
        <v>0</v>
      </c>
      <c r="AI166">
        <f>vlookup("924-700000-100",B:AZ,column(ah1),0)*e166</f>
        <v>0</v>
      </c>
      <c r="AJ166">
        <f>vlookup("924-700000-100",B:AZ,column(ai1),0)*e166</f>
        <v>0</v>
      </c>
      <c r="AK166">
        <f>vlookup("924-700000-100",B:AZ,column(aj1),0)*e166</f>
        <v>0</v>
      </c>
      <c r="AL166">
        <f>vlookup("924-700000-100",B:AZ,column(ak1),0)*e166</f>
        <v>0</v>
      </c>
      <c r="AM166">
        <f>vlookup("924-700000-100",B:AZ,column(al1),0)*e166</f>
        <v>0</v>
      </c>
      <c r="AN166">
        <f>vlookup("924-700000-100",B:AZ,column(am1),0)*e166</f>
        <v>0</v>
      </c>
      <c r="AO166">
        <f>vlookup("924-700000-100",B:AZ,column(an1),0)*e166</f>
        <v>0</v>
      </c>
    </row>
    <row r="167" spans="1:41">
      <c r="A167" t="s">
        <v>17</v>
      </c>
      <c r="B167" t="s">
        <v>189</v>
      </c>
      <c r="C167" t="s">
        <v>190</v>
      </c>
      <c r="E167">
        <v>1</v>
      </c>
      <c r="I167" t="s">
        <v>15</v>
      </c>
      <c r="J167">
        <f>vlookup("924-700000-100",B:AZ,column(i1),0)*e167</f>
        <v>0</v>
      </c>
      <c r="K167">
        <f>vlookup("924-700000-100",B:AZ,column(j1),0)*e167</f>
        <v>0</v>
      </c>
      <c r="L167">
        <f>vlookup("924-700000-100",B:AZ,column(k1),0)*e167</f>
        <v>0</v>
      </c>
      <c r="M167">
        <f>vlookup("924-700000-100",B:AZ,column(l1),0)*e167</f>
        <v>0</v>
      </c>
      <c r="N167">
        <f>vlookup("924-700000-100",B:AZ,column(m1),0)*e167</f>
        <v>0</v>
      </c>
      <c r="O167">
        <f>vlookup("924-700000-100",B:AZ,column(n1),0)*e167</f>
        <v>0</v>
      </c>
      <c r="P167">
        <f>vlookup("924-700000-100",B:AZ,column(o1),0)*e167</f>
        <v>0</v>
      </c>
      <c r="Q167">
        <f>vlookup("924-700000-100",B:AZ,column(p1),0)*e167</f>
        <v>0</v>
      </c>
      <c r="R167">
        <f>vlookup("924-700000-100",B:AZ,column(q1),0)*e167</f>
        <v>0</v>
      </c>
      <c r="S167">
        <f>vlookup("924-700000-100",B:AZ,column(r1),0)*e167</f>
        <v>0</v>
      </c>
      <c r="T167">
        <f>vlookup("924-700000-100",B:AZ,column(s1),0)*e167</f>
        <v>0</v>
      </c>
      <c r="U167">
        <f>vlookup("924-700000-100",B:AZ,column(t1),0)*e167</f>
        <v>0</v>
      </c>
      <c r="V167">
        <f>vlookup("924-700000-100",B:AZ,column(u1),0)*e167</f>
        <v>0</v>
      </c>
      <c r="W167">
        <f>vlookup("924-700000-100",B:AZ,column(v1),0)*e167</f>
        <v>0</v>
      </c>
      <c r="X167">
        <f>vlookup("924-700000-100",B:AZ,column(w1),0)*e167</f>
        <v>0</v>
      </c>
      <c r="Y167">
        <f>vlookup("924-700000-100",B:AZ,column(x1),0)*e167</f>
        <v>0</v>
      </c>
      <c r="Z167">
        <f>vlookup("924-700000-100",B:AZ,column(y1),0)*e167</f>
        <v>0</v>
      </c>
      <c r="AA167">
        <f>vlookup("924-700000-100",B:AZ,column(z1),0)*e167</f>
        <v>0</v>
      </c>
      <c r="AB167">
        <f>vlookup("924-700000-100",B:AZ,column(aa1),0)*e167</f>
        <v>0</v>
      </c>
      <c r="AC167">
        <f>vlookup("924-700000-100",B:AZ,column(ab1),0)*e167</f>
        <v>0</v>
      </c>
      <c r="AD167">
        <f>vlookup("924-700000-100",B:AZ,column(ac1),0)*e167</f>
        <v>0</v>
      </c>
      <c r="AE167">
        <f>vlookup("924-700000-100",B:AZ,column(ad1),0)*e167</f>
        <v>0</v>
      </c>
      <c r="AF167">
        <f>vlookup("924-700000-100",B:AZ,column(ae1),0)*e167</f>
        <v>0</v>
      </c>
      <c r="AG167">
        <f>vlookup("924-700000-100",B:AZ,column(af1),0)*e167</f>
        <v>0</v>
      </c>
      <c r="AH167">
        <f>vlookup("924-700000-100",B:AZ,column(ag1),0)*e167</f>
        <v>0</v>
      </c>
      <c r="AI167">
        <f>vlookup("924-700000-100",B:AZ,column(ah1),0)*e167</f>
        <v>0</v>
      </c>
      <c r="AJ167">
        <f>vlookup("924-700000-100",B:AZ,column(ai1),0)*e167</f>
        <v>0</v>
      </c>
      <c r="AK167">
        <f>vlookup("924-700000-100",B:AZ,column(aj1),0)*e167</f>
        <v>0</v>
      </c>
      <c r="AL167">
        <f>vlookup("924-700000-100",B:AZ,column(ak1),0)*e167</f>
        <v>0</v>
      </c>
      <c r="AM167">
        <f>vlookup("924-700000-100",B:AZ,column(al1),0)*e167</f>
        <v>0</v>
      </c>
      <c r="AN167">
        <f>vlookup("924-700000-100",B:AZ,column(am1),0)*e167</f>
        <v>0</v>
      </c>
      <c r="AO167">
        <f>vlookup("924-700000-100",B:AZ,column(an1),0)*e167</f>
        <v>0</v>
      </c>
    </row>
    <row r="168" spans="1:41">
      <c r="A168" t="s">
        <v>22</v>
      </c>
      <c r="B168" t="s">
        <v>191</v>
      </c>
      <c r="C168" t="s">
        <v>192</v>
      </c>
      <c r="E168">
        <v>2</v>
      </c>
      <c r="I168" t="s">
        <v>15</v>
      </c>
      <c r="J168">
        <f>vlookup("924-700000-100",B:AZ,column(i1),0)*e168</f>
        <v>0</v>
      </c>
      <c r="K168">
        <f>vlookup("924-700000-100",B:AZ,column(j1),0)*e168</f>
        <v>0</v>
      </c>
      <c r="L168">
        <f>vlookup("924-700000-100",B:AZ,column(k1),0)*e168</f>
        <v>0</v>
      </c>
      <c r="M168">
        <f>vlookup("924-700000-100",B:AZ,column(l1),0)*e168</f>
        <v>0</v>
      </c>
      <c r="N168">
        <f>vlookup("924-700000-100",B:AZ,column(m1),0)*e168</f>
        <v>0</v>
      </c>
      <c r="O168">
        <f>vlookup("924-700000-100",B:AZ,column(n1),0)*e168</f>
        <v>0</v>
      </c>
      <c r="P168">
        <f>vlookup("924-700000-100",B:AZ,column(o1),0)*e168</f>
        <v>0</v>
      </c>
      <c r="Q168">
        <f>vlookup("924-700000-100",B:AZ,column(p1),0)*e168</f>
        <v>0</v>
      </c>
      <c r="R168">
        <f>vlookup("924-700000-100",B:AZ,column(q1),0)*e168</f>
        <v>0</v>
      </c>
      <c r="S168">
        <f>vlookup("924-700000-100",B:AZ,column(r1),0)*e168</f>
        <v>0</v>
      </c>
      <c r="T168">
        <f>vlookup("924-700000-100",B:AZ,column(s1),0)*e168</f>
        <v>0</v>
      </c>
      <c r="U168">
        <f>vlookup("924-700000-100",B:AZ,column(t1),0)*e168</f>
        <v>0</v>
      </c>
      <c r="V168">
        <f>vlookup("924-700000-100",B:AZ,column(u1),0)*e168</f>
        <v>0</v>
      </c>
      <c r="W168">
        <f>vlookup("924-700000-100",B:AZ,column(v1),0)*e168</f>
        <v>0</v>
      </c>
      <c r="X168">
        <f>vlookup("924-700000-100",B:AZ,column(w1),0)*e168</f>
        <v>0</v>
      </c>
      <c r="Y168">
        <f>vlookup("924-700000-100",B:AZ,column(x1),0)*e168</f>
        <v>0</v>
      </c>
      <c r="Z168">
        <f>vlookup("924-700000-100",B:AZ,column(y1),0)*e168</f>
        <v>0</v>
      </c>
      <c r="AA168">
        <f>vlookup("924-700000-100",B:AZ,column(z1),0)*e168</f>
        <v>0</v>
      </c>
      <c r="AB168">
        <f>vlookup("924-700000-100",B:AZ,column(aa1),0)*e168</f>
        <v>0</v>
      </c>
      <c r="AC168">
        <f>vlookup("924-700000-100",B:AZ,column(ab1),0)*e168</f>
        <v>0</v>
      </c>
      <c r="AD168">
        <f>vlookup("924-700000-100",B:AZ,column(ac1),0)*e168</f>
        <v>0</v>
      </c>
      <c r="AE168">
        <f>vlookup("924-700000-100",B:AZ,column(ad1),0)*e168</f>
        <v>0</v>
      </c>
      <c r="AF168">
        <f>vlookup("924-700000-100",B:AZ,column(ae1),0)*e168</f>
        <v>0</v>
      </c>
      <c r="AG168">
        <f>vlookup("924-700000-100",B:AZ,column(af1),0)*e168</f>
        <v>0</v>
      </c>
      <c r="AH168">
        <f>vlookup("924-700000-100",B:AZ,column(ag1),0)*e168</f>
        <v>0</v>
      </c>
      <c r="AI168">
        <f>vlookup("924-700000-100",B:AZ,column(ah1),0)*e168</f>
        <v>0</v>
      </c>
      <c r="AJ168">
        <f>vlookup("924-700000-100",B:AZ,column(ai1),0)*e168</f>
        <v>0</v>
      </c>
      <c r="AK168">
        <f>vlookup("924-700000-100",B:AZ,column(aj1),0)*e168</f>
        <v>0</v>
      </c>
      <c r="AL168">
        <f>vlookup("924-700000-100",B:AZ,column(ak1),0)*e168</f>
        <v>0</v>
      </c>
      <c r="AM168">
        <f>vlookup("924-700000-100",B:AZ,column(al1),0)*e168</f>
        <v>0</v>
      </c>
      <c r="AN168">
        <f>vlookup("924-700000-100",B:AZ,column(am1),0)*e168</f>
        <v>0</v>
      </c>
      <c r="AO168">
        <f>vlookup("924-700000-100",B:AZ,column(an1),0)*e168</f>
        <v>0</v>
      </c>
    </row>
    <row r="169" spans="1:41">
      <c r="A169" t="s">
        <v>22</v>
      </c>
      <c r="B169" t="s">
        <v>193</v>
      </c>
      <c r="C169" t="s">
        <v>194</v>
      </c>
      <c r="E169">
        <v>3</v>
      </c>
      <c r="I169" t="s">
        <v>15</v>
      </c>
      <c r="J169">
        <f>vlookup("924-700000-100",B:AZ,column(i1),0)*e169</f>
        <v>0</v>
      </c>
      <c r="K169">
        <f>vlookup("924-700000-100",B:AZ,column(j1),0)*e169</f>
        <v>0</v>
      </c>
      <c r="L169">
        <f>vlookup("924-700000-100",B:AZ,column(k1),0)*e169</f>
        <v>0</v>
      </c>
      <c r="M169">
        <f>vlookup("924-700000-100",B:AZ,column(l1),0)*e169</f>
        <v>0</v>
      </c>
      <c r="N169">
        <f>vlookup("924-700000-100",B:AZ,column(m1),0)*e169</f>
        <v>0</v>
      </c>
      <c r="O169">
        <f>vlookup("924-700000-100",B:AZ,column(n1),0)*e169</f>
        <v>0</v>
      </c>
      <c r="P169">
        <f>vlookup("924-700000-100",B:AZ,column(o1),0)*e169</f>
        <v>0</v>
      </c>
      <c r="Q169">
        <f>vlookup("924-700000-100",B:AZ,column(p1),0)*e169</f>
        <v>0</v>
      </c>
      <c r="R169">
        <f>vlookup("924-700000-100",B:AZ,column(q1),0)*e169</f>
        <v>0</v>
      </c>
      <c r="S169">
        <f>vlookup("924-700000-100",B:AZ,column(r1),0)*e169</f>
        <v>0</v>
      </c>
      <c r="T169">
        <f>vlookup("924-700000-100",B:AZ,column(s1),0)*e169</f>
        <v>0</v>
      </c>
      <c r="U169">
        <f>vlookup("924-700000-100",B:AZ,column(t1),0)*e169</f>
        <v>0</v>
      </c>
      <c r="V169">
        <f>vlookup("924-700000-100",B:AZ,column(u1),0)*e169</f>
        <v>0</v>
      </c>
      <c r="W169">
        <f>vlookup("924-700000-100",B:AZ,column(v1),0)*e169</f>
        <v>0</v>
      </c>
      <c r="X169">
        <f>vlookup("924-700000-100",B:AZ,column(w1),0)*e169</f>
        <v>0</v>
      </c>
      <c r="Y169">
        <f>vlookup("924-700000-100",B:AZ,column(x1),0)*e169</f>
        <v>0</v>
      </c>
      <c r="Z169">
        <f>vlookup("924-700000-100",B:AZ,column(y1),0)*e169</f>
        <v>0</v>
      </c>
      <c r="AA169">
        <f>vlookup("924-700000-100",B:AZ,column(z1),0)*e169</f>
        <v>0</v>
      </c>
      <c r="AB169">
        <f>vlookup("924-700000-100",B:AZ,column(aa1),0)*e169</f>
        <v>0</v>
      </c>
      <c r="AC169">
        <f>vlookup("924-700000-100",B:AZ,column(ab1),0)*e169</f>
        <v>0</v>
      </c>
      <c r="AD169">
        <f>vlookup("924-700000-100",B:AZ,column(ac1),0)*e169</f>
        <v>0</v>
      </c>
      <c r="AE169">
        <f>vlookup("924-700000-100",B:AZ,column(ad1),0)*e169</f>
        <v>0</v>
      </c>
      <c r="AF169">
        <f>vlookup("924-700000-100",B:AZ,column(ae1),0)*e169</f>
        <v>0</v>
      </c>
      <c r="AG169">
        <f>vlookup("924-700000-100",B:AZ,column(af1),0)*e169</f>
        <v>0</v>
      </c>
      <c r="AH169">
        <f>vlookup("924-700000-100",B:AZ,column(ag1),0)*e169</f>
        <v>0</v>
      </c>
      <c r="AI169">
        <f>vlookup("924-700000-100",B:AZ,column(ah1),0)*e169</f>
        <v>0</v>
      </c>
      <c r="AJ169">
        <f>vlookup("924-700000-100",B:AZ,column(ai1),0)*e169</f>
        <v>0</v>
      </c>
      <c r="AK169">
        <f>vlookup("924-700000-100",B:AZ,column(aj1),0)*e169</f>
        <v>0</v>
      </c>
      <c r="AL169">
        <f>vlookup("924-700000-100",B:AZ,column(ak1),0)*e169</f>
        <v>0</v>
      </c>
      <c r="AM169">
        <f>vlookup("924-700000-100",B:AZ,column(al1),0)*e169</f>
        <v>0</v>
      </c>
      <c r="AN169">
        <f>vlookup("924-700000-100",B:AZ,column(am1),0)*e169</f>
        <v>0</v>
      </c>
      <c r="AO169">
        <f>vlookup("924-700000-100",B:AZ,column(an1),0)*e169</f>
        <v>0</v>
      </c>
    </row>
    <row r="170" spans="1:41">
      <c r="A170" t="s">
        <v>22</v>
      </c>
      <c r="B170" t="s">
        <v>195</v>
      </c>
      <c r="C170" t="s">
        <v>196</v>
      </c>
      <c r="E170">
        <v>1</v>
      </c>
      <c r="I170" t="s">
        <v>15</v>
      </c>
      <c r="J170">
        <f>vlookup("924-700000-100",B:AZ,column(i1),0)*e170</f>
        <v>0</v>
      </c>
      <c r="K170">
        <f>vlookup("924-700000-100",B:AZ,column(j1),0)*e170</f>
        <v>0</v>
      </c>
      <c r="L170">
        <f>vlookup("924-700000-100",B:AZ,column(k1),0)*e170</f>
        <v>0</v>
      </c>
      <c r="M170">
        <f>vlookup("924-700000-100",B:AZ,column(l1),0)*e170</f>
        <v>0</v>
      </c>
      <c r="N170">
        <f>vlookup("924-700000-100",B:AZ,column(m1),0)*e170</f>
        <v>0</v>
      </c>
      <c r="O170">
        <f>vlookup("924-700000-100",B:AZ,column(n1),0)*e170</f>
        <v>0</v>
      </c>
      <c r="P170">
        <f>vlookup("924-700000-100",B:AZ,column(o1),0)*e170</f>
        <v>0</v>
      </c>
      <c r="Q170">
        <f>vlookup("924-700000-100",B:AZ,column(p1),0)*e170</f>
        <v>0</v>
      </c>
      <c r="R170">
        <f>vlookup("924-700000-100",B:AZ,column(q1),0)*e170</f>
        <v>0</v>
      </c>
      <c r="S170">
        <f>vlookup("924-700000-100",B:AZ,column(r1),0)*e170</f>
        <v>0</v>
      </c>
      <c r="T170">
        <f>vlookup("924-700000-100",B:AZ,column(s1),0)*e170</f>
        <v>0</v>
      </c>
      <c r="U170">
        <f>vlookup("924-700000-100",B:AZ,column(t1),0)*e170</f>
        <v>0</v>
      </c>
      <c r="V170">
        <f>vlookup("924-700000-100",B:AZ,column(u1),0)*e170</f>
        <v>0</v>
      </c>
      <c r="W170">
        <f>vlookup("924-700000-100",B:AZ,column(v1),0)*e170</f>
        <v>0</v>
      </c>
      <c r="X170">
        <f>vlookup("924-700000-100",B:AZ,column(w1),0)*e170</f>
        <v>0</v>
      </c>
      <c r="Y170">
        <f>vlookup("924-700000-100",B:AZ,column(x1),0)*e170</f>
        <v>0</v>
      </c>
      <c r="Z170">
        <f>vlookup("924-700000-100",B:AZ,column(y1),0)*e170</f>
        <v>0</v>
      </c>
      <c r="AA170">
        <f>vlookup("924-700000-100",B:AZ,column(z1),0)*e170</f>
        <v>0</v>
      </c>
      <c r="AB170">
        <f>vlookup("924-700000-100",B:AZ,column(aa1),0)*e170</f>
        <v>0</v>
      </c>
      <c r="AC170">
        <f>vlookup("924-700000-100",B:AZ,column(ab1),0)*e170</f>
        <v>0</v>
      </c>
      <c r="AD170">
        <f>vlookup("924-700000-100",B:AZ,column(ac1),0)*e170</f>
        <v>0</v>
      </c>
      <c r="AE170">
        <f>vlookup("924-700000-100",B:AZ,column(ad1),0)*e170</f>
        <v>0</v>
      </c>
      <c r="AF170">
        <f>vlookup("924-700000-100",B:AZ,column(ae1),0)*e170</f>
        <v>0</v>
      </c>
      <c r="AG170">
        <f>vlookup("924-700000-100",B:AZ,column(af1),0)*e170</f>
        <v>0</v>
      </c>
      <c r="AH170">
        <f>vlookup("924-700000-100",B:AZ,column(ag1),0)*e170</f>
        <v>0</v>
      </c>
      <c r="AI170">
        <f>vlookup("924-700000-100",B:AZ,column(ah1),0)*e170</f>
        <v>0</v>
      </c>
      <c r="AJ170">
        <f>vlookup("924-700000-100",B:AZ,column(ai1),0)*e170</f>
        <v>0</v>
      </c>
      <c r="AK170">
        <f>vlookup("924-700000-100",B:AZ,column(aj1),0)*e170</f>
        <v>0</v>
      </c>
      <c r="AL170">
        <f>vlookup("924-700000-100",B:AZ,column(ak1),0)*e170</f>
        <v>0</v>
      </c>
      <c r="AM170">
        <f>vlookup("924-700000-100",B:AZ,column(al1),0)*e170</f>
        <v>0</v>
      </c>
      <c r="AN170">
        <f>vlookup("924-700000-100",B:AZ,column(am1),0)*e170</f>
        <v>0</v>
      </c>
      <c r="AO170">
        <f>vlookup("924-700000-100",B:AZ,column(an1),0)*e170</f>
        <v>0</v>
      </c>
    </row>
    <row r="171" spans="1:41">
      <c r="A171" t="s">
        <v>22</v>
      </c>
      <c r="B171" t="s">
        <v>197</v>
      </c>
      <c r="C171" t="s">
        <v>198</v>
      </c>
      <c r="E171">
        <v>1</v>
      </c>
      <c r="I171" t="s">
        <v>15</v>
      </c>
      <c r="J171">
        <f>vlookup("924-700000-100",B:AZ,column(i1),0)*e171</f>
        <v>0</v>
      </c>
      <c r="K171">
        <f>vlookup("924-700000-100",B:AZ,column(j1),0)*e171</f>
        <v>0</v>
      </c>
      <c r="L171">
        <f>vlookup("924-700000-100",B:AZ,column(k1),0)*e171</f>
        <v>0</v>
      </c>
      <c r="M171">
        <f>vlookup("924-700000-100",B:AZ,column(l1),0)*e171</f>
        <v>0</v>
      </c>
      <c r="N171">
        <f>vlookup("924-700000-100",B:AZ,column(m1),0)*e171</f>
        <v>0</v>
      </c>
      <c r="O171">
        <f>vlookup("924-700000-100",B:AZ,column(n1),0)*e171</f>
        <v>0</v>
      </c>
      <c r="P171">
        <f>vlookup("924-700000-100",B:AZ,column(o1),0)*e171</f>
        <v>0</v>
      </c>
      <c r="Q171">
        <f>vlookup("924-700000-100",B:AZ,column(p1),0)*e171</f>
        <v>0</v>
      </c>
      <c r="R171">
        <f>vlookup("924-700000-100",B:AZ,column(q1),0)*e171</f>
        <v>0</v>
      </c>
      <c r="S171">
        <f>vlookup("924-700000-100",B:AZ,column(r1),0)*e171</f>
        <v>0</v>
      </c>
      <c r="T171">
        <f>vlookup("924-700000-100",B:AZ,column(s1),0)*e171</f>
        <v>0</v>
      </c>
      <c r="U171">
        <f>vlookup("924-700000-100",B:AZ,column(t1),0)*e171</f>
        <v>0</v>
      </c>
      <c r="V171">
        <f>vlookup("924-700000-100",B:AZ,column(u1),0)*e171</f>
        <v>0</v>
      </c>
      <c r="W171">
        <f>vlookup("924-700000-100",B:AZ,column(v1),0)*e171</f>
        <v>0</v>
      </c>
      <c r="X171">
        <f>vlookup("924-700000-100",B:AZ,column(w1),0)*e171</f>
        <v>0</v>
      </c>
      <c r="Y171">
        <f>vlookup("924-700000-100",B:AZ,column(x1),0)*e171</f>
        <v>0</v>
      </c>
      <c r="Z171">
        <f>vlookup("924-700000-100",B:AZ,column(y1),0)*e171</f>
        <v>0</v>
      </c>
      <c r="AA171">
        <f>vlookup("924-700000-100",B:AZ,column(z1),0)*e171</f>
        <v>0</v>
      </c>
      <c r="AB171">
        <f>vlookup("924-700000-100",B:AZ,column(aa1),0)*e171</f>
        <v>0</v>
      </c>
      <c r="AC171">
        <f>vlookup("924-700000-100",B:AZ,column(ab1),0)*e171</f>
        <v>0</v>
      </c>
      <c r="AD171">
        <f>vlookup("924-700000-100",B:AZ,column(ac1),0)*e171</f>
        <v>0</v>
      </c>
      <c r="AE171">
        <f>vlookup("924-700000-100",B:AZ,column(ad1),0)*e171</f>
        <v>0</v>
      </c>
      <c r="AF171">
        <f>vlookup("924-700000-100",B:AZ,column(ae1),0)*e171</f>
        <v>0</v>
      </c>
      <c r="AG171">
        <f>vlookup("924-700000-100",B:AZ,column(af1),0)*e171</f>
        <v>0</v>
      </c>
      <c r="AH171">
        <f>vlookup("924-700000-100",B:AZ,column(ag1),0)*e171</f>
        <v>0</v>
      </c>
      <c r="AI171">
        <f>vlookup("924-700000-100",B:AZ,column(ah1),0)*e171</f>
        <v>0</v>
      </c>
      <c r="AJ171">
        <f>vlookup("924-700000-100",B:AZ,column(ai1),0)*e171</f>
        <v>0</v>
      </c>
      <c r="AK171">
        <f>vlookup("924-700000-100",B:AZ,column(aj1),0)*e171</f>
        <v>0</v>
      </c>
      <c r="AL171">
        <f>vlookup("924-700000-100",B:AZ,column(ak1),0)*e171</f>
        <v>0</v>
      </c>
      <c r="AM171">
        <f>vlookup("924-700000-100",B:AZ,column(al1),0)*e171</f>
        <v>0</v>
      </c>
      <c r="AN171">
        <f>vlookup("924-700000-100",B:AZ,column(am1),0)*e171</f>
        <v>0</v>
      </c>
      <c r="AO171">
        <f>vlookup("924-700000-100",B:AZ,column(an1),0)*e171</f>
        <v>0</v>
      </c>
    </row>
    <row r="172" spans="1:41">
      <c r="A172" t="s">
        <v>22</v>
      </c>
      <c r="B172" t="s">
        <v>199</v>
      </c>
      <c r="C172" t="s">
        <v>200</v>
      </c>
      <c r="E172">
        <v>1</v>
      </c>
      <c r="I172" t="s">
        <v>15</v>
      </c>
      <c r="J172">
        <f>vlookup("924-700000-100",B:AZ,column(i1),0)*e172</f>
        <v>0</v>
      </c>
      <c r="K172">
        <f>vlookup("924-700000-100",B:AZ,column(j1),0)*e172</f>
        <v>0</v>
      </c>
      <c r="L172">
        <f>vlookup("924-700000-100",B:AZ,column(k1),0)*e172</f>
        <v>0</v>
      </c>
      <c r="M172">
        <f>vlookup("924-700000-100",B:AZ,column(l1),0)*e172</f>
        <v>0</v>
      </c>
      <c r="N172">
        <f>vlookup("924-700000-100",B:AZ,column(m1),0)*e172</f>
        <v>0</v>
      </c>
      <c r="O172">
        <f>vlookup("924-700000-100",B:AZ,column(n1),0)*e172</f>
        <v>0</v>
      </c>
      <c r="P172">
        <f>vlookup("924-700000-100",B:AZ,column(o1),0)*e172</f>
        <v>0</v>
      </c>
      <c r="Q172">
        <f>vlookup("924-700000-100",B:AZ,column(p1),0)*e172</f>
        <v>0</v>
      </c>
      <c r="R172">
        <f>vlookup("924-700000-100",B:AZ,column(q1),0)*e172</f>
        <v>0</v>
      </c>
      <c r="S172">
        <f>vlookup("924-700000-100",B:AZ,column(r1),0)*e172</f>
        <v>0</v>
      </c>
      <c r="T172">
        <f>vlookup("924-700000-100",B:AZ,column(s1),0)*e172</f>
        <v>0</v>
      </c>
      <c r="U172">
        <f>vlookup("924-700000-100",B:AZ,column(t1),0)*e172</f>
        <v>0</v>
      </c>
      <c r="V172">
        <f>vlookup("924-700000-100",B:AZ,column(u1),0)*e172</f>
        <v>0</v>
      </c>
      <c r="W172">
        <f>vlookup("924-700000-100",B:AZ,column(v1),0)*e172</f>
        <v>0</v>
      </c>
      <c r="X172">
        <f>vlookup("924-700000-100",B:AZ,column(w1),0)*e172</f>
        <v>0</v>
      </c>
      <c r="Y172">
        <f>vlookup("924-700000-100",B:AZ,column(x1),0)*e172</f>
        <v>0</v>
      </c>
      <c r="Z172">
        <f>vlookup("924-700000-100",B:AZ,column(y1),0)*e172</f>
        <v>0</v>
      </c>
      <c r="AA172">
        <f>vlookup("924-700000-100",B:AZ,column(z1),0)*e172</f>
        <v>0</v>
      </c>
      <c r="AB172">
        <f>vlookup("924-700000-100",B:AZ,column(aa1),0)*e172</f>
        <v>0</v>
      </c>
      <c r="AC172">
        <f>vlookup("924-700000-100",B:AZ,column(ab1),0)*e172</f>
        <v>0</v>
      </c>
      <c r="AD172">
        <f>vlookup("924-700000-100",B:AZ,column(ac1),0)*e172</f>
        <v>0</v>
      </c>
      <c r="AE172">
        <f>vlookup("924-700000-100",B:AZ,column(ad1),0)*e172</f>
        <v>0</v>
      </c>
      <c r="AF172">
        <f>vlookup("924-700000-100",B:AZ,column(ae1),0)*e172</f>
        <v>0</v>
      </c>
      <c r="AG172">
        <f>vlookup("924-700000-100",B:AZ,column(af1),0)*e172</f>
        <v>0</v>
      </c>
      <c r="AH172">
        <f>vlookup("924-700000-100",B:AZ,column(ag1),0)*e172</f>
        <v>0</v>
      </c>
      <c r="AI172">
        <f>vlookup("924-700000-100",B:AZ,column(ah1),0)*e172</f>
        <v>0</v>
      </c>
      <c r="AJ172">
        <f>vlookup("924-700000-100",B:AZ,column(ai1),0)*e172</f>
        <v>0</v>
      </c>
      <c r="AK172">
        <f>vlookup("924-700000-100",B:AZ,column(aj1),0)*e172</f>
        <v>0</v>
      </c>
      <c r="AL172">
        <f>vlookup("924-700000-100",B:AZ,column(ak1),0)*e172</f>
        <v>0</v>
      </c>
      <c r="AM172">
        <f>vlookup("924-700000-100",B:AZ,column(al1),0)*e172</f>
        <v>0</v>
      </c>
      <c r="AN172">
        <f>vlookup("924-700000-100",B:AZ,column(am1),0)*e172</f>
        <v>0</v>
      </c>
      <c r="AO172">
        <f>vlookup("924-700000-100",B:AZ,column(an1),0)*e172</f>
        <v>0</v>
      </c>
    </row>
    <row r="173" spans="1:41">
      <c r="A173" t="s">
        <v>22</v>
      </c>
      <c r="B173" t="s">
        <v>201</v>
      </c>
      <c r="C173" t="s">
        <v>202</v>
      </c>
      <c r="E173">
        <v>1</v>
      </c>
      <c r="I173" t="s">
        <v>15</v>
      </c>
      <c r="J173">
        <f>vlookup("924-700000-100",B:AZ,column(i1),0)*e173</f>
        <v>0</v>
      </c>
      <c r="K173">
        <f>vlookup("924-700000-100",B:AZ,column(j1),0)*e173</f>
        <v>0</v>
      </c>
      <c r="L173">
        <f>vlookup("924-700000-100",B:AZ,column(k1),0)*e173</f>
        <v>0</v>
      </c>
      <c r="M173">
        <f>vlookup("924-700000-100",B:AZ,column(l1),0)*e173</f>
        <v>0</v>
      </c>
      <c r="N173">
        <f>vlookup("924-700000-100",B:AZ,column(m1),0)*e173</f>
        <v>0</v>
      </c>
      <c r="O173">
        <f>vlookup("924-700000-100",B:AZ,column(n1),0)*e173</f>
        <v>0</v>
      </c>
      <c r="P173">
        <f>vlookup("924-700000-100",B:AZ,column(o1),0)*e173</f>
        <v>0</v>
      </c>
      <c r="Q173">
        <f>vlookup("924-700000-100",B:AZ,column(p1),0)*e173</f>
        <v>0</v>
      </c>
      <c r="R173">
        <f>vlookup("924-700000-100",B:AZ,column(q1),0)*e173</f>
        <v>0</v>
      </c>
      <c r="S173">
        <f>vlookup("924-700000-100",B:AZ,column(r1),0)*e173</f>
        <v>0</v>
      </c>
      <c r="T173">
        <f>vlookup("924-700000-100",B:AZ,column(s1),0)*e173</f>
        <v>0</v>
      </c>
      <c r="U173">
        <f>vlookup("924-700000-100",B:AZ,column(t1),0)*e173</f>
        <v>0</v>
      </c>
      <c r="V173">
        <f>vlookup("924-700000-100",B:AZ,column(u1),0)*e173</f>
        <v>0</v>
      </c>
      <c r="W173">
        <f>vlookup("924-700000-100",B:AZ,column(v1),0)*e173</f>
        <v>0</v>
      </c>
      <c r="X173">
        <f>vlookup("924-700000-100",B:AZ,column(w1),0)*e173</f>
        <v>0</v>
      </c>
      <c r="Y173">
        <f>vlookup("924-700000-100",B:AZ,column(x1),0)*e173</f>
        <v>0</v>
      </c>
      <c r="Z173">
        <f>vlookup("924-700000-100",B:AZ,column(y1),0)*e173</f>
        <v>0</v>
      </c>
      <c r="AA173">
        <f>vlookup("924-700000-100",B:AZ,column(z1),0)*e173</f>
        <v>0</v>
      </c>
      <c r="AB173">
        <f>vlookup("924-700000-100",B:AZ,column(aa1),0)*e173</f>
        <v>0</v>
      </c>
      <c r="AC173">
        <f>vlookup("924-700000-100",B:AZ,column(ab1),0)*e173</f>
        <v>0</v>
      </c>
      <c r="AD173">
        <f>vlookup("924-700000-100",B:AZ,column(ac1),0)*e173</f>
        <v>0</v>
      </c>
      <c r="AE173">
        <f>vlookup("924-700000-100",B:AZ,column(ad1),0)*e173</f>
        <v>0</v>
      </c>
      <c r="AF173">
        <f>vlookup("924-700000-100",B:AZ,column(ae1),0)*e173</f>
        <v>0</v>
      </c>
      <c r="AG173">
        <f>vlookup("924-700000-100",B:AZ,column(af1),0)*e173</f>
        <v>0</v>
      </c>
      <c r="AH173">
        <f>vlookup("924-700000-100",B:AZ,column(ag1),0)*e173</f>
        <v>0</v>
      </c>
      <c r="AI173">
        <f>vlookup("924-700000-100",B:AZ,column(ah1),0)*e173</f>
        <v>0</v>
      </c>
      <c r="AJ173">
        <f>vlookup("924-700000-100",B:AZ,column(ai1),0)*e173</f>
        <v>0</v>
      </c>
      <c r="AK173">
        <f>vlookup("924-700000-100",B:AZ,column(aj1),0)*e173</f>
        <v>0</v>
      </c>
      <c r="AL173">
        <f>vlookup("924-700000-100",B:AZ,column(ak1),0)*e173</f>
        <v>0</v>
      </c>
      <c r="AM173">
        <f>vlookup("924-700000-100",B:AZ,column(al1),0)*e173</f>
        <v>0</v>
      </c>
      <c r="AN173">
        <f>vlookup("924-700000-100",B:AZ,column(am1),0)*e173</f>
        <v>0</v>
      </c>
      <c r="AO173">
        <f>vlookup("924-700000-100",B:AZ,column(an1),0)*e173</f>
        <v>0</v>
      </c>
    </row>
    <row r="174" spans="1:41">
      <c r="A174" t="s">
        <v>22</v>
      </c>
      <c r="B174" t="s">
        <v>203</v>
      </c>
      <c r="C174" t="s">
        <v>204</v>
      </c>
      <c r="E174">
        <v>1</v>
      </c>
      <c r="I174" t="s">
        <v>15</v>
      </c>
      <c r="J174">
        <f>vlookup("924-700000-100",B:AZ,column(i1),0)*e174</f>
        <v>0</v>
      </c>
      <c r="K174">
        <f>vlookup("924-700000-100",B:AZ,column(j1),0)*e174</f>
        <v>0</v>
      </c>
      <c r="L174">
        <f>vlookup("924-700000-100",B:AZ,column(k1),0)*e174</f>
        <v>0</v>
      </c>
      <c r="M174">
        <f>vlookup("924-700000-100",B:AZ,column(l1),0)*e174</f>
        <v>0</v>
      </c>
      <c r="N174">
        <f>vlookup("924-700000-100",B:AZ,column(m1),0)*e174</f>
        <v>0</v>
      </c>
      <c r="O174">
        <f>vlookup("924-700000-100",B:AZ,column(n1),0)*e174</f>
        <v>0</v>
      </c>
      <c r="P174">
        <f>vlookup("924-700000-100",B:AZ,column(o1),0)*e174</f>
        <v>0</v>
      </c>
      <c r="Q174">
        <f>vlookup("924-700000-100",B:AZ,column(p1),0)*e174</f>
        <v>0</v>
      </c>
      <c r="R174">
        <f>vlookup("924-700000-100",B:AZ,column(q1),0)*e174</f>
        <v>0</v>
      </c>
      <c r="S174">
        <f>vlookup("924-700000-100",B:AZ,column(r1),0)*e174</f>
        <v>0</v>
      </c>
      <c r="T174">
        <f>vlookup("924-700000-100",B:AZ,column(s1),0)*e174</f>
        <v>0</v>
      </c>
      <c r="U174">
        <f>vlookup("924-700000-100",B:AZ,column(t1),0)*e174</f>
        <v>0</v>
      </c>
      <c r="V174">
        <f>vlookup("924-700000-100",B:AZ,column(u1),0)*e174</f>
        <v>0</v>
      </c>
      <c r="W174">
        <f>vlookup("924-700000-100",B:AZ,column(v1),0)*e174</f>
        <v>0</v>
      </c>
      <c r="X174">
        <f>vlookup("924-700000-100",B:AZ,column(w1),0)*e174</f>
        <v>0</v>
      </c>
      <c r="Y174">
        <f>vlookup("924-700000-100",B:AZ,column(x1),0)*e174</f>
        <v>0</v>
      </c>
      <c r="Z174">
        <f>vlookup("924-700000-100",B:AZ,column(y1),0)*e174</f>
        <v>0</v>
      </c>
      <c r="AA174">
        <f>vlookup("924-700000-100",B:AZ,column(z1),0)*e174</f>
        <v>0</v>
      </c>
      <c r="AB174">
        <f>vlookup("924-700000-100",B:AZ,column(aa1),0)*e174</f>
        <v>0</v>
      </c>
      <c r="AC174">
        <f>vlookup("924-700000-100",B:AZ,column(ab1),0)*e174</f>
        <v>0</v>
      </c>
      <c r="AD174">
        <f>vlookup("924-700000-100",B:AZ,column(ac1),0)*e174</f>
        <v>0</v>
      </c>
      <c r="AE174">
        <f>vlookup("924-700000-100",B:AZ,column(ad1),0)*e174</f>
        <v>0</v>
      </c>
      <c r="AF174">
        <f>vlookup("924-700000-100",B:AZ,column(ae1),0)*e174</f>
        <v>0</v>
      </c>
      <c r="AG174">
        <f>vlookup("924-700000-100",B:AZ,column(af1),0)*e174</f>
        <v>0</v>
      </c>
      <c r="AH174">
        <f>vlookup("924-700000-100",B:AZ,column(ag1),0)*e174</f>
        <v>0</v>
      </c>
      <c r="AI174">
        <f>vlookup("924-700000-100",B:AZ,column(ah1),0)*e174</f>
        <v>0</v>
      </c>
      <c r="AJ174">
        <f>vlookup("924-700000-100",B:AZ,column(ai1),0)*e174</f>
        <v>0</v>
      </c>
      <c r="AK174">
        <f>vlookup("924-700000-100",B:AZ,column(aj1),0)*e174</f>
        <v>0</v>
      </c>
      <c r="AL174">
        <f>vlookup("924-700000-100",B:AZ,column(ak1),0)*e174</f>
        <v>0</v>
      </c>
      <c r="AM174">
        <f>vlookup("924-700000-100",B:AZ,column(al1),0)*e174</f>
        <v>0</v>
      </c>
      <c r="AN174">
        <f>vlookup("924-700000-100",B:AZ,column(am1),0)*e174</f>
        <v>0</v>
      </c>
      <c r="AO174">
        <f>vlookup("924-700000-100",B:AZ,column(an1),0)*e174</f>
        <v>0</v>
      </c>
    </row>
    <row r="175" spans="1:41">
      <c r="A175" t="s">
        <v>22</v>
      </c>
      <c r="B175" t="s">
        <v>205</v>
      </c>
      <c r="C175" t="s">
        <v>206</v>
      </c>
      <c r="E175">
        <v>1</v>
      </c>
      <c r="I175" t="s">
        <v>15</v>
      </c>
      <c r="J175">
        <f>vlookup("924-700000-100",B:AZ,column(i1),0)*e175</f>
        <v>0</v>
      </c>
      <c r="K175">
        <f>vlookup("924-700000-100",B:AZ,column(j1),0)*e175</f>
        <v>0</v>
      </c>
      <c r="L175">
        <f>vlookup("924-700000-100",B:AZ,column(k1),0)*e175</f>
        <v>0</v>
      </c>
      <c r="M175">
        <f>vlookup("924-700000-100",B:AZ,column(l1),0)*e175</f>
        <v>0</v>
      </c>
      <c r="N175">
        <f>vlookup("924-700000-100",B:AZ,column(m1),0)*e175</f>
        <v>0</v>
      </c>
      <c r="O175">
        <f>vlookup("924-700000-100",B:AZ,column(n1),0)*e175</f>
        <v>0</v>
      </c>
      <c r="P175">
        <f>vlookup("924-700000-100",B:AZ,column(o1),0)*e175</f>
        <v>0</v>
      </c>
      <c r="Q175">
        <f>vlookup("924-700000-100",B:AZ,column(p1),0)*e175</f>
        <v>0</v>
      </c>
      <c r="R175">
        <f>vlookup("924-700000-100",B:AZ,column(q1),0)*e175</f>
        <v>0</v>
      </c>
      <c r="S175">
        <f>vlookup("924-700000-100",B:AZ,column(r1),0)*e175</f>
        <v>0</v>
      </c>
      <c r="T175">
        <f>vlookup("924-700000-100",B:AZ,column(s1),0)*e175</f>
        <v>0</v>
      </c>
      <c r="U175">
        <f>vlookup("924-700000-100",B:AZ,column(t1),0)*e175</f>
        <v>0</v>
      </c>
      <c r="V175">
        <f>vlookup("924-700000-100",B:AZ,column(u1),0)*e175</f>
        <v>0</v>
      </c>
      <c r="W175">
        <f>vlookup("924-700000-100",B:AZ,column(v1),0)*e175</f>
        <v>0</v>
      </c>
      <c r="X175">
        <f>vlookup("924-700000-100",B:AZ,column(w1),0)*e175</f>
        <v>0</v>
      </c>
      <c r="Y175">
        <f>vlookup("924-700000-100",B:AZ,column(x1),0)*e175</f>
        <v>0</v>
      </c>
      <c r="Z175">
        <f>vlookup("924-700000-100",B:AZ,column(y1),0)*e175</f>
        <v>0</v>
      </c>
      <c r="AA175">
        <f>vlookup("924-700000-100",B:AZ,column(z1),0)*e175</f>
        <v>0</v>
      </c>
      <c r="AB175">
        <f>vlookup("924-700000-100",B:AZ,column(aa1),0)*e175</f>
        <v>0</v>
      </c>
      <c r="AC175">
        <f>vlookup("924-700000-100",B:AZ,column(ab1),0)*e175</f>
        <v>0</v>
      </c>
      <c r="AD175">
        <f>vlookup("924-700000-100",B:AZ,column(ac1),0)*e175</f>
        <v>0</v>
      </c>
      <c r="AE175">
        <f>vlookup("924-700000-100",B:AZ,column(ad1),0)*e175</f>
        <v>0</v>
      </c>
      <c r="AF175">
        <f>vlookup("924-700000-100",B:AZ,column(ae1),0)*e175</f>
        <v>0</v>
      </c>
      <c r="AG175">
        <f>vlookup("924-700000-100",B:AZ,column(af1),0)*e175</f>
        <v>0</v>
      </c>
      <c r="AH175">
        <f>vlookup("924-700000-100",B:AZ,column(ag1),0)*e175</f>
        <v>0</v>
      </c>
      <c r="AI175">
        <f>vlookup("924-700000-100",B:AZ,column(ah1),0)*e175</f>
        <v>0</v>
      </c>
      <c r="AJ175">
        <f>vlookup("924-700000-100",B:AZ,column(ai1),0)*e175</f>
        <v>0</v>
      </c>
      <c r="AK175">
        <f>vlookup("924-700000-100",B:AZ,column(aj1),0)*e175</f>
        <v>0</v>
      </c>
      <c r="AL175">
        <f>vlookup("924-700000-100",B:AZ,column(ak1),0)*e175</f>
        <v>0</v>
      </c>
      <c r="AM175">
        <f>vlookup("924-700000-100",B:AZ,column(al1),0)*e175</f>
        <v>0</v>
      </c>
      <c r="AN175">
        <f>vlookup("924-700000-100",B:AZ,column(am1),0)*e175</f>
        <v>0</v>
      </c>
      <c r="AO175">
        <f>vlookup("924-700000-100",B:AZ,column(an1),0)*e175</f>
        <v>0</v>
      </c>
    </row>
    <row r="176" spans="1:41">
      <c r="A176" t="s">
        <v>10</v>
      </c>
      <c r="B176" t="s">
        <v>207</v>
      </c>
      <c r="C176" t="s">
        <v>208</v>
      </c>
      <c r="E176">
        <v>1</v>
      </c>
      <c r="I176" t="s">
        <v>14</v>
      </c>
      <c r="AO176">
        <f>sum(j176:an176)</f>
        <v>0</v>
      </c>
    </row>
    <row r="177" spans="1:41">
      <c r="I177" t="s">
        <v>15</v>
      </c>
      <c r="J177">
        <f>vlookup("924-700000-200",Out!B:AZ,column(i1),0)</f>
        <v>0</v>
      </c>
      <c r="K177">
        <f>vlookup("924-700000-200",Out!B:AZ,column(j1),0)</f>
        <v>0</v>
      </c>
      <c r="L177">
        <f>vlookup("924-700000-200",Out!B:AZ,column(k1),0)</f>
        <v>0</v>
      </c>
      <c r="M177">
        <f>vlookup("924-700000-200",Out!B:AZ,column(l1),0)</f>
        <v>0</v>
      </c>
      <c r="N177">
        <f>vlookup("924-700000-200",Out!B:AZ,column(m1),0)</f>
        <v>0</v>
      </c>
      <c r="O177">
        <f>vlookup("924-700000-200",Out!B:AZ,column(n1),0)</f>
        <v>0</v>
      </c>
      <c r="P177">
        <f>vlookup("924-700000-200",Out!B:AZ,column(o1),0)</f>
        <v>0</v>
      </c>
      <c r="Q177">
        <f>vlookup("924-700000-200",Out!B:AZ,column(p1),0)</f>
        <v>0</v>
      </c>
      <c r="R177">
        <f>vlookup("924-700000-200",Out!B:AZ,column(q1),0)</f>
        <v>0</v>
      </c>
      <c r="S177">
        <f>vlookup("924-700000-200",Out!B:AZ,column(r1),0)</f>
        <v>0</v>
      </c>
      <c r="T177">
        <f>vlookup("924-700000-200",Out!B:AZ,column(s1),0)</f>
        <v>0</v>
      </c>
      <c r="U177">
        <f>vlookup("924-700000-200",Out!B:AZ,column(t1),0)</f>
        <v>0</v>
      </c>
      <c r="V177">
        <f>vlookup("924-700000-200",Out!B:AZ,column(u1),0)</f>
        <v>0</v>
      </c>
      <c r="W177">
        <f>vlookup("924-700000-200",Out!B:AZ,column(v1),0)</f>
        <v>0</v>
      </c>
      <c r="X177">
        <f>vlookup("924-700000-200",Out!B:AZ,column(w1),0)</f>
        <v>0</v>
      </c>
      <c r="Y177">
        <f>vlookup("924-700000-200",Out!B:AZ,column(x1),0)</f>
        <v>0</v>
      </c>
      <c r="Z177">
        <f>vlookup("924-700000-200",Out!B:AZ,column(y1),0)</f>
        <v>0</v>
      </c>
      <c r="AA177">
        <f>vlookup("924-700000-200",Out!B:AZ,column(z1),0)</f>
        <v>0</v>
      </c>
      <c r="AB177">
        <f>vlookup("924-700000-200",Out!B:AZ,column(aa1),0)</f>
        <v>0</v>
      </c>
      <c r="AC177">
        <f>vlookup("924-700000-200",Out!B:AZ,column(ab1),0)</f>
        <v>0</v>
      </c>
      <c r="AD177">
        <f>vlookup("924-700000-200",Out!B:AZ,column(ac1),0)</f>
        <v>0</v>
      </c>
      <c r="AE177">
        <f>vlookup("924-700000-200",Out!B:AZ,column(ad1),0)</f>
        <v>0</v>
      </c>
      <c r="AF177">
        <f>vlookup("924-700000-200",Out!B:AZ,column(ae1),0)</f>
        <v>0</v>
      </c>
      <c r="AG177">
        <f>vlookup("924-700000-200",Out!B:AZ,column(af1),0)</f>
        <v>0</v>
      </c>
      <c r="AH177">
        <f>vlookup("924-700000-200",Out!B:AZ,column(ag1),0)</f>
        <v>0</v>
      </c>
      <c r="AI177">
        <f>vlookup("924-700000-200",Out!B:AZ,column(ah1),0)</f>
        <v>0</v>
      </c>
      <c r="AJ177">
        <f>vlookup("924-700000-200",Out!B:AZ,column(ai1),0)</f>
        <v>0</v>
      </c>
      <c r="AK177">
        <f>vlookup("924-700000-200",Out!B:AZ,column(aj1),0)</f>
        <v>0</v>
      </c>
      <c r="AL177">
        <f>vlookup("924-700000-200",Out!B:AZ,column(ak1),0)</f>
        <v>0</v>
      </c>
      <c r="AM177">
        <f>vlookup("924-700000-200",Out!B:AZ,column(al1),0)</f>
        <v>0</v>
      </c>
      <c r="AN177">
        <f>vlookup("924-700000-200",Out!B:AZ,column(am1),0)</f>
        <v>0</v>
      </c>
      <c r="AO177">
        <f>vlookup("924-700000-200",Out!B:AZ,column(an1),0)</f>
        <v>0</v>
      </c>
    </row>
    <row r="178" spans="1:41">
      <c r="H178" t="s">
        <v>16</v>
      </c>
      <c r="J178">
        <f>indirect(address(178,9))+indirect(address(176,10))-indirect(address(177,10))</f>
        <v>0</v>
      </c>
      <c r="K178">
        <f>indirect(address(178,10))+indirect(address(176,11))-indirect(address(177,11))</f>
        <v>0</v>
      </c>
      <c r="L178">
        <f>indirect(address(178,11))+indirect(address(176,12))-indirect(address(177,12))</f>
        <v>0</v>
      </c>
      <c r="M178">
        <f>indirect(address(178,12))+indirect(address(176,13))-indirect(address(177,13))</f>
        <v>0</v>
      </c>
      <c r="N178">
        <f>indirect(address(178,13))+indirect(address(176,14))-indirect(address(177,14))</f>
        <v>0</v>
      </c>
      <c r="O178">
        <f>indirect(address(178,14))+indirect(address(176,15))-indirect(address(177,15))</f>
        <v>0</v>
      </c>
      <c r="P178">
        <f>indirect(address(178,15))+indirect(address(176,16))-indirect(address(177,16))</f>
        <v>0</v>
      </c>
      <c r="Q178">
        <f>indirect(address(178,16))+indirect(address(176,17))-indirect(address(177,17))</f>
        <v>0</v>
      </c>
      <c r="R178">
        <f>indirect(address(178,17))+indirect(address(176,18))-indirect(address(177,18))</f>
        <v>0</v>
      </c>
      <c r="S178">
        <f>indirect(address(178,18))+indirect(address(176,19))-indirect(address(177,19))</f>
        <v>0</v>
      </c>
      <c r="T178">
        <f>indirect(address(178,19))+indirect(address(176,20))-indirect(address(177,20))</f>
        <v>0</v>
      </c>
      <c r="U178">
        <f>indirect(address(178,20))+indirect(address(176,21))-indirect(address(177,21))</f>
        <v>0</v>
      </c>
      <c r="V178">
        <f>indirect(address(178,21))+indirect(address(176,22))-indirect(address(177,22))</f>
        <v>0</v>
      </c>
      <c r="W178">
        <f>indirect(address(178,22))+indirect(address(176,23))-indirect(address(177,23))</f>
        <v>0</v>
      </c>
      <c r="X178">
        <f>indirect(address(178,23))+indirect(address(176,24))-indirect(address(177,24))</f>
        <v>0</v>
      </c>
      <c r="Y178">
        <f>indirect(address(178,24))+indirect(address(176,25))-indirect(address(177,25))</f>
        <v>0</v>
      </c>
      <c r="Z178">
        <f>indirect(address(178,25))+indirect(address(176,26))-indirect(address(177,26))</f>
        <v>0</v>
      </c>
      <c r="AA178">
        <f>indirect(address(178,26))+indirect(address(176,27))-indirect(address(177,27))</f>
        <v>0</v>
      </c>
      <c r="AB178">
        <f>indirect(address(178,27))+indirect(address(176,28))-indirect(address(177,28))</f>
        <v>0</v>
      </c>
      <c r="AC178">
        <f>indirect(address(178,28))+indirect(address(176,29))-indirect(address(177,29))</f>
        <v>0</v>
      </c>
      <c r="AD178">
        <f>indirect(address(178,29))+indirect(address(176,30))-indirect(address(177,30))</f>
        <v>0</v>
      </c>
      <c r="AE178">
        <f>indirect(address(178,30))+indirect(address(176,31))-indirect(address(177,31))</f>
        <v>0</v>
      </c>
      <c r="AF178">
        <f>indirect(address(178,31))+indirect(address(176,32))-indirect(address(177,32))</f>
        <v>0</v>
      </c>
      <c r="AG178">
        <f>indirect(address(178,32))+indirect(address(176,33))-indirect(address(177,33))</f>
        <v>0</v>
      </c>
      <c r="AH178">
        <f>indirect(address(178,33))+indirect(address(176,34))-indirect(address(177,34))</f>
        <v>0</v>
      </c>
      <c r="AI178">
        <f>indirect(address(178,34))+indirect(address(176,35))-indirect(address(177,35))</f>
        <v>0</v>
      </c>
      <c r="AJ178">
        <f>indirect(address(178,35))+indirect(address(176,36))-indirect(address(177,36))</f>
        <v>0</v>
      </c>
      <c r="AK178">
        <f>indirect(address(178,36))+indirect(address(176,37))-indirect(address(177,37))</f>
        <v>0</v>
      </c>
      <c r="AL178">
        <f>indirect(address(178,37))+indirect(address(176,38))-indirect(address(177,38))</f>
        <v>0</v>
      </c>
      <c r="AM178">
        <f>indirect(address(178,38))+indirect(address(176,39))-indirect(address(177,39))</f>
        <v>0</v>
      </c>
      <c r="AN178">
        <f>indirect(address(178,39))+indirect(address(176,40))-indirect(address(177,40))</f>
        <v>0</v>
      </c>
      <c r="AO178">
        <f>indirect(address(178,40))</f>
        <v>0</v>
      </c>
    </row>
    <row r="179" spans="1:41">
      <c r="A179" t="s">
        <v>17</v>
      </c>
      <c r="B179" t="s">
        <v>187</v>
      </c>
      <c r="C179" t="s">
        <v>209</v>
      </c>
      <c r="E179">
        <v>1</v>
      </c>
      <c r="I179" t="s">
        <v>15</v>
      </c>
      <c r="J179">
        <f>vlookup("924-700000-200",B:AZ,column(i1),0)*e179</f>
        <v>0</v>
      </c>
      <c r="K179">
        <f>vlookup("924-700000-200",B:AZ,column(j1),0)*e179</f>
        <v>0</v>
      </c>
      <c r="L179">
        <f>vlookup("924-700000-200",B:AZ,column(k1),0)*e179</f>
        <v>0</v>
      </c>
      <c r="M179">
        <f>vlookup("924-700000-200",B:AZ,column(l1),0)*e179</f>
        <v>0</v>
      </c>
      <c r="N179">
        <f>vlookup("924-700000-200",B:AZ,column(m1),0)*e179</f>
        <v>0</v>
      </c>
      <c r="O179">
        <f>vlookup("924-700000-200",B:AZ,column(n1),0)*e179</f>
        <v>0</v>
      </c>
      <c r="P179">
        <f>vlookup("924-700000-200",B:AZ,column(o1),0)*e179</f>
        <v>0</v>
      </c>
      <c r="Q179">
        <f>vlookup("924-700000-200",B:AZ,column(p1),0)*e179</f>
        <v>0</v>
      </c>
      <c r="R179">
        <f>vlookup("924-700000-200",B:AZ,column(q1),0)*e179</f>
        <v>0</v>
      </c>
      <c r="S179">
        <f>vlookup("924-700000-200",B:AZ,column(r1),0)*e179</f>
        <v>0</v>
      </c>
      <c r="T179">
        <f>vlookup("924-700000-200",B:AZ,column(s1),0)*e179</f>
        <v>0</v>
      </c>
      <c r="U179">
        <f>vlookup("924-700000-200",B:AZ,column(t1),0)*e179</f>
        <v>0</v>
      </c>
      <c r="V179">
        <f>vlookup("924-700000-200",B:AZ,column(u1),0)*e179</f>
        <v>0</v>
      </c>
      <c r="W179">
        <f>vlookup("924-700000-200",B:AZ,column(v1),0)*e179</f>
        <v>0</v>
      </c>
      <c r="X179">
        <f>vlookup("924-700000-200",B:AZ,column(w1),0)*e179</f>
        <v>0</v>
      </c>
      <c r="Y179">
        <f>vlookup("924-700000-200",B:AZ,column(x1),0)*e179</f>
        <v>0</v>
      </c>
      <c r="Z179">
        <f>vlookup("924-700000-200",B:AZ,column(y1),0)*e179</f>
        <v>0</v>
      </c>
      <c r="AA179">
        <f>vlookup("924-700000-200",B:AZ,column(z1),0)*e179</f>
        <v>0</v>
      </c>
      <c r="AB179">
        <f>vlookup("924-700000-200",B:AZ,column(aa1),0)*e179</f>
        <v>0</v>
      </c>
      <c r="AC179">
        <f>vlookup("924-700000-200",B:AZ,column(ab1),0)*e179</f>
        <v>0</v>
      </c>
      <c r="AD179">
        <f>vlookup("924-700000-200",B:AZ,column(ac1),0)*e179</f>
        <v>0</v>
      </c>
      <c r="AE179">
        <f>vlookup("924-700000-200",B:AZ,column(ad1),0)*e179</f>
        <v>0</v>
      </c>
      <c r="AF179">
        <f>vlookup("924-700000-200",B:AZ,column(ae1),0)*e179</f>
        <v>0</v>
      </c>
      <c r="AG179">
        <f>vlookup("924-700000-200",B:AZ,column(af1),0)*e179</f>
        <v>0</v>
      </c>
      <c r="AH179">
        <f>vlookup("924-700000-200",B:AZ,column(ag1),0)*e179</f>
        <v>0</v>
      </c>
      <c r="AI179">
        <f>vlookup("924-700000-200",B:AZ,column(ah1),0)*e179</f>
        <v>0</v>
      </c>
      <c r="AJ179">
        <f>vlookup("924-700000-200",B:AZ,column(ai1),0)*e179</f>
        <v>0</v>
      </c>
      <c r="AK179">
        <f>vlookup("924-700000-200",B:AZ,column(aj1),0)*e179</f>
        <v>0</v>
      </c>
      <c r="AL179">
        <f>vlookup("924-700000-200",B:AZ,column(ak1),0)*e179</f>
        <v>0</v>
      </c>
      <c r="AM179">
        <f>vlookup("924-700000-200",B:AZ,column(al1),0)*e179</f>
        <v>0</v>
      </c>
      <c r="AN179">
        <f>vlookup("924-700000-200",B:AZ,column(am1),0)*e179</f>
        <v>0</v>
      </c>
      <c r="AO179">
        <f>vlookup("924-700000-200",B:AZ,column(an1),0)*e179</f>
        <v>0</v>
      </c>
    </row>
    <row r="180" spans="1:41">
      <c r="A180" t="s">
        <v>17</v>
      </c>
      <c r="B180" t="s">
        <v>189</v>
      </c>
      <c r="C180" t="s">
        <v>210</v>
      </c>
      <c r="E180">
        <v>1</v>
      </c>
      <c r="I180" t="s">
        <v>15</v>
      </c>
      <c r="J180">
        <f>vlookup("924-700000-200",B:AZ,column(i1),0)*e180</f>
        <v>0</v>
      </c>
      <c r="K180">
        <f>vlookup("924-700000-200",B:AZ,column(j1),0)*e180</f>
        <v>0</v>
      </c>
      <c r="L180">
        <f>vlookup("924-700000-200",B:AZ,column(k1),0)*e180</f>
        <v>0</v>
      </c>
      <c r="M180">
        <f>vlookup("924-700000-200",B:AZ,column(l1),0)*e180</f>
        <v>0</v>
      </c>
      <c r="N180">
        <f>vlookup("924-700000-200",B:AZ,column(m1),0)*e180</f>
        <v>0</v>
      </c>
      <c r="O180">
        <f>vlookup("924-700000-200",B:AZ,column(n1),0)*e180</f>
        <v>0</v>
      </c>
      <c r="P180">
        <f>vlookup("924-700000-200",B:AZ,column(o1),0)*e180</f>
        <v>0</v>
      </c>
      <c r="Q180">
        <f>vlookup("924-700000-200",B:AZ,column(p1),0)*e180</f>
        <v>0</v>
      </c>
      <c r="R180">
        <f>vlookup("924-700000-200",B:AZ,column(q1),0)*e180</f>
        <v>0</v>
      </c>
      <c r="S180">
        <f>vlookup("924-700000-200",B:AZ,column(r1),0)*e180</f>
        <v>0</v>
      </c>
      <c r="T180">
        <f>vlookup("924-700000-200",B:AZ,column(s1),0)*e180</f>
        <v>0</v>
      </c>
      <c r="U180">
        <f>vlookup("924-700000-200",B:AZ,column(t1),0)*e180</f>
        <v>0</v>
      </c>
      <c r="V180">
        <f>vlookup("924-700000-200",B:AZ,column(u1),0)*e180</f>
        <v>0</v>
      </c>
      <c r="W180">
        <f>vlookup("924-700000-200",B:AZ,column(v1),0)*e180</f>
        <v>0</v>
      </c>
      <c r="X180">
        <f>vlookup("924-700000-200",B:AZ,column(w1),0)*e180</f>
        <v>0</v>
      </c>
      <c r="Y180">
        <f>vlookup("924-700000-200",B:AZ,column(x1),0)*e180</f>
        <v>0</v>
      </c>
      <c r="Z180">
        <f>vlookup("924-700000-200",B:AZ,column(y1),0)*e180</f>
        <v>0</v>
      </c>
      <c r="AA180">
        <f>vlookup("924-700000-200",B:AZ,column(z1),0)*e180</f>
        <v>0</v>
      </c>
      <c r="AB180">
        <f>vlookup("924-700000-200",B:AZ,column(aa1),0)*e180</f>
        <v>0</v>
      </c>
      <c r="AC180">
        <f>vlookup("924-700000-200",B:AZ,column(ab1),0)*e180</f>
        <v>0</v>
      </c>
      <c r="AD180">
        <f>vlookup("924-700000-200",B:AZ,column(ac1),0)*e180</f>
        <v>0</v>
      </c>
      <c r="AE180">
        <f>vlookup("924-700000-200",B:AZ,column(ad1),0)*e180</f>
        <v>0</v>
      </c>
      <c r="AF180">
        <f>vlookup("924-700000-200",B:AZ,column(ae1),0)*e180</f>
        <v>0</v>
      </c>
      <c r="AG180">
        <f>vlookup("924-700000-200",B:AZ,column(af1),0)*e180</f>
        <v>0</v>
      </c>
      <c r="AH180">
        <f>vlookup("924-700000-200",B:AZ,column(ag1),0)*e180</f>
        <v>0</v>
      </c>
      <c r="AI180">
        <f>vlookup("924-700000-200",B:AZ,column(ah1),0)*e180</f>
        <v>0</v>
      </c>
      <c r="AJ180">
        <f>vlookup("924-700000-200",B:AZ,column(ai1),0)*e180</f>
        <v>0</v>
      </c>
      <c r="AK180">
        <f>vlookup("924-700000-200",B:AZ,column(aj1),0)*e180</f>
        <v>0</v>
      </c>
      <c r="AL180">
        <f>vlookup("924-700000-200",B:AZ,column(ak1),0)*e180</f>
        <v>0</v>
      </c>
      <c r="AM180">
        <f>vlookup("924-700000-200",B:AZ,column(al1),0)*e180</f>
        <v>0</v>
      </c>
      <c r="AN180">
        <f>vlookup("924-700000-200",B:AZ,column(am1),0)*e180</f>
        <v>0</v>
      </c>
      <c r="AO180">
        <f>vlookup("924-700000-200",B:AZ,column(an1),0)*e180</f>
        <v>0</v>
      </c>
    </row>
    <row r="181" spans="1:41">
      <c r="A181" t="s">
        <v>22</v>
      </c>
      <c r="B181" t="s">
        <v>191</v>
      </c>
      <c r="C181" t="s">
        <v>192</v>
      </c>
      <c r="E181">
        <v>2</v>
      </c>
      <c r="I181" t="s">
        <v>15</v>
      </c>
      <c r="J181">
        <f>vlookup("924-700000-200",B:AZ,column(i1),0)*e181</f>
        <v>0</v>
      </c>
      <c r="K181">
        <f>vlookup("924-700000-200",B:AZ,column(j1),0)*e181</f>
        <v>0</v>
      </c>
      <c r="L181">
        <f>vlookup("924-700000-200",B:AZ,column(k1),0)*e181</f>
        <v>0</v>
      </c>
      <c r="M181">
        <f>vlookup("924-700000-200",B:AZ,column(l1),0)*e181</f>
        <v>0</v>
      </c>
      <c r="N181">
        <f>vlookup("924-700000-200",B:AZ,column(m1),0)*e181</f>
        <v>0</v>
      </c>
      <c r="O181">
        <f>vlookup("924-700000-200",B:AZ,column(n1),0)*e181</f>
        <v>0</v>
      </c>
      <c r="P181">
        <f>vlookup("924-700000-200",B:AZ,column(o1),0)*e181</f>
        <v>0</v>
      </c>
      <c r="Q181">
        <f>vlookup("924-700000-200",B:AZ,column(p1),0)*e181</f>
        <v>0</v>
      </c>
      <c r="R181">
        <f>vlookup("924-700000-200",B:AZ,column(q1),0)*e181</f>
        <v>0</v>
      </c>
      <c r="S181">
        <f>vlookup("924-700000-200",B:AZ,column(r1),0)*e181</f>
        <v>0</v>
      </c>
      <c r="T181">
        <f>vlookup("924-700000-200",B:AZ,column(s1),0)*e181</f>
        <v>0</v>
      </c>
      <c r="U181">
        <f>vlookup("924-700000-200",B:AZ,column(t1),0)*e181</f>
        <v>0</v>
      </c>
      <c r="V181">
        <f>vlookup("924-700000-200",B:AZ,column(u1),0)*e181</f>
        <v>0</v>
      </c>
      <c r="W181">
        <f>vlookup("924-700000-200",B:AZ,column(v1),0)*e181</f>
        <v>0</v>
      </c>
      <c r="X181">
        <f>vlookup("924-700000-200",B:AZ,column(w1),0)*e181</f>
        <v>0</v>
      </c>
      <c r="Y181">
        <f>vlookup("924-700000-200",B:AZ,column(x1),0)*e181</f>
        <v>0</v>
      </c>
      <c r="Z181">
        <f>vlookup("924-700000-200",B:AZ,column(y1),0)*e181</f>
        <v>0</v>
      </c>
      <c r="AA181">
        <f>vlookup("924-700000-200",B:AZ,column(z1),0)*e181</f>
        <v>0</v>
      </c>
      <c r="AB181">
        <f>vlookup("924-700000-200",B:AZ,column(aa1),0)*e181</f>
        <v>0</v>
      </c>
      <c r="AC181">
        <f>vlookup("924-700000-200",B:AZ,column(ab1),0)*e181</f>
        <v>0</v>
      </c>
      <c r="AD181">
        <f>vlookup("924-700000-200",B:AZ,column(ac1),0)*e181</f>
        <v>0</v>
      </c>
      <c r="AE181">
        <f>vlookup("924-700000-200",B:AZ,column(ad1),0)*e181</f>
        <v>0</v>
      </c>
      <c r="AF181">
        <f>vlookup("924-700000-200",B:AZ,column(ae1),0)*e181</f>
        <v>0</v>
      </c>
      <c r="AG181">
        <f>vlookup("924-700000-200",B:AZ,column(af1),0)*e181</f>
        <v>0</v>
      </c>
      <c r="AH181">
        <f>vlookup("924-700000-200",B:AZ,column(ag1),0)*e181</f>
        <v>0</v>
      </c>
      <c r="AI181">
        <f>vlookup("924-700000-200",B:AZ,column(ah1),0)*e181</f>
        <v>0</v>
      </c>
      <c r="AJ181">
        <f>vlookup("924-700000-200",B:AZ,column(ai1),0)*e181</f>
        <v>0</v>
      </c>
      <c r="AK181">
        <f>vlookup("924-700000-200",B:AZ,column(aj1),0)*e181</f>
        <v>0</v>
      </c>
      <c r="AL181">
        <f>vlookup("924-700000-200",B:AZ,column(ak1),0)*e181</f>
        <v>0</v>
      </c>
      <c r="AM181">
        <f>vlookup("924-700000-200",B:AZ,column(al1),0)*e181</f>
        <v>0</v>
      </c>
      <c r="AN181">
        <f>vlookup("924-700000-200",B:AZ,column(am1),0)*e181</f>
        <v>0</v>
      </c>
      <c r="AO181">
        <f>vlookup("924-700000-200",B:AZ,column(an1),0)*e181</f>
        <v>0</v>
      </c>
    </row>
    <row r="182" spans="1:41">
      <c r="A182" t="s">
        <v>22</v>
      </c>
      <c r="B182" t="s">
        <v>193</v>
      </c>
      <c r="C182" t="s">
        <v>194</v>
      </c>
      <c r="E182">
        <v>3</v>
      </c>
      <c r="I182" t="s">
        <v>15</v>
      </c>
      <c r="J182">
        <f>vlookup("924-700000-200",B:AZ,column(i1),0)*e182</f>
        <v>0</v>
      </c>
      <c r="K182">
        <f>vlookup("924-700000-200",B:AZ,column(j1),0)*e182</f>
        <v>0</v>
      </c>
      <c r="L182">
        <f>vlookup("924-700000-200",B:AZ,column(k1),0)*e182</f>
        <v>0</v>
      </c>
      <c r="M182">
        <f>vlookup("924-700000-200",B:AZ,column(l1),0)*e182</f>
        <v>0</v>
      </c>
      <c r="N182">
        <f>vlookup("924-700000-200",B:AZ,column(m1),0)*e182</f>
        <v>0</v>
      </c>
      <c r="O182">
        <f>vlookup("924-700000-200",B:AZ,column(n1),0)*e182</f>
        <v>0</v>
      </c>
      <c r="P182">
        <f>vlookup("924-700000-200",B:AZ,column(o1),0)*e182</f>
        <v>0</v>
      </c>
      <c r="Q182">
        <f>vlookup("924-700000-200",B:AZ,column(p1),0)*e182</f>
        <v>0</v>
      </c>
      <c r="R182">
        <f>vlookup("924-700000-200",B:AZ,column(q1),0)*e182</f>
        <v>0</v>
      </c>
      <c r="S182">
        <f>vlookup("924-700000-200",B:AZ,column(r1),0)*e182</f>
        <v>0</v>
      </c>
      <c r="T182">
        <f>vlookup("924-700000-200",B:AZ,column(s1),0)*e182</f>
        <v>0</v>
      </c>
      <c r="U182">
        <f>vlookup("924-700000-200",B:AZ,column(t1),0)*e182</f>
        <v>0</v>
      </c>
      <c r="V182">
        <f>vlookup("924-700000-200",B:AZ,column(u1),0)*e182</f>
        <v>0</v>
      </c>
      <c r="W182">
        <f>vlookup("924-700000-200",B:AZ,column(v1),0)*e182</f>
        <v>0</v>
      </c>
      <c r="X182">
        <f>vlookup("924-700000-200",B:AZ,column(w1),0)*e182</f>
        <v>0</v>
      </c>
      <c r="Y182">
        <f>vlookup("924-700000-200",B:AZ,column(x1),0)*e182</f>
        <v>0</v>
      </c>
      <c r="Z182">
        <f>vlookup("924-700000-200",B:AZ,column(y1),0)*e182</f>
        <v>0</v>
      </c>
      <c r="AA182">
        <f>vlookup("924-700000-200",B:AZ,column(z1),0)*e182</f>
        <v>0</v>
      </c>
      <c r="AB182">
        <f>vlookup("924-700000-200",B:AZ,column(aa1),0)*e182</f>
        <v>0</v>
      </c>
      <c r="AC182">
        <f>vlookup("924-700000-200",B:AZ,column(ab1),0)*e182</f>
        <v>0</v>
      </c>
      <c r="AD182">
        <f>vlookup("924-700000-200",B:AZ,column(ac1),0)*e182</f>
        <v>0</v>
      </c>
      <c r="AE182">
        <f>vlookup("924-700000-200",B:AZ,column(ad1),0)*e182</f>
        <v>0</v>
      </c>
      <c r="AF182">
        <f>vlookup("924-700000-200",B:AZ,column(ae1),0)*e182</f>
        <v>0</v>
      </c>
      <c r="AG182">
        <f>vlookup("924-700000-200",B:AZ,column(af1),0)*e182</f>
        <v>0</v>
      </c>
      <c r="AH182">
        <f>vlookup("924-700000-200",B:AZ,column(ag1),0)*e182</f>
        <v>0</v>
      </c>
      <c r="AI182">
        <f>vlookup("924-700000-200",B:AZ,column(ah1),0)*e182</f>
        <v>0</v>
      </c>
      <c r="AJ182">
        <f>vlookup("924-700000-200",B:AZ,column(ai1),0)*e182</f>
        <v>0</v>
      </c>
      <c r="AK182">
        <f>vlookup("924-700000-200",B:AZ,column(aj1),0)*e182</f>
        <v>0</v>
      </c>
      <c r="AL182">
        <f>vlookup("924-700000-200",B:AZ,column(ak1),0)*e182</f>
        <v>0</v>
      </c>
      <c r="AM182">
        <f>vlookup("924-700000-200",B:AZ,column(al1),0)*e182</f>
        <v>0</v>
      </c>
      <c r="AN182">
        <f>vlookup("924-700000-200",B:AZ,column(am1),0)*e182</f>
        <v>0</v>
      </c>
      <c r="AO182">
        <f>vlookup("924-700000-200",B:AZ,column(an1),0)*e182</f>
        <v>0</v>
      </c>
    </row>
    <row r="183" spans="1:41">
      <c r="A183" t="s">
        <v>22</v>
      </c>
      <c r="B183" t="s">
        <v>195</v>
      </c>
      <c r="C183" t="s">
        <v>196</v>
      </c>
      <c r="E183">
        <v>1</v>
      </c>
      <c r="I183" t="s">
        <v>15</v>
      </c>
      <c r="J183">
        <f>vlookup("924-700000-200",B:AZ,column(i1),0)*e183</f>
        <v>0</v>
      </c>
      <c r="K183">
        <f>vlookup("924-700000-200",B:AZ,column(j1),0)*e183</f>
        <v>0</v>
      </c>
      <c r="L183">
        <f>vlookup("924-700000-200",B:AZ,column(k1),0)*e183</f>
        <v>0</v>
      </c>
      <c r="M183">
        <f>vlookup("924-700000-200",B:AZ,column(l1),0)*e183</f>
        <v>0</v>
      </c>
      <c r="N183">
        <f>vlookup("924-700000-200",B:AZ,column(m1),0)*e183</f>
        <v>0</v>
      </c>
      <c r="O183">
        <f>vlookup("924-700000-200",B:AZ,column(n1),0)*e183</f>
        <v>0</v>
      </c>
      <c r="P183">
        <f>vlookup("924-700000-200",B:AZ,column(o1),0)*e183</f>
        <v>0</v>
      </c>
      <c r="Q183">
        <f>vlookup("924-700000-200",B:AZ,column(p1),0)*e183</f>
        <v>0</v>
      </c>
      <c r="R183">
        <f>vlookup("924-700000-200",B:AZ,column(q1),0)*e183</f>
        <v>0</v>
      </c>
      <c r="S183">
        <f>vlookup("924-700000-200",B:AZ,column(r1),0)*e183</f>
        <v>0</v>
      </c>
      <c r="T183">
        <f>vlookup("924-700000-200",B:AZ,column(s1),0)*e183</f>
        <v>0</v>
      </c>
      <c r="U183">
        <f>vlookup("924-700000-200",B:AZ,column(t1),0)*e183</f>
        <v>0</v>
      </c>
      <c r="V183">
        <f>vlookup("924-700000-200",B:AZ,column(u1),0)*e183</f>
        <v>0</v>
      </c>
      <c r="W183">
        <f>vlookup("924-700000-200",B:AZ,column(v1),0)*e183</f>
        <v>0</v>
      </c>
      <c r="X183">
        <f>vlookup("924-700000-200",B:AZ,column(w1),0)*e183</f>
        <v>0</v>
      </c>
      <c r="Y183">
        <f>vlookup("924-700000-200",B:AZ,column(x1),0)*e183</f>
        <v>0</v>
      </c>
      <c r="Z183">
        <f>vlookup("924-700000-200",B:AZ,column(y1),0)*e183</f>
        <v>0</v>
      </c>
      <c r="AA183">
        <f>vlookup("924-700000-200",B:AZ,column(z1),0)*e183</f>
        <v>0</v>
      </c>
      <c r="AB183">
        <f>vlookup("924-700000-200",B:AZ,column(aa1),0)*e183</f>
        <v>0</v>
      </c>
      <c r="AC183">
        <f>vlookup("924-700000-200",B:AZ,column(ab1),0)*e183</f>
        <v>0</v>
      </c>
      <c r="AD183">
        <f>vlookup("924-700000-200",B:AZ,column(ac1),0)*e183</f>
        <v>0</v>
      </c>
      <c r="AE183">
        <f>vlookup("924-700000-200",B:AZ,column(ad1),0)*e183</f>
        <v>0</v>
      </c>
      <c r="AF183">
        <f>vlookup("924-700000-200",B:AZ,column(ae1),0)*e183</f>
        <v>0</v>
      </c>
      <c r="AG183">
        <f>vlookup("924-700000-200",B:AZ,column(af1),0)*e183</f>
        <v>0</v>
      </c>
      <c r="AH183">
        <f>vlookup("924-700000-200",B:AZ,column(ag1),0)*e183</f>
        <v>0</v>
      </c>
      <c r="AI183">
        <f>vlookup("924-700000-200",B:AZ,column(ah1),0)*e183</f>
        <v>0</v>
      </c>
      <c r="AJ183">
        <f>vlookup("924-700000-200",B:AZ,column(ai1),0)*e183</f>
        <v>0</v>
      </c>
      <c r="AK183">
        <f>vlookup("924-700000-200",B:AZ,column(aj1),0)*e183</f>
        <v>0</v>
      </c>
      <c r="AL183">
        <f>vlookup("924-700000-200",B:AZ,column(ak1),0)*e183</f>
        <v>0</v>
      </c>
      <c r="AM183">
        <f>vlookup("924-700000-200",B:AZ,column(al1),0)*e183</f>
        <v>0</v>
      </c>
      <c r="AN183">
        <f>vlookup("924-700000-200",B:AZ,column(am1),0)*e183</f>
        <v>0</v>
      </c>
      <c r="AO183">
        <f>vlookup("924-700000-200",B:AZ,column(an1),0)*e183</f>
        <v>0</v>
      </c>
    </row>
    <row r="184" spans="1:41">
      <c r="A184" t="s">
        <v>22</v>
      </c>
      <c r="B184" t="s">
        <v>197</v>
      </c>
      <c r="C184" t="s">
        <v>198</v>
      </c>
      <c r="E184">
        <v>1</v>
      </c>
      <c r="I184" t="s">
        <v>15</v>
      </c>
      <c r="J184">
        <f>vlookup("924-700000-200",B:AZ,column(i1),0)*e184</f>
        <v>0</v>
      </c>
      <c r="K184">
        <f>vlookup("924-700000-200",B:AZ,column(j1),0)*e184</f>
        <v>0</v>
      </c>
      <c r="L184">
        <f>vlookup("924-700000-200",B:AZ,column(k1),0)*e184</f>
        <v>0</v>
      </c>
      <c r="M184">
        <f>vlookup("924-700000-200",B:AZ,column(l1),0)*e184</f>
        <v>0</v>
      </c>
      <c r="N184">
        <f>vlookup("924-700000-200",B:AZ,column(m1),0)*e184</f>
        <v>0</v>
      </c>
      <c r="O184">
        <f>vlookup("924-700000-200",B:AZ,column(n1),0)*e184</f>
        <v>0</v>
      </c>
      <c r="P184">
        <f>vlookup("924-700000-200",B:AZ,column(o1),0)*e184</f>
        <v>0</v>
      </c>
      <c r="Q184">
        <f>vlookup("924-700000-200",B:AZ,column(p1),0)*e184</f>
        <v>0</v>
      </c>
      <c r="R184">
        <f>vlookup("924-700000-200",B:AZ,column(q1),0)*e184</f>
        <v>0</v>
      </c>
      <c r="S184">
        <f>vlookup("924-700000-200",B:AZ,column(r1),0)*e184</f>
        <v>0</v>
      </c>
      <c r="T184">
        <f>vlookup("924-700000-200",B:AZ,column(s1),0)*e184</f>
        <v>0</v>
      </c>
      <c r="U184">
        <f>vlookup("924-700000-200",B:AZ,column(t1),0)*e184</f>
        <v>0</v>
      </c>
      <c r="V184">
        <f>vlookup("924-700000-200",B:AZ,column(u1),0)*e184</f>
        <v>0</v>
      </c>
      <c r="W184">
        <f>vlookup("924-700000-200",B:AZ,column(v1),0)*e184</f>
        <v>0</v>
      </c>
      <c r="X184">
        <f>vlookup("924-700000-200",B:AZ,column(w1),0)*e184</f>
        <v>0</v>
      </c>
      <c r="Y184">
        <f>vlookup("924-700000-200",B:AZ,column(x1),0)*e184</f>
        <v>0</v>
      </c>
      <c r="Z184">
        <f>vlookup("924-700000-200",B:AZ,column(y1),0)*e184</f>
        <v>0</v>
      </c>
      <c r="AA184">
        <f>vlookup("924-700000-200",B:AZ,column(z1),0)*e184</f>
        <v>0</v>
      </c>
      <c r="AB184">
        <f>vlookup("924-700000-200",B:AZ,column(aa1),0)*e184</f>
        <v>0</v>
      </c>
      <c r="AC184">
        <f>vlookup("924-700000-200",B:AZ,column(ab1),0)*e184</f>
        <v>0</v>
      </c>
      <c r="AD184">
        <f>vlookup("924-700000-200",B:AZ,column(ac1),0)*e184</f>
        <v>0</v>
      </c>
      <c r="AE184">
        <f>vlookup("924-700000-200",B:AZ,column(ad1),0)*e184</f>
        <v>0</v>
      </c>
      <c r="AF184">
        <f>vlookup("924-700000-200",B:AZ,column(ae1),0)*e184</f>
        <v>0</v>
      </c>
      <c r="AG184">
        <f>vlookup("924-700000-200",B:AZ,column(af1),0)*e184</f>
        <v>0</v>
      </c>
      <c r="AH184">
        <f>vlookup("924-700000-200",B:AZ,column(ag1),0)*e184</f>
        <v>0</v>
      </c>
      <c r="AI184">
        <f>vlookup("924-700000-200",B:AZ,column(ah1),0)*e184</f>
        <v>0</v>
      </c>
      <c r="AJ184">
        <f>vlookup("924-700000-200",B:AZ,column(ai1),0)*e184</f>
        <v>0</v>
      </c>
      <c r="AK184">
        <f>vlookup("924-700000-200",B:AZ,column(aj1),0)*e184</f>
        <v>0</v>
      </c>
      <c r="AL184">
        <f>vlookup("924-700000-200",B:AZ,column(ak1),0)*e184</f>
        <v>0</v>
      </c>
      <c r="AM184">
        <f>vlookup("924-700000-200",B:AZ,column(al1),0)*e184</f>
        <v>0</v>
      </c>
      <c r="AN184">
        <f>vlookup("924-700000-200",B:AZ,column(am1),0)*e184</f>
        <v>0</v>
      </c>
      <c r="AO184">
        <f>vlookup("924-700000-200",B:AZ,column(an1),0)*e184</f>
        <v>0</v>
      </c>
    </row>
    <row r="185" spans="1:41">
      <c r="A185" t="s">
        <v>22</v>
      </c>
      <c r="B185" t="s">
        <v>199</v>
      </c>
      <c r="C185" t="s">
        <v>200</v>
      </c>
      <c r="E185">
        <v>1</v>
      </c>
      <c r="I185" t="s">
        <v>15</v>
      </c>
      <c r="J185">
        <f>vlookup("924-700000-200",B:AZ,column(i1),0)*e185</f>
        <v>0</v>
      </c>
      <c r="K185">
        <f>vlookup("924-700000-200",B:AZ,column(j1),0)*e185</f>
        <v>0</v>
      </c>
      <c r="L185">
        <f>vlookup("924-700000-200",B:AZ,column(k1),0)*e185</f>
        <v>0</v>
      </c>
      <c r="M185">
        <f>vlookup("924-700000-200",B:AZ,column(l1),0)*e185</f>
        <v>0</v>
      </c>
      <c r="N185">
        <f>vlookup("924-700000-200",B:AZ,column(m1),0)*e185</f>
        <v>0</v>
      </c>
      <c r="O185">
        <f>vlookup("924-700000-200",B:AZ,column(n1),0)*e185</f>
        <v>0</v>
      </c>
      <c r="P185">
        <f>vlookup("924-700000-200",B:AZ,column(o1),0)*e185</f>
        <v>0</v>
      </c>
      <c r="Q185">
        <f>vlookup("924-700000-200",B:AZ,column(p1),0)*e185</f>
        <v>0</v>
      </c>
      <c r="R185">
        <f>vlookup("924-700000-200",B:AZ,column(q1),0)*e185</f>
        <v>0</v>
      </c>
      <c r="S185">
        <f>vlookup("924-700000-200",B:AZ,column(r1),0)*e185</f>
        <v>0</v>
      </c>
      <c r="T185">
        <f>vlookup("924-700000-200",B:AZ,column(s1),0)*e185</f>
        <v>0</v>
      </c>
      <c r="U185">
        <f>vlookup("924-700000-200",B:AZ,column(t1),0)*e185</f>
        <v>0</v>
      </c>
      <c r="V185">
        <f>vlookup("924-700000-200",B:AZ,column(u1),0)*e185</f>
        <v>0</v>
      </c>
      <c r="W185">
        <f>vlookup("924-700000-200",B:AZ,column(v1),0)*e185</f>
        <v>0</v>
      </c>
      <c r="X185">
        <f>vlookup("924-700000-200",B:AZ,column(w1),0)*e185</f>
        <v>0</v>
      </c>
      <c r="Y185">
        <f>vlookup("924-700000-200",B:AZ,column(x1),0)*e185</f>
        <v>0</v>
      </c>
      <c r="Z185">
        <f>vlookup("924-700000-200",B:AZ,column(y1),0)*e185</f>
        <v>0</v>
      </c>
      <c r="AA185">
        <f>vlookup("924-700000-200",B:AZ,column(z1),0)*e185</f>
        <v>0</v>
      </c>
      <c r="AB185">
        <f>vlookup("924-700000-200",B:AZ,column(aa1),0)*e185</f>
        <v>0</v>
      </c>
      <c r="AC185">
        <f>vlookup("924-700000-200",B:AZ,column(ab1),0)*e185</f>
        <v>0</v>
      </c>
      <c r="AD185">
        <f>vlookup("924-700000-200",B:AZ,column(ac1),0)*e185</f>
        <v>0</v>
      </c>
      <c r="AE185">
        <f>vlookup("924-700000-200",B:AZ,column(ad1),0)*e185</f>
        <v>0</v>
      </c>
      <c r="AF185">
        <f>vlookup("924-700000-200",B:AZ,column(ae1),0)*e185</f>
        <v>0</v>
      </c>
      <c r="AG185">
        <f>vlookup("924-700000-200",B:AZ,column(af1),0)*e185</f>
        <v>0</v>
      </c>
      <c r="AH185">
        <f>vlookup("924-700000-200",B:AZ,column(ag1),0)*e185</f>
        <v>0</v>
      </c>
      <c r="AI185">
        <f>vlookup("924-700000-200",B:AZ,column(ah1),0)*e185</f>
        <v>0</v>
      </c>
      <c r="AJ185">
        <f>vlookup("924-700000-200",B:AZ,column(ai1),0)*e185</f>
        <v>0</v>
      </c>
      <c r="AK185">
        <f>vlookup("924-700000-200",B:AZ,column(aj1),0)*e185</f>
        <v>0</v>
      </c>
      <c r="AL185">
        <f>vlookup("924-700000-200",B:AZ,column(ak1),0)*e185</f>
        <v>0</v>
      </c>
      <c r="AM185">
        <f>vlookup("924-700000-200",B:AZ,column(al1),0)*e185</f>
        <v>0</v>
      </c>
      <c r="AN185">
        <f>vlookup("924-700000-200",B:AZ,column(am1),0)*e185</f>
        <v>0</v>
      </c>
      <c r="AO185">
        <f>vlookup("924-700000-200",B:AZ,column(an1),0)*e185</f>
        <v>0</v>
      </c>
    </row>
    <row r="186" spans="1:41">
      <c r="A186" t="s">
        <v>22</v>
      </c>
      <c r="B186" t="s">
        <v>201</v>
      </c>
      <c r="C186" t="s">
        <v>202</v>
      </c>
      <c r="E186">
        <v>1</v>
      </c>
      <c r="I186" t="s">
        <v>15</v>
      </c>
      <c r="J186">
        <f>vlookup("924-700000-200",B:AZ,column(i1),0)*e186</f>
        <v>0</v>
      </c>
      <c r="K186">
        <f>vlookup("924-700000-200",B:AZ,column(j1),0)*e186</f>
        <v>0</v>
      </c>
      <c r="L186">
        <f>vlookup("924-700000-200",B:AZ,column(k1),0)*e186</f>
        <v>0</v>
      </c>
      <c r="M186">
        <f>vlookup("924-700000-200",B:AZ,column(l1),0)*e186</f>
        <v>0</v>
      </c>
      <c r="N186">
        <f>vlookup("924-700000-200",B:AZ,column(m1),0)*e186</f>
        <v>0</v>
      </c>
      <c r="O186">
        <f>vlookup("924-700000-200",B:AZ,column(n1),0)*e186</f>
        <v>0</v>
      </c>
      <c r="P186">
        <f>vlookup("924-700000-200",B:AZ,column(o1),0)*e186</f>
        <v>0</v>
      </c>
      <c r="Q186">
        <f>vlookup("924-700000-200",B:AZ,column(p1),0)*e186</f>
        <v>0</v>
      </c>
      <c r="R186">
        <f>vlookup("924-700000-200",B:AZ,column(q1),0)*e186</f>
        <v>0</v>
      </c>
      <c r="S186">
        <f>vlookup("924-700000-200",B:AZ,column(r1),0)*e186</f>
        <v>0</v>
      </c>
      <c r="T186">
        <f>vlookup("924-700000-200",B:AZ,column(s1),0)*e186</f>
        <v>0</v>
      </c>
      <c r="U186">
        <f>vlookup("924-700000-200",B:AZ,column(t1),0)*e186</f>
        <v>0</v>
      </c>
      <c r="V186">
        <f>vlookup("924-700000-200",B:AZ,column(u1),0)*e186</f>
        <v>0</v>
      </c>
      <c r="W186">
        <f>vlookup("924-700000-200",B:AZ,column(v1),0)*e186</f>
        <v>0</v>
      </c>
      <c r="X186">
        <f>vlookup("924-700000-200",B:AZ,column(w1),0)*e186</f>
        <v>0</v>
      </c>
      <c r="Y186">
        <f>vlookup("924-700000-200",B:AZ,column(x1),0)*e186</f>
        <v>0</v>
      </c>
      <c r="Z186">
        <f>vlookup("924-700000-200",B:AZ,column(y1),0)*e186</f>
        <v>0</v>
      </c>
      <c r="AA186">
        <f>vlookup("924-700000-200",B:AZ,column(z1),0)*e186</f>
        <v>0</v>
      </c>
      <c r="AB186">
        <f>vlookup("924-700000-200",B:AZ,column(aa1),0)*e186</f>
        <v>0</v>
      </c>
      <c r="AC186">
        <f>vlookup("924-700000-200",B:AZ,column(ab1),0)*e186</f>
        <v>0</v>
      </c>
      <c r="AD186">
        <f>vlookup("924-700000-200",B:AZ,column(ac1),0)*e186</f>
        <v>0</v>
      </c>
      <c r="AE186">
        <f>vlookup("924-700000-200",B:AZ,column(ad1),0)*e186</f>
        <v>0</v>
      </c>
      <c r="AF186">
        <f>vlookup("924-700000-200",B:AZ,column(ae1),0)*e186</f>
        <v>0</v>
      </c>
      <c r="AG186">
        <f>vlookup("924-700000-200",B:AZ,column(af1),0)*e186</f>
        <v>0</v>
      </c>
      <c r="AH186">
        <f>vlookup("924-700000-200",B:AZ,column(ag1),0)*e186</f>
        <v>0</v>
      </c>
      <c r="AI186">
        <f>vlookup("924-700000-200",B:AZ,column(ah1),0)*e186</f>
        <v>0</v>
      </c>
      <c r="AJ186">
        <f>vlookup("924-700000-200",B:AZ,column(ai1),0)*e186</f>
        <v>0</v>
      </c>
      <c r="AK186">
        <f>vlookup("924-700000-200",B:AZ,column(aj1),0)*e186</f>
        <v>0</v>
      </c>
      <c r="AL186">
        <f>vlookup("924-700000-200",B:AZ,column(ak1),0)*e186</f>
        <v>0</v>
      </c>
      <c r="AM186">
        <f>vlookup("924-700000-200",B:AZ,column(al1),0)*e186</f>
        <v>0</v>
      </c>
      <c r="AN186">
        <f>vlookup("924-700000-200",B:AZ,column(am1),0)*e186</f>
        <v>0</v>
      </c>
      <c r="AO186">
        <f>vlookup("924-700000-200",B:AZ,column(an1),0)*e186</f>
        <v>0</v>
      </c>
    </row>
    <row r="187" spans="1:41">
      <c r="A187" t="s">
        <v>22</v>
      </c>
      <c r="B187" t="s">
        <v>203</v>
      </c>
      <c r="C187" t="s">
        <v>204</v>
      </c>
      <c r="E187">
        <v>1</v>
      </c>
      <c r="I187" t="s">
        <v>15</v>
      </c>
      <c r="J187">
        <f>vlookup("924-700000-200",B:AZ,column(i1),0)*e187</f>
        <v>0</v>
      </c>
      <c r="K187">
        <f>vlookup("924-700000-200",B:AZ,column(j1),0)*e187</f>
        <v>0</v>
      </c>
      <c r="L187">
        <f>vlookup("924-700000-200",B:AZ,column(k1),0)*e187</f>
        <v>0</v>
      </c>
      <c r="M187">
        <f>vlookup("924-700000-200",B:AZ,column(l1),0)*e187</f>
        <v>0</v>
      </c>
      <c r="N187">
        <f>vlookup("924-700000-200",B:AZ,column(m1),0)*e187</f>
        <v>0</v>
      </c>
      <c r="O187">
        <f>vlookup("924-700000-200",B:AZ,column(n1),0)*e187</f>
        <v>0</v>
      </c>
      <c r="P187">
        <f>vlookup("924-700000-200",B:AZ,column(o1),0)*e187</f>
        <v>0</v>
      </c>
      <c r="Q187">
        <f>vlookup("924-700000-200",B:AZ,column(p1),0)*e187</f>
        <v>0</v>
      </c>
      <c r="R187">
        <f>vlookup("924-700000-200",B:AZ,column(q1),0)*e187</f>
        <v>0</v>
      </c>
      <c r="S187">
        <f>vlookup("924-700000-200",B:AZ,column(r1),0)*e187</f>
        <v>0</v>
      </c>
      <c r="T187">
        <f>vlookup("924-700000-200",B:AZ,column(s1),0)*e187</f>
        <v>0</v>
      </c>
      <c r="U187">
        <f>vlookup("924-700000-200",B:AZ,column(t1),0)*e187</f>
        <v>0</v>
      </c>
      <c r="V187">
        <f>vlookup("924-700000-200",B:AZ,column(u1),0)*e187</f>
        <v>0</v>
      </c>
      <c r="W187">
        <f>vlookup("924-700000-200",B:AZ,column(v1),0)*e187</f>
        <v>0</v>
      </c>
      <c r="X187">
        <f>vlookup("924-700000-200",B:AZ,column(w1),0)*e187</f>
        <v>0</v>
      </c>
      <c r="Y187">
        <f>vlookup("924-700000-200",B:AZ,column(x1),0)*e187</f>
        <v>0</v>
      </c>
      <c r="Z187">
        <f>vlookup("924-700000-200",B:AZ,column(y1),0)*e187</f>
        <v>0</v>
      </c>
      <c r="AA187">
        <f>vlookup("924-700000-200",B:AZ,column(z1),0)*e187</f>
        <v>0</v>
      </c>
      <c r="AB187">
        <f>vlookup("924-700000-200",B:AZ,column(aa1),0)*e187</f>
        <v>0</v>
      </c>
      <c r="AC187">
        <f>vlookup("924-700000-200",B:AZ,column(ab1),0)*e187</f>
        <v>0</v>
      </c>
      <c r="AD187">
        <f>vlookup("924-700000-200",B:AZ,column(ac1),0)*e187</f>
        <v>0</v>
      </c>
      <c r="AE187">
        <f>vlookup("924-700000-200",B:AZ,column(ad1),0)*e187</f>
        <v>0</v>
      </c>
      <c r="AF187">
        <f>vlookup("924-700000-200",B:AZ,column(ae1),0)*e187</f>
        <v>0</v>
      </c>
      <c r="AG187">
        <f>vlookup("924-700000-200",B:AZ,column(af1),0)*e187</f>
        <v>0</v>
      </c>
      <c r="AH187">
        <f>vlookup("924-700000-200",B:AZ,column(ag1),0)*e187</f>
        <v>0</v>
      </c>
      <c r="AI187">
        <f>vlookup("924-700000-200",B:AZ,column(ah1),0)*e187</f>
        <v>0</v>
      </c>
      <c r="AJ187">
        <f>vlookup("924-700000-200",B:AZ,column(ai1),0)*e187</f>
        <v>0</v>
      </c>
      <c r="AK187">
        <f>vlookup("924-700000-200",B:AZ,column(aj1),0)*e187</f>
        <v>0</v>
      </c>
      <c r="AL187">
        <f>vlookup("924-700000-200",B:AZ,column(ak1),0)*e187</f>
        <v>0</v>
      </c>
      <c r="AM187">
        <f>vlookup("924-700000-200",B:AZ,column(al1),0)*e187</f>
        <v>0</v>
      </c>
      <c r="AN187">
        <f>vlookup("924-700000-200",B:AZ,column(am1),0)*e187</f>
        <v>0</v>
      </c>
      <c r="AO187">
        <f>vlookup("924-700000-200",B:AZ,column(an1),0)*e187</f>
        <v>0</v>
      </c>
    </row>
    <row r="188" spans="1:41">
      <c r="A188" t="s">
        <v>22</v>
      </c>
      <c r="B188" t="s">
        <v>205</v>
      </c>
      <c r="C188" t="s">
        <v>206</v>
      </c>
      <c r="E188">
        <v>1</v>
      </c>
      <c r="I188" t="s">
        <v>15</v>
      </c>
      <c r="J188">
        <f>vlookup("924-700000-200",B:AZ,column(i1),0)*e188</f>
        <v>0</v>
      </c>
      <c r="K188">
        <f>vlookup("924-700000-200",B:AZ,column(j1),0)*e188</f>
        <v>0</v>
      </c>
      <c r="L188">
        <f>vlookup("924-700000-200",B:AZ,column(k1),0)*e188</f>
        <v>0</v>
      </c>
      <c r="M188">
        <f>vlookup("924-700000-200",B:AZ,column(l1),0)*e188</f>
        <v>0</v>
      </c>
      <c r="N188">
        <f>vlookup("924-700000-200",B:AZ,column(m1),0)*e188</f>
        <v>0</v>
      </c>
      <c r="O188">
        <f>vlookup("924-700000-200",B:AZ,column(n1),0)*e188</f>
        <v>0</v>
      </c>
      <c r="P188">
        <f>vlookup("924-700000-200",B:AZ,column(o1),0)*e188</f>
        <v>0</v>
      </c>
      <c r="Q188">
        <f>vlookup("924-700000-200",B:AZ,column(p1),0)*e188</f>
        <v>0</v>
      </c>
      <c r="R188">
        <f>vlookup("924-700000-200",B:AZ,column(q1),0)*e188</f>
        <v>0</v>
      </c>
      <c r="S188">
        <f>vlookup("924-700000-200",B:AZ,column(r1),0)*e188</f>
        <v>0</v>
      </c>
      <c r="T188">
        <f>vlookup("924-700000-200",B:AZ,column(s1),0)*e188</f>
        <v>0</v>
      </c>
      <c r="U188">
        <f>vlookup("924-700000-200",B:AZ,column(t1),0)*e188</f>
        <v>0</v>
      </c>
      <c r="V188">
        <f>vlookup("924-700000-200",B:AZ,column(u1),0)*e188</f>
        <v>0</v>
      </c>
      <c r="W188">
        <f>vlookup("924-700000-200",B:AZ,column(v1),0)*e188</f>
        <v>0</v>
      </c>
      <c r="X188">
        <f>vlookup("924-700000-200",B:AZ,column(w1),0)*e188</f>
        <v>0</v>
      </c>
      <c r="Y188">
        <f>vlookup("924-700000-200",B:AZ,column(x1),0)*e188</f>
        <v>0</v>
      </c>
      <c r="Z188">
        <f>vlookup("924-700000-200",B:AZ,column(y1),0)*e188</f>
        <v>0</v>
      </c>
      <c r="AA188">
        <f>vlookup("924-700000-200",B:AZ,column(z1),0)*e188</f>
        <v>0</v>
      </c>
      <c r="AB188">
        <f>vlookup("924-700000-200",B:AZ,column(aa1),0)*e188</f>
        <v>0</v>
      </c>
      <c r="AC188">
        <f>vlookup("924-700000-200",B:AZ,column(ab1),0)*e188</f>
        <v>0</v>
      </c>
      <c r="AD188">
        <f>vlookup("924-700000-200",B:AZ,column(ac1),0)*e188</f>
        <v>0</v>
      </c>
      <c r="AE188">
        <f>vlookup("924-700000-200",B:AZ,column(ad1),0)*e188</f>
        <v>0</v>
      </c>
      <c r="AF188">
        <f>vlookup("924-700000-200",B:AZ,column(ae1),0)*e188</f>
        <v>0</v>
      </c>
      <c r="AG188">
        <f>vlookup("924-700000-200",B:AZ,column(af1),0)*e188</f>
        <v>0</v>
      </c>
      <c r="AH188">
        <f>vlookup("924-700000-200",B:AZ,column(ag1),0)*e188</f>
        <v>0</v>
      </c>
      <c r="AI188">
        <f>vlookup("924-700000-200",B:AZ,column(ah1),0)*e188</f>
        <v>0</v>
      </c>
      <c r="AJ188">
        <f>vlookup("924-700000-200",B:AZ,column(ai1),0)*e188</f>
        <v>0</v>
      </c>
      <c r="AK188">
        <f>vlookup("924-700000-200",B:AZ,column(aj1),0)*e188</f>
        <v>0</v>
      </c>
      <c r="AL188">
        <f>vlookup("924-700000-200",B:AZ,column(ak1),0)*e188</f>
        <v>0</v>
      </c>
      <c r="AM188">
        <f>vlookup("924-700000-200",B:AZ,column(al1),0)*e188</f>
        <v>0</v>
      </c>
      <c r="AN188">
        <f>vlookup("924-700000-200",B:AZ,column(am1),0)*e188</f>
        <v>0</v>
      </c>
      <c r="AO188">
        <f>vlookup("924-700000-200",B:AZ,column(an1),0)*e188</f>
        <v>0</v>
      </c>
    </row>
    <row r="189" spans="1:41">
      <c r="A189" t="s">
        <v>10</v>
      </c>
      <c r="B189" t="s">
        <v>211</v>
      </c>
      <c r="C189" t="s">
        <v>212</v>
      </c>
      <c r="E189">
        <v>1</v>
      </c>
      <c r="I189" t="s">
        <v>14</v>
      </c>
      <c r="AO189">
        <f>sum(j189:an189)</f>
        <v>0</v>
      </c>
    </row>
    <row r="190" spans="1:41">
      <c r="I190" t="s">
        <v>15</v>
      </c>
      <c r="J190">
        <f>vlookup("824-701000-100",Out!B:AZ,column(i1),0)</f>
        <v>0</v>
      </c>
      <c r="K190">
        <f>vlookup("824-701000-100",Out!B:AZ,column(j1),0)</f>
        <v>0</v>
      </c>
      <c r="L190">
        <f>vlookup("824-701000-100",Out!B:AZ,column(k1),0)</f>
        <v>0</v>
      </c>
      <c r="M190">
        <f>vlookup("824-701000-100",Out!B:AZ,column(l1),0)</f>
        <v>0</v>
      </c>
      <c r="N190">
        <f>vlookup("824-701000-100",Out!B:AZ,column(m1),0)</f>
        <v>0</v>
      </c>
      <c r="O190">
        <f>vlookup("824-701000-100",Out!B:AZ,column(n1),0)</f>
        <v>0</v>
      </c>
      <c r="P190">
        <f>vlookup("824-701000-100",Out!B:AZ,column(o1),0)</f>
        <v>0</v>
      </c>
      <c r="Q190">
        <f>vlookup("824-701000-100",Out!B:AZ,column(p1),0)</f>
        <v>0</v>
      </c>
      <c r="R190">
        <f>vlookup("824-701000-100",Out!B:AZ,column(q1),0)</f>
        <v>0</v>
      </c>
      <c r="S190">
        <f>vlookup("824-701000-100",Out!B:AZ,column(r1),0)</f>
        <v>0</v>
      </c>
      <c r="T190">
        <f>vlookup("824-701000-100",Out!B:AZ,column(s1),0)</f>
        <v>0</v>
      </c>
      <c r="U190">
        <f>vlookup("824-701000-100",Out!B:AZ,column(t1),0)</f>
        <v>0</v>
      </c>
      <c r="V190">
        <f>vlookup("824-701000-100",Out!B:AZ,column(u1),0)</f>
        <v>0</v>
      </c>
      <c r="W190">
        <f>vlookup("824-701000-100",Out!B:AZ,column(v1),0)</f>
        <v>0</v>
      </c>
      <c r="X190">
        <f>vlookup("824-701000-100",Out!B:AZ,column(w1),0)</f>
        <v>0</v>
      </c>
      <c r="Y190">
        <f>vlookup("824-701000-100",Out!B:AZ,column(x1),0)</f>
        <v>0</v>
      </c>
      <c r="Z190">
        <f>vlookup("824-701000-100",Out!B:AZ,column(y1),0)</f>
        <v>0</v>
      </c>
      <c r="AA190">
        <f>vlookup("824-701000-100",Out!B:AZ,column(z1),0)</f>
        <v>0</v>
      </c>
      <c r="AB190">
        <f>vlookup("824-701000-100",Out!B:AZ,column(aa1),0)</f>
        <v>0</v>
      </c>
      <c r="AC190">
        <f>vlookup("824-701000-100",Out!B:AZ,column(ab1),0)</f>
        <v>0</v>
      </c>
      <c r="AD190">
        <f>vlookup("824-701000-100",Out!B:AZ,column(ac1),0)</f>
        <v>0</v>
      </c>
      <c r="AE190">
        <f>vlookup("824-701000-100",Out!B:AZ,column(ad1),0)</f>
        <v>0</v>
      </c>
      <c r="AF190">
        <f>vlookup("824-701000-100",Out!B:AZ,column(ae1),0)</f>
        <v>0</v>
      </c>
      <c r="AG190">
        <f>vlookup("824-701000-100",Out!B:AZ,column(af1),0)</f>
        <v>0</v>
      </c>
      <c r="AH190">
        <f>vlookup("824-701000-100",Out!B:AZ,column(ag1),0)</f>
        <v>0</v>
      </c>
      <c r="AI190">
        <f>vlookup("824-701000-100",Out!B:AZ,column(ah1),0)</f>
        <v>0</v>
      </c>
      <c r="AJ190">
        <f>vlookup("824-701000-100",Out!B:AZ,column(ai1),0)</f>
        <v>0</v>
      </c>
      <c r="AK190">
        <f>vlookup("824-701000-100",Out!B:AZ,column(aj1),0)</f>
        <v>0</v>
      </c>
      <c r="AL190">
        <f>vlookup("824-701000-100",Out!B:AZ,column(ak1),0)</f>
        <v>0</v>
      </c>
      <c r="AM190">
        <f>vlookup("824-701000-100",Out!B:AZ,column(al1),0)</f>
        <v>0</v>
      </c>
      <c r="AN190">
        <f>vlookup("824-701000-100",Out!B:AZ,column(am1),0)</f>
        <v>0</v>
      </c>
      <c r="AO190">
        <f>vlookup("824-701000-100",Out!B:AZ,column(an1),0)</f>
        <v>0</v>
      </c>
    </row>
    <row r="191" spans="1:41">
      <c r="H191" t="s">
        <v>16</v>
      </c>
      <c r="J191">
        <f>indirect(address(191,9))+indirect(address(189,10))-indirect(address(190,10))</f>
        <v>0</v>
      </c>
      <c r="K191">
        <f>indirect(address(191,10))+indirect(address(189,11))-indirect(address(190,11))</f>
        <v>0</v>
      </c>
      <c r="L191">
        <f>indirect(address(191,11))+indirect(address(189,12))-indirect(address(190,12))</f>
        <v>0</v>
      </c>
      <c r="M191">
        <f>indirect(address(191,12))+indirect(address(189,13))-indirect(address(190,13))</f>
        <v>0</v>
      </c>
      <c r="N191">
        <f>indirect(address(191,13))+indirect(address(189,14))-indirect(address(190,14))</f>
        <v>0</v>
      </c>
      <c r="O191">
        <f>indirect(address(191,14))+indirect(address(189,15))-indirect(address(190,15))</f>
        <v>0</v>
      </c>
      <c r="P191">
        <f>indirect(address(191,15))+indirect(address(189,16))-indirect(address(190,16))</f>
        <v>0</v>
      </c>
      <c r="Q191">
        <f>indirect(address(191,16))+indirect(address(189,17))-indirect(address(190,17))</f>
        <v>0</v>
      </c>
      <c r="R191">
        <f>indirect(address(191,17))+indirect(address(189,18))-indirect(address(190,18))</f>
        <v>0</v>
      </c>
      <c r="S191">
        <f>indirect(address(191,18))+indirect(address(189,19))-indirect(address(190,19))</f>
        <v>0</v>
      </c>
      <c r="T191">
        <f>indirect(address(191,19))+indirect(address(189,20))-indirect(address(190,20))</f>
        <v>0</v>
      </c>
      <c r="U191">
        <f>indirect(address(191,20))+indirect(address(189,21))-indirect(address(190,21))</f>
        <v>0</v>
      </c>
      <c r="V191">
        <f>indirect(address(191,21))+indirect(address(189,22))-indirect(address(190,22))</f>
        <v>0</v>
      </c>
      <c r="W191">
        <f>indirect(address(191,22))+indirect(address(189,23))-indirect(address(190,23))</f>
        <v>0</v>
      </c>
      <c r="X191">
        <f>indirect(address(191,23))+indirect(address(189,24))-indirect(address(190,24))</f>
        <v>0</v>
      </c>
      <c r="Y191">
        <f>indirect(address(191,24))+indirect(address(189,25))-indirect(address(190,25))</f>
        <v>0</v>
      </c>
      <c r="Z191">
        <f>indirect(address(191,25))+indirect(address(189,26))-indirect(address(190,26))</f>
        <v>0</v>
      </c>
      <c r="AA191">
        <f>indirect(address(191,26))+indirect(address(189,27))-indirect(address(190,27))</f>
        <v>0</v>
      </c>
      <c r="AB191">
        <f>indirect(address(191,27))+indirect(address(189,28))-indirect(address(190,28))</f>
        <v>0</v>
      </c>
      <c r="AC191">
        <f>indirect(address(191,28))+indirect(address(189,29))-indirect(address(190,29))</f>
        <v>0</v>
      </c>
      <c r="AD191">
        <f>indirect(address(191,29))+indirect(address(189,30))-indirect(address(190,30))</f>
        <v>0</v>
      </c>
      <c r="AE191">
        <f>indirect(address(191,30))+indirect(address(189,31))-indirect(address(190,31))</f>
        <v>0</v>
      </c>
      <c r="AF191">
        <f>indirect(address(191,31))+indirect(address(189,32))-indirect(address(190,32))</f>
        <v>0</v>
      </c>
      <c r="AG191">
        <f>indirect(address(191,32))+indirect(address(189,33))-indirect(address(190,33))</f>
        <v>0</v>
      </c>
      <c r="AH191">
        <f>indirect(address(191,33))+indirect(address(189,34))-indirect(address(190,34))</f>
        <v>0</v>
      </c>
      <c r="AI191">
        <f>indirect(address(191,34))+indirect(address(189,35))-indirect(address(190,35))</f>
        <v>0</v>
      </c>
      <c r="AJ191">
        <f>indirect(address(191,35))+indirect(address(189,36))-indirect(address(190,36))</f>
        <v>0</v>
      </c>
      <c r="AK191">
        <f>indirect(address(191,36))+indirect(address(189,37))-indirect(address(190,37))</f>
        <v>0</v>
      </c>
      <c r="AL191">
        <f>indirect(address(191,37))+indirect(address(189,38))-indirect(address(190,38))</f>
        <v>0</v>
      </c>
      <c r="AM191">
        <f>indirect(address(191,38))+indirect(address(189,39))-indirect(address(190,39))</f>
        <v>0</v>
      </c>
      <c r="AN191">
        <f>indirect(address(191,39))+indirect(address(189,40))-indirect(address(190,40))</f>
        <v>0</v>
      </c>
      <c r="AO191">
        <f>indirect(address(191,40))</f>
        <v>0</v>
      </c>
    </row>
    <row r="192" spans="1:41">
      <c r="A192" t="s">
        <v>17</v>
      </c>
      <c r="B192" t="s">
        <v>211</v>
      </c>
      <c r="C192" t="s">
        <v>213</v>
      </c>
      <c r="E192">
        <v>1</v>
      </c>
      <c r="I192" t="s">
        <v>15</v>
      </c>
      <c r="J192">
        <f>vlookup("824-701000-100",B:AZ,column(i1),0)*e192</f>
        <v>0</v>
      </c>
      <c r="K192">
        <f>vlookup("824-701000-100",B:AZ,column(j1),0)*e192</f>
        <v>0</v>
      </c>
      <c r="L192">
        <f>vlookup("824-701000-100",B:AZ,column(k1),0)*e192</f>
        <v>0</v>
      </c>
      <c r="M192">
        <f>vlookup("824-701000-100",B:AZ,column(l1),0)*e192</f>
        <v>0</v>
      </c>
      <c r="N192">
        <f>vlookup("824-701000-100",B:AZ,column(m1),0)*e192</f>
        <v>0</v>
      </c>
      <c r="O192">
        <f>vlookup("824-701000-100",B:AZ,column(n1),0)*e192</f>
        <v>0</v>
      </c>
      <c r="P192">
        <f>vlookup("824-701000-100",B:AZ,column(o1),0)*e192</f>
        <v>0</v>
      </c>
      <c r="Q192">
        <f>vlookup("824-701000-100",B:AZ,column(p1),0)*e192</f>
        <v>0</v>
      </c>
      <c r="R192">
        <f>vlookup("824-701000-100",B:AZ,column(q1),0)*e192</f>
        <v>0</v>
      </c>
      <c r="S192">
        <f>vlookup("824-701000-100",B:AZ,column(r1),0)*e192</f>
        <v>0</v>
      </c>
      <c r="T192">
        <f>vlookup("824-701000-100",B:AZ,column(s1),0)*e192</f>
        <v>0</v>
      </c>
      <c r="U192">
        <f>vlookup("824-701000-100",B:AZ,column(t1),0)*e192</f>
        <v>0</v>
      </c>
      <c r="V192">
        <f>vlookup("824-701000-100",B:AZ,column(u1),0)*e192</f>
        <v>0</v>
      </c>
      <c r="W192">
        <f>vlookup("824-701000-100",B:AZ,column(v1),0)*e192</f>
        <v>0</v>
      </c>
      <c r="X192">
        <f>vlookup("824-701000-100",B:AZ,column(w1),0)*e192</f>
        <v>0</v>
      </c>
      <c r="Y192">
        <f>vlookup("824-701000-100",B:AZ,column(x1),0)*e192</f>
        <v>0</v>
      </c>
      <c r="Z192">
        <f>vlookup("824-701000-100",B:AZ,column(y1),0)*e192</f>
        <v>0</v>
      </c>
      <c r="AA192">
        <f>vlookup("824-701000-100",B:AZ,column(z1),0)*e192</f>
        <v>0</v>
      </c>
      <c r="AB192">
        <f>vlookup("824-701000-100",B:AZ,column(aa1),0)*e192</f>
        <v>0</v>
      </c>
      <c r="AC192">
        <f>vlookup("824-701000-100",B:AZ,column(ab1),0)*e192</f>
        <v>0</v>
      </c>
      <c r="AD192">
        <f>vlookup("824-701000-100",B:AZ,column(ac1),0)*e192</f>
        <v>0</v>
      </c>
      <c r="AE192">
        <f>vlookup("824-701000-100",B:AZ,column(ad1),0)*e192</f>
        <v>0</v>
      </c>
      <c r="AF192">
        <f>vlookup("824-701000-100",B:AZ,column(ae1),0)*e192</f>
        <v>0</v>
      </c>
      <c r="AG192">
        <f>vlookup("824-701000-100",B:AZ,column(af1),0)*e192</f>
        <v>0</v>
      </c>
      <c r="AH192">
        <f>vlookup("824-701000-100",B:AZ,column(ag1),0)*e192</f>
        <v>0</v>
      </c>
      <c r="AI192">
        <f>vlookup("824-701000-100",B:AZ,column(ah1),0)*e192</f>
        <v>0</v>
      </c>
      <c r="AJ192">
        <f>vlookup("824-701000-100",B:AZ,column(ai1),0)*e192</f>
        <v>0</v>
      </c>
      <c r="AK192">
        <f>vlookup("824-701000-100",B:AZ,column(aj1),0)*e192</f>
        <v>0</v>
      </c>
      <c r="AL192">
        <f>vlookup("824-701000-100",B:AZ,column(ak1),0)*e192</f>
        <v>0</v>
      </c>
      <c r="AM192">
        <f>vlookup("824-701000-100",B:AZ,column(al1),0)*e192</f>
        <v>0</v>
      </c>
      <c r="AN192">
        <f>vlookup("824-701000-100",B:AZ,column(am1),0)*e192</f>
        <v>0</v>
      </c>
      <c r="AO192">
        <f>vlookup("824-701000-100",B:AZ,column(an1),0)*e192</f>
        <v>0</v>
      </c>
    </row>
    <row r="193" spans="1:41">
      <c r="A193" t="s">
        <v>17</v>
      </c>
      <c r="B193" t="s">
        <v>214</v>
      </c>
      <c r="C193" t="s">
        <v>215</v>
      </c>
      <c r="E193">
        <v>1</v>
      </c>
      <c r="I193" t="s">
        <v>15</v>
      </c>
      <c r="J193">
        <f>vlookup("824-701000-100",B:AZ,column(i1),0)*e193</f>
        <v>0</v>
      </c>
      <c r="K193">
        <f>vlookup("824-701000-100",B:AZ,column(j1),0)*e193</f>
        <v>0</v>
      </c>
      <c r="L193">
        <f>vlookup("824-701000-100",B:AZ,column(k1),0)*e193</f>
        <v>0</v>
      </c>
      <c r="M193">
        <f>vlookup("824-701000-100",B:AZ,column(l1),0)*e193</f>
        <v>0</v>
      </c>
      <c r="N193">
        <f>vlookup("824-701000-100",B:AZ,column(m1),0)*e193</f>
        <v>0</v>
      </c>
      <c r="O193">
        <f>vlookup("824-701000-100",B:AZ,column(n1),0)*e193</f>
        <v>0</v>
      </c>
      <c r="P193">
        <f>vlookup("824-701000-100",B:AZ,column(o1),0)*e193</f>
        <v>0</v>
      </c>
      <c r="Q193">
        <f>vlookup("824-701000-100",B:AZ,column(p1),0)*e193</f>
        <v>0</v>
      </c>
      <c r="R193">
        <f>vlookup("824-701000-100",B:AZ,column(q1),0)*e193</f>
        <v>0</v>
      </c>
      <c r="S193">
        <f>vlookup("824-701000-100",B:AZ,column(r1),0)*e193</f>
        <v>0</v>
      </c>
      <c r="T193">
        <f>vlookup("824-701000-100",B:AZ,column(s1),0)*e193</f>
        <v>0</v>
      </c>
      <c r="U193">
        <f>vlookup("824-701000-100",B:AZ,column(t1),0)*e193</f>
        <v>0</v>
      </c>
      <c r="V193">
        <f>vlookup("824-701000-100",B:AZ,column(u1),0)*e193</f>
        <v>0</v>
      </c>
      <c r="W193">
        <f>vlookup("824-701000-100",B:AZ,column(v1),0)*e193</f>
        <v>0</v>
      </c>
      <c r="X193">
        <f>vlookup("824-701000-100",B:AZ,column(w1),0)*e193</f>
        <v>0</v>
      </c>
      <c r="Y193">
        <f>vlookup("824-701000-100",B:AZ,column(x1),0)*e193</f>
        <v>0</v>
      </c>
      <c r="Z193">
        <f>vlookup("824-701000-100",B:AZ,column(y1),0)*e193</f>
        <v>0</v>
      </c>
      <c r="AA193">
        <f>vlookup("824-701000-100",B:AZ,column(z1),0)*e193</f>
        <v>0</v>
      </c>
      <c r="AB193">
        <f>vlookup("824-701000-100",B:AZ,column(aa1),0)*e193</f>
        <v>0</v>
      </c>
      <c r="AC193">
        <f>vlookup("824-701000-100",B:AZ,column(ab1),0)*e193</f>
        <v>0</v>
      </c>
      <c r="AD193">
        <f>vlookup("824-701000-100",B:AZ,column(ac1),0)*e193</f>
        <v>0</v>
      </c>
      <c r="AE193">
        <f>vlookup("824-701000-100",B:AZ,column(ad1),0)*e193</f>
        <v>0</v>
      </c>
      <c r="AF193">
        <f>vlookup("824-701000-100",B:AZ,column(ae1),0)*e193</f>
        <v>0</v>
      </c>
      <c r="AG193">
        <f>vlookup("824-701000-100",B:AZ,column(af1),0)*e193</f>
        <v>0</v>
      </c>
      <c r="AH193">
        <f>vlookup("824-701000-100",B:AZ,column(ag1),0)*e193</f>
        <v>0</v>
      </c>
      <c r="AI193">
        <f>vlookup("824-701000-100",B:AZ,column(ah1),0)*e193</f>
        <v>0</v>
      </c>
      <c r="AJ193">
        <f>vlookup("824-701000-100",B:AZ,column(ai1),0)*e193</f>
        <v>0</v>
      </c>
      <c r="AK193">
        <f>vlookup("824-701000-100",B:AZ,column(aj1),0)*e193</f>
        <v>0</v>
      </c>
      <c r="AL193">
        <f>vlookup("824-701000-100",B:AZ,column(ak1),0)*e193</f>
        <v>0</v>
      </c>
      <c r="AM193">
        <f>vlookup("824-701000-100",B:AZ,column(al1),0)*e193</f>
        <v>0</v>
      </c>
      <c r="AN193">
        <f>vlookup("824-701000-100",B:AZ,column(am1),0)*e193</f>
        <v>0</v>
      </c>
      <c r="AO193">
        <f>vlookup("824-701000-100",B:AZ,column(an1),0)*e193</f>
        <v>0</v>
      </c>
    </row>
    <row r="194" spans="1:41">
      <c r="A194" t="s">
        <v>22</v>
      </c>
      <c r="B194" t="s">
        <v>216</v>
      </c>
      <c r="C194" t="s">
        <v>217</v>
      </c>
      <c r="E194">
        <v>1</v>
      </c>
      <c r="I194" t="s">
        <v>15</v>
      </c>
      <c r="J194">
        <f>vlookup("824-701000-100",B:AZ,column(i1),0)*e194</f>
        <v>0</v>
      </c>
      <c r="K194">
        <f>vlookup("824-701000-100",B:AZ,column(j1),0)*e194</f>
        <v>0</v>
      </c>
      <c r="L194">
        <f>vlookup("824-701000-100",B:AZ,column(k1),0)*e194</f>
        <v>0</v>
      </c>
      <c r="M194">
        <f>vlookup("824-701000-100",B:AZ,column(l1),0)*e194</f>
        <v>0</v>
      </c>
      <c r="N194">
        <f>vlookup("824-701000-100",B:AZ,column(m1),0)*e194</f>
        <v>0</v>
      </c>
      <c r="O194">
        <f>vlookup("824-701000-100",B:AZ,column(n1),0)*e194</f>
        <v>0</v>
      </c>
      <c r="P194">
        <f>vlookup("824-701000-100",B:AZ,column(o1),0)*e194</f>
        <v>0</v>
      </c>
      <c r="Q194">
        <f>vlookup("824-701000-100",B:AZ,column(p1),0)*e194</f>
        <v>0</v>
      </c>
      <c r="R194">
        <f>vlookup("824-701000-100",B:AZ,column(q1),0)*e194</f>
        <v>0</v>
      </c>
      <c r="S194">
        <f>vlookup("824-701000-100",B:AZ,column(r1),0)*e194</f>
        <v>0</v>
      </c>
      <c r="T194">
        <f>vlookup("824-701000-100",B:AZ,column(s1),0)*e194</f>
        <v>0</v>
      </c>
      <c r="U194">
        <f>vlookup("824-701000-100",B:AZ,column(t1),0)*e194</f>
        <v>0</v>
      </c>
      <c r="V194">
        <f>vlookup("824-701000-100",B:AZ,column(u1),0)*e194</f>
        <v>0</v>
      </c>
      <c r="W194">
        <f>vlookup("824-701000-100",B:AZ,column(v1),0)*e194</f>
        <v>0</v>
      </c>
      <c r="X194">
        <f>vlookup("824-701000-100",B:AZ,column(w1),0)*e194</f>
        <v>0</v>
      </c>
      <c r="Y194">
        <f>vlookup("824-701000-100",B:AZ,column(x1),0)*e194</f>
        <v>0</v>
      </c>
      <c r="Z194">
        <f>vlookup("824-701000-100",B:AZ,column(y1),0)*e194</f>
        <v>0</v>
      </c>
      <c r="AA194">
        <f>vlookup("824-701000-100",B:AZ,column(z1),0)*e194</f>
        <v>0</v>
      </c>
      <c r="AB194">
        <f>vlookup("824-701000-100",B:AZ,column(aa1),0)*e194</f>
        <v>0</v>
      </c>
      <c r="AC194">
        <f>vlookup("824-701000-100",B:AZ,column(ab1),0)*e194</f>
        <v>0</v>
      </c>
      <c r="AD194">
        <f>vlookup("824-701000-100",B:AZ,column(ac1),0)*e194</f>
        <v>0</v>
      </c>
      <c r="AE194">
        <f>vlookup("824-701000-100",B:AZ,column(ad1),0)*e194</f>
        <v>0</v>
      </c>
      <c r="AF194">
        <f>vlookup("824-701000-100",B:AZ,column(ae1),0)*e194</f>
        <v>0</v>
      </c>
      <c r="AG194">
        <f>vlookup("824-701000-100",B:AZ,column(af1),0)*e194</f>
        <v>0</v>
      </c>
      <c r="AH194">
        <f>vlookup("824-701000-100",B:AZ,column(ag1),0)*e194</f>
        <v>0</v>
      </c>
      <c r="AI194">
        <f>vlookup("824-701000-100",B:AZ,column(ah1),0)*e194</f>
        <v>0</v>
      </c>
      <c r="AJ194">
        <f>vlookup("824-701000-100",B:AZ,column(ai1),0)*e194</f>
        <v>0</v>
      </c>
      <c r="AK194">
        <f>vlookup("824-701000-100",B:AZ,column(aj1),0)*e194</f>
        <v>0</v>
      </c>
      <c r="AL194">
        <f>vlookup("824-701000-100",B:AZ,column(ak1),0)*e194</f>
        <v>0</v>
      </c>
      <c r="AM194">
        <f>vlookup("824-701000-100",B:AZ,column(al1),0)*e194</f>
        <v>0</v>
      </c>
      <c r="AN194">
        <f>vlookup("824-701000-100",B:AZ,column(am1),0)*e194</f>
        <v>0</v>
      </c>
      <c r="AO194">
        <f>vlookup("824-701000-100",B:AZ,column(an1),0)*e194</f>
        <v>0</v>
      </c>
    </row>
    <row r="195" spans="1:41">
      <c r="A195" t="s">
        <v>17</v>
      </c>
      <c r="B195" t="s">
        <v>218</v>
      </c>
      <c r="C195" t="s">
        <v>219</v>
      </c>
      <c r="E195">
        <v>2</v>
      </c>
      <c r="I195" t="s">
        <v>15</v>
      </c>
      <c r="J195">
        <f>vlookup("824-701000-100",B:AZ,column(i1),0)*e195</f>
        <v>0</v>
      </c>
      <c r="K195">
        <f>vlookup("824-701000-100",B:AZ,column(j1),0)*e195</f>
        <v>0</v>
      </c>
      <c r="L195">
        <f>vlookup("824-701000-100",B:AZ,column(k1),0)*e195</f>
        <v>0</v>
      </c>
      <c r="M195">
        <f>vlookup("824-701000-100",B:AZ,column(l1),0)*e195</f>
        <v>0</v>
      </c>
      <c r="N195">
        <f>vlookup("824-701000-100",B:AZ,column(m1),0)*e195</f>
        <v>0</v>
      </c>
      <c r="O195">
        <f>vlookup("824-701000-100",B:AZ,column(n1),0)*e195</f>
        <v>0</v>
      </c>
      <c r="P195">
        <f>vlookup("824-701000-100",B:AZ,column(o1),0)*e195</f>
        <v>0</v>
      </c>
      <c r="Q195">
        <f>vlookup("824-701000-100",B:AZ,column(p1),0)*e195</f>
        <v>0</v>
      </c>
      <c r="R195">
        <f>vlookup("824-701000-100",B:AZ,column(q1),0)*e195</f>
        <v>0</v>
      </c>
      <c r="S195">
        <f>vlookup("824-701000-100",B:AZ,column(r1),0)*e195</f>
        <v>0</v>
      </c>
      <c r="T195">
        <f>vlookup("824-701000-100",B:AZ,column(s1),0)*e195</f>
        <v>0</v>
      </c>
      <c r="U195">
        <f>vlookup("824-701000-100",B:AZ,column(t1),0)*e195</f>
        <v>0</v>
      </c>
      <c r="V195">
        <f>vlookup("824-701000-100",B:AZ,column(u1),0)*e195</f>
        <v>0</v>
      </c>
      <c r="W195">
        <f>vlookup("824-701000-100",B:AZ,column(v1),0)*e195</f>
        <v>0</v>
      </c>
      <c r="X195">
        <f>vlookup("824-701000-100",B:AZ,column(w1),0)*e195</f>
        <v>0</v>
      </c>
      <c r="Y195">
        <f>vlookup("824-701000-100",B:AZ,column(x1),0)*e195</f>
        <v>0</v>
      </c>
      <c r="Z195">
        <f>vlookup("824-701000-100",B:AZ,column(y1),0)*e195</f>
        <v>0</v>
      </c>
      <c r="AA195">
        <f>vlookup("824-701000-100",B:AZ,column(z1),0)*e195</f>
        <v>0</v>
      </c>
      <c r="AB195">
        <f>vlookup("824-701000-100",B:AZ,column(aa1),0)*e195</f>
        <v>0</v>
      </c>
      <c r="AC195">
        <f>vlookup("824-701000-100",B:AZ,column(ab1),0)*e195</f>
        <v>0</v>
      </c>
      <c r="AD195">
        <f>vlookup("824-701000-100",B:AZ,column(ac1),0)*e195</f>
        <v>0</v>
      </c>
      <c r="AE195">
        <f>vlookup("824-701000-100",B:AZ,column(ad1),0)*e195</f>
        <v>0</v>
      </c>
      <c r="AF195">
        <f>vlookup("824-701000-100",B:AZ,column(ae1),0)*e195</f>
        <v>0</v>
      </c>
      <c r="AG195">
        <f>vlookup("824-701000-100",B:AZ,column(af1),0)*e195</f>
        <v>0</v>
      </c>
      <c r="AH195">
        <f>vlookup("824-701000-100",B:AZ,column(ag1),0)*e195</f>
        <v>0</v>
      </c>
      <c r="AI195">
        <f>vlookup("824-701000-100",B:AZ,column(ah1),0)*e195</f>
        <v>0</v>
      </c>
      <c r="AJ195">
        <f>vlookup("824-701000-100",B:AZ,column(ai1),0)*e195</f>
        <v>0</v>
      </c>
      <c r="AK195">
        <f>vlookup("824-701000-100",B:AZ,column(aj1),0)*e195</f>
        <v>0</v>
      </c>
      <c r="AL195">
        <f>vlookup("824-701000-100",B:AZ,column(ak1),0)*e195</f>
        <v>0</v>
      </c>
      <c r="AM195">
        <f>vlookup("824-701000-100",B:AZ,column(al1),0)*e195</f>
        <v>0</v>
      </c>
      <c r="AN195">
        <f>vlookup("824-701000-100",B:AZ,column(am1),0)*e195</f>
        <v>0</v>
      </c>
      <c r="AO195">
        <f>vlookup("824-701000-100",B:AZ,column(an1),0)*e195</f>
        <v>0</v>
      </c>
    </row>
    <row r="196" spans="1:41">
      <c r="A196" t="s">
        <v>22</v>
      </c>
      <c r="B196" t="s">
        <v>205</v>
      </c>
      <c r="C196" t="s">
        <v>206</v>
      </c>
      <c r="E196">
        <v>8</v>
      </c>
      <c r="I196" t="s">
        <v>15</v>
      </c>
      <c r="J196">
        <f>vlookup("824-701000-100",B:AZ,column(i1),0)*e196</f>
        <v>0</v>
      </c>
      <c r="K196">
        <f>vlookup("824-701000-100",B:AZ,column(j1),0)*e196</f>
        <v>0</v>
      </c>
      <c r="L196">
        <f>vlookup("824-701000-100",B:AZ,column(k1),0)*e196</f>
        <v>0</v>
      </c>
      <c r="M196">
        <f>vlookup("824-701000-100",B:AZ,column(l1),0)*e196</f>
        <v>0</v>
      </c>
      <c r="N196">
        <f>vlookup("824-701000-100",B:AZ,column(m1),0)*e196</f>
        <v>0</v>
      </c>
      <c r="O196">
        <f>vlookup("824-701000-100",B:AZ,column(n1),0)*e196</f>
        <v>0</v>
      </c>
      <c r="P196">
        <f>vlookup("824-701000-100",B:AZ,column(o1),0)*e196</f>
        <v>0</v>
      </c>
      <c r="Q196">
        <f>vlookup("824-701000-100",B:AZ,column(p1),0)*e196</f>
        <v>0</v>
      </c>
      <c r="R196">
        <f>vlookup("824-701000-100",B:AZ,column(q1),0)*e196</f>
        <v>0</v>
      </c>
      <c r="S196">
        <f>vlookup("824-701000-100",B:AZ,column(r1),0)*e196</f>
        <v>0</v>
      </c>
      <c r="T196">
        <f>vlookup("824-701000-100",B:AZ,column(s1),0)*e196</f>
        <v>0</v>
      </c>
      <c r="U196">
        <f>vlookup("824-701000-100",B:AZ,column(t1),0)*e196</f>
        <v>0</v>
      </c>
      <c r="V196">
        <f>vlookup("824-701000-100",B:AZ,column(u1),0)*e196</f>
        <v>0</v>
      </c>
      <c r="W196">
        <f>vlookup("824-701000-100",B:AZ,column(v1),0)*e196</f>
        <v>0</v>
      </c>
      <c r="X196">
        <f>vlookup("824-701000-100",B:AZ,column(w1),0)*e196</f>
        <v>0</v>
      </c>
      <c r="Y196">
        <f>vlookup("824-701000-100",B:AZ,column(x1),0)*e196</f>
        <v>0</v>
      </c>
      <c r="Z196">
        <f>vlookup("824-701000-100",B:AZ,column(y1),0)*e196</f>
        <v>0</v>
      </c>
      <c r="AA196">
        <f>vlookup("824-701000-100",B:AZ,column(z1),0)*e196</f>
        <v>0</v>
      </c>
      <c r="AB196">
        <f>vlookup("824-701000-100",B:AZ,column(aa1),0)*e196</f>
        <v>0</v>
      </c>
      <c r="AC196">
        <f>vlookup("824-701000-100",B:AZ,column(ab1),0)*e196</f>
        <v>0</v>
      </c>
      <c r="AD196">
        <f>vlookup("824-701000-100",B:AZ,column(ac1),0)*e196</f>
        <v>0</v>
      </c>
      <c r="AE196">
        <f>vlookup("824-701000-100",B:AZ,column(ad1),0)*e196</f>
        <v>0</v>
      </c>
      <c r="AF196">
        <f>vlookup("824-701000-100",B:AZ,column(ae1),0)*e196</f>
        <v>0</v>
      </c>
      <c r="AG196">
        <f>vlookup("824-701000-100",B:AZ,column(af1),0)*e196</f>
        <v>0</v>
      </c>
      <c r="AH196">
        <f>vlookup("824-701000-100",B:AZ,column(ag1),0)*e196</f>
        <v>0</v>
      </c>
      <c r="AI196">
        <f>vlookup("824-701000-100",B:AZ,column(ah1),0)*e196</f>
        <v>0</v>
      </c>
      <c r="AJ196">
        <f>vlookup("824-701000-100",B:AZ,column(ai1),0)*e196</f>
        <v>0</v>
      </c>
      <c r="AK196">
        <f>vlookup("824-701000-100",B:AZ,column(aj1),0)*e196</f>
        <v>0</v>
      </c>
      <c r="AL196">
        <f>vlookup("824-701000-100",B:AZ,column(ak1),0)*e196</f>
        <v>0</v>
      </c>
      <c r="AM196">
        <f>vlookup("824-701000-100",B:AZ,column(al1),0)*e196</f>
        <v>0</v>
      </c>
      <c r="AN196">
        <f>vlookup("824-701000-100",B:AZ,column(am1),0)*e196</f>
        <v>0</v>
      </c>
      <c r="AO196">
        <f>vlookup("824-701000-100",B:AZ,column(an1),0)*e196</f>
        <v>0</v>
      </c>
    </row>
    <row r="197" spans="1:41">
      <c r="A197" t="s">
        <v>22</v>
      </c>
      <c r="B197" t="s">
        <v>220</v>
      </c>
      <c r="C197" t="s">
        <v>221</v>
      </c>
      <c r="E197">
        <v>2</v>
      </c>
      <c r="I197" t="s">
        <v>15</v>
      </c>
      <c r="J197">
        <f>vlookup("824-701000-100",B:AZ,column(i1),0)*e197</f>
        <v>0</v>
      </c>
      <c r="K197">
        <f>vlookup("824-701000-100",B:AZ,column(j1),0)*e197</f>
        <v>0</v>
      </c>
      <c r="L197">
        <f>vlookup("824-701000-100",B:AZ,column(k1),0)*e197</f>
        <v>0</v>
      </c>
      <c r="M197">
        <f>vlookup("824-701000-100",B:AZ,column(l1),0)*e197</f>
        <v>0</v>
      </c>
      <c r="N197">
        <f>vlookup("824-701000-100",B:AZ,column(m1),0)*e197</f>
        <v>0</v>
      </c>
      <c r="O197">
        <f>vlookup("824-701000-100",B:AZ,column(n1),0)*e197</f>
        <v>0</v>
      </c>
      <c r="P197">
        <f>vlookup("824-701000-100",B:AZ,column(o1),0)*e197</f>
        <v>0</v>
      </c>
      <c r="Q197">
        <f>vlookup("824-701000-100",B:AZ,column(p1),0)*e197</f>
        <v>0</v>
      </c>
      <c r="R197">
        <f>vlookup("824-701000-100",B:AZ,column(q1),0)*e197</f>
        <v>0</v>
      </c>
      <c r="S197">
        <f>vlookup("824-701000-100",B:AZ,column(r1),0)*e197</f>
        <v>0</v>
      </c>
      <c r="T197">
        <f>vlookup("824-701000-100",B:AZ,column(s1),0)*e197</f>
        <v>0</v>
      </c>
      <c r="U197">
        <f>vlookup("824-701000-100",B:AZ,column(t1),0)*e197</f>
        <v>0</v>
      </c>
      <c r="V197">
        <f>vlookup("824-701000-100",B:AZ,column(u1),0)*e197</f>
        <v>0</v>
      </c>
      <c r="W197">
        <f>vlookup("824-701000-100",B:AZ,column(v1),0)*e197</f>
        <v>0</v>
      </c>
      <c r="X197">
        <f>vlookup("824-701000-100",B:AZ,column(w1),0)*e197</f>
        <v>0</v>
      </c>
      <c r="Y197">
        <f>vlookup("824-701000-100",B:AZ,column(x1),0)*e197</f>
        <v>0</v>
      </c>
      <c r="Z197">
        <f>vlookup("824-701000-100",B:AZ,column(y1),0)*e197</f>
        <v>0</v>
      </c>
      <c r="AA197">
        <f>vlookup("824-701000-100",B:AZ,column(z1),0)*e197</f>
        <v>0</v>
      </c>
      <c r="AB197">
        <f>vlookup("824-701000-100",B:AZ,column(aa1),0)*e197</f>
        <v>0</v>
      </c>
      <c r="AC197">
        <f>vlookup("824-701000-100",B:AZ,column(ab1),0)*e197</f>
        <v>0</v>
      </c>
      <c r="AD197">
        <f>vlookup("824-701000-100",B:AZ,column(ac1),0)*e197</f>
        <v>0</v>
      </c>
      <c r="AE197">
        <f>vlookup("824-701000-100",B:AZ,column(ad1),0)*e197</f>
        <v>0</v>
      </c>
      <c r="AF197">
        <f>vlookup("824-701000-100",B:AZ,column(ae1),0)*e197</f>
        <v>0</v>
      </c>
      <c r="AG197">
        <f>vlookup("824-701000-100",B:AZ,column(af1),0)*e197</f>
        <v>0</v>
      </c>
      <c r="AH197">
        <f>vlookup("824-701000-100",B:AZ,column(ag1),0)*e197</f>
        <v>0</v>
      </c>
      <c r="AI197">
        <f>vlookup("824-701000-100",B:AZ,column(ah1),0)*e197</f>
        <v>0</v>
      </c>
      <c r="AJ197">
        <f>vlookup("824-701000-100",B:AZ,column(ai1),0)*e197</f>
        <v>0</v>
      </c>
      <c r="AK197">
        <f>vlookup("824-701000-100",B:AZ,column(aj1),0)*e197</f>
        <v>0</v>
      </c>
      <c r="AL197">
        <f>vlookup("824-701000-100",B:AZ,column(ak1),0)*e197</f>
        <v>0</v>
      </c>
      <c r="AM197">
        <f>vlookup("824-701000-100",B:AZ,column(al1),0)*e197</f>
        <v>0</v>
      </c>
      <c r="AN197">
        <f>vlookup("824-701000-100",B:AZ,column(am1),0)*e197</f>
        <v>0</v>
      </c>
      <c r="AO197">
        <f>vlookup("824-701000-100",B:AZ,column(an1),0)*e197</f>
        <v>0</v>
      </c>
    </row>
    <row r="198" spans="1:41">
      <c r="A198" t="s">
        <v>22</v>
      </c>
      <c r="B198" t="s">
        <v>222</v>
      </c>
      <c r="C198" t="s">
        <v>223</v>
      </c>
      <c r="E198">
        <v>8</v>
      </c>
      <c r="I198" t="s">
        <v>15</v>
      </c>
      <c r="J198">
        <f>vlookup("824-701000-100",B:AZ,column(i1),0)*e198</f>
        <v>0</v>
      </c>
      <c r="K198">
        <f>vlookup("824-701000-100",B:AZ,column(j1),0)*e198</f>
        <v>0</v>
      </c>
      <c r="L198">
        <f>vlookup("824-701000-100",B:AZ,column(k1),0)*e198</f>
        <v>0</v>
      </c>
      <c r="M198">
        <f>vlookup("824-701000-100",B:AZ,column(l1),0)*e198</f>
        <v>0</v>
      </c>
      <c r="N198">
        <f>vlookup("824-701000-100",B:AZ,column(m1),0)*e198</f>
        <v>0</v>
      </c>
      <c r="O198">
        <f>vlookup("824-701000-100",B:AZ,column(n1),0)*e198</f>
        <v>0</v>
      </c>
      <c r="P198">
        <f>vlookup("824-701000-100",B:AZ,column(o1),0)*e198</f>
        <v>0</v>
      </c>
      <c r="Q198">
        <f>vlookup("824-701000-100",B:AZ,column(p1),0)*e198</f>
        <v>0</v>
      </c>
      <c r="R198">
        <f>vlookup("824-701000-100",B:AZ,column(q1),0)*e198</f>
        <v>0</v>
      </c>
      <c r="S198">
        <f>vlookup("824-701000-100",B:AZ,column(r1),0)*e198</f>
        <v>0</v>
      </c>
      <c r="T198">
        <f>vlookup("824-701000-100",B:AZ,column(s1),0)*e198</f>
        <v>0</v>
      </c>
      <c r="U198">
        <f>vlookup("824-701000-100",B:AZ,column(t1),0)*e198</f>
        <v>0</v>
      </c>
      <c r="V198">
        <f>vlookup("824-701000-100",B:AZ,column(u1),0)*e198</f>
        <v>0</v>
      </c>
      <c r="W198">
        <f>vlookup("824-701000-100",B:AZ,column(v1),0)*e198</f>
        <v>0</v>
      </c>
      <c r="X198">
        <f>vlookup("824-701000-100",B:AZ,column(w1),0)*e198</f>
        <v>0</v>
      </c>
      <c r="Y198">
        <f>vlookup("824-701000-100",B:AZ,column(x1),0)*e198</f>
        <v>0</v>
      </c>
      <c r="Z198">
        <f>vlookup("824-701000-100",B:AZ,column(y1),0)*e198</f>
        <v>0</v>
      </c>
      <c r="AA198">
        <f>vlookup("824-701000-100",B:AZ,column(z1),0)*e198</f>
        <v>0</v>
      </c>
      <c r="AB198">
        <f>vlookup("824-701000-100",B:AZ,column(aa1),0)*e198</f>
        <v>0</v>
      </c>
      <c r="AC198">
        <f>vlookup("824-701000-100",B:AZ,column(ab1),0)*e198</f>
        <v>0</v>
      </c>
      <c r="AD198">
        <f>vlookup("824-701000-100",B:AZ,column(ac1),0)*e198</f>
        <v>0</v>
      </c>
      <c r="AE198">
        <f>vlookup("824-701000-100",B:AZ,column(ad1),0)*e198</f>
        <v>0</v>
      </c>
      <c r="AF198">
        <f>vlookup("824-701000-100",B:AZ,column(ae1),0)*e198</f>
        <v>0</v>
      </c>
      <c r="AG198">
        <f>vlookup("824-701000-100",B:AZ,column(af1),0)*e198</f>
        <v>0</v>
      </c>
      <c r="AH198">
        <f>vlookup("824-701000-100",B:AZ,column(ag1),0)*e198</f>
        <v>0</v>
      </c>
      <c r="AI198">
        <f>vlookup("824-701000-100",B:AZ,column(ah1),0)*e198</f>
        <v>0</v>
      </c>
      <c r="AJ198">
        <f>vlookup("824-701000-100",B:AZ,column(ai1),0)*e198</f>
        <v>0</v>
      </c>
      <c r="AK198">
        <f>vlookup("824-701000-100",B:AZ,column(aj1),0)*e198</f>
        <v>0</v>
      </c>
      <c r="AL198">
        <f>vlookup("824-701000-100",B:AZ,column(ak1),0)*e198</f>
        <v>0</v>
      </c>
      <c r="AM198">
        <f>vlookup("824-701000-100",B:AZ,column(al1),0)*e198</f>
        <v>0</v>
      </c>
      <c r="AN198">
        <f>vlookup("824-701000-100",B:AZ,column(am1),0)*e198</f>
        <v>0</v>
      </c>
      <c r="AO198">
        <f>vlookup("824-701000-100",B:AZ,column(an1),0)*e198</f>
        <v>0</v>
      </c>
    </row>
    <row r="199" spans="1:41">
      <c r="A199" t="s">
        <v>22</v>
      </c>
      <c r="B199" t="s">
        <v>224</v>
      </c>
      <c r="C199" t="s">
        <v>225</v>
      </c>
      <c r="E199">
        <v>1</v>
      </c>
      <c r="I199" t="s">
        <v>15</v>
      </c>
      <c r="J199">
        <f>vlookup("824-701000-100",B:AZ,column(i1),0)*e199</f>
        <v>0</v>
      </c>
      <c r="K199">
        <f>vlookup("824-701000-100",B:AZ,column(j1),0)*e199</f>
        <v>0</v>
      </c>
      <c r="L199">
        <f>vlookup("824-701000-100",B:AZ,column(k1),0)*e199</f>
        <v>0</v>
      </c>
      <c r="M199">
        <f>vlookup("824-701000-100",B:AZ,column(l1),0)*e199</f>
        <v>0</v>
      </c>
      <c r="N199">
        <f>vlookup("824-701000-100",B:AZ,column(m1),0)*e199</f>
        <v>0</v>
      </c>
      <c r="O199">
        <f>vlookup("824-701000-100",B:AZ,column(n1),0)*e199</f>
        <v>0</v>
      </c>
      <c r="P199">
        <f>vlookup("824-701000-100",B:AZ,column(o1),0)*e199</f>
        <v>0</v>
      </c>
      <c r="Q199">
        <f>vlookup("824-701000-100",B:AZ,column(p1),0)*e199</f>
        <v>0</v>
      </c>
      <c r="R199">
        <f>vlookup("824-701000-100",B:AZ,column(q1),0)*e199</f>
        <v>0</v>
      </c>
      <c r="S199">
        <f>vlookup("824-701000-100",B:AZ,column(r1),0)*e199</f>
        <v>0</v>
      </c>
      <c r="T199">
        <f>vlookup("824-701000-100",B:AZ,column(s1),0)*e199</f>
        <v>0</v>
      </c>
      <c r="U199">
        <f>vlookup("824-701000-100",B:AZ,column(t1),0)*e199</f>
        <v>0</v>
      </c>
      <c r="V199">
        <f>vlookup("824-701000-100",B:AZ,column(u1),0)*e199</f>
        <v>0</v>
      </c>
      <c r="W199">
        <f>vlookup("824-701000-100",B:AZ,column(v1),0)*e199</f>
        <v>0</v>
      </c>
      <c r="X199">
        <f>vlookup("824-701000-100",B:AZ,column(w1),0)*e199</f>
        <v>0</v>
      </c>
      <c r="Y199">
        <f>vlookup("824-701000-100",B:AZ,column(x1),0)*e199</f>
        <v>0</v>
      </c>
      <c r="Z199">
        <f>vlookup("824-701000-100",B:AZ,column(y1),0)*e199</f>
        <v>0</v>
      </c>
      <c r="AA199">
        <f>vlookup("824-701000-100",B:AZ,column(z1),0)*e199</f>
        <v>0</v>
      </c>
      <c r="AB199">
        <f>vlookup("824-701000-100",B:AZ,column(aa1),0)*e199</f>
        <v>0</v>
      </c>
      <c r="AC199">
        <f>vlookup("824-701000-100",B:AZ,column(ab1),0)*e199</f>
        <v>0</v>
      </c>
      <c r="AD199">
        <f>vlookup("824-701000-100",B:AZ,column(ac1),0)*e199</f>
        <v>0</v>
      </c>
      <c r="AE199">
        <f>vlookup("824-701000-100",B:AZ,column(ad1),0)*e199</f>
        <v>0</v>
      </c>
      <c r="AF199">
        <f>vlookup("824-701000-100",B:AZ,column(ae1),0)*e199</f>
        <v>0</v>
      </c>
      <c r="AG199">
        <f>vlookup("824-701000-100",B:AZ,column(af1),0)*e199</f>
        <v>0</v>
      </c>
      <c r="AH199">
        <f>vlookup("824-701000-100",B:AZ,column(ag1),0)*e199</f>
        <v>0</v>
      </c>
      <c r="AI199">
        <f>vlookup("824-701000-100",B:AZ,column(ah1),0)*e199</f>
        <v>0</v>
      </c>
      <c r="AJ199">
        <f>vlookup("824-701000-100",B:AZ,column(ai1),0)*e199</f>
        <v>0</v>
      </c>
      <c r="AK199">
        <f>vlookup("824-701000-100",B:AZ,column(aj1),0)*e199</f>
        <v>0</v>
      </c>
      <c r="AL199">
        <f>vlookup("824-701000-100",B:AZ,column(ak1),0)*e199</f>
        <v>0</v>
      </c>
      <c r="AM199">
        <f>vlookup("824-701000-100",B:AZ,column(al1),0)*e199</f>
        <v>0</v>
      </c>
      <c r="AN199">
        <f>vlookup("824-701000-100",B:AZ,column(am1),0)*e199</f>
        <v>0</v>
      </c>
      <c r="AO199">
        <f>vlookup("824-701000-100",B:AZ,column(an1),0)*e199</f>
        <v>0</v>
      </c>
    </row>
    <row r="200" spans="1:41">
      <c r="A200" t="s">
        <v>22</v>
      </c>
      <c r="B200" t="s">
        <v>226</v>
      </c>
      <c r="C200" t="s">
        <v>227</v>
      </c>
      <c r="E200">
        <v>1</v>
      </c>
      <c r="I200" t="s">
        <v>15</v>
      </c>
      <c r="J200">
        <f>vlookup("824-701000-100",B:AZ,column(i1),0)*e200</f>
        <v>0</v>
      </c>
      <c r="K200">
        <f>vlookup("824-701000-100",B:AZ,column(j1),0)*e200</f>
        <v>0</v>
      </c>
      <c r="L200">
        <f>vlookup("824-701000-100",B:AZ,column(k1),0)*e200</f>
        <v>0</v>
      </c>
      <c r="M200">
        <f>vlookup("824-701000-100",B:AZ,column(l1),0)*e200</f>
        <v>0</v>
      </c>
      <c r="N200">
        <f>vlookup("824-701000-100",B:AZ,column(m1),0)*e200</f>
        <v>0</v>
      </c>
      <c r="O200">
        <f>vlookup("824-701000-100",B:AZ,column(n1),0)*e200</f>
        <v>0</v>
      </c>
      <c r="P200">
        <f>vlookup("824-701000-100",B:AZ,column(o1),0)*e200</f>
        <v>0</v>
      </c>
      <c r="Q200">
        <f>vlookup("824-701000-100",B:AZ,column(p1),0)*e200</f>
        <v>0</v>
      </c>
      <c r="R200">
        <f>vlookup("824-701000-100",B:AZ,column(q1),0)*e200</f>
        <v>0</v>
      </c>
      <c r="S200">
        <f>vlookup("824-701000-100",B:AZ,column(r1),0)*e200</f>
        <v>0</v>
      </c>
      <c r="T200">
        <f>vlookup("824-701000-100",B:AZ,column(s1),0)*e200</f>
        <v>0</v>
      </c>
      <c r="U200">
        <f>vlookup("824-701000-100",B:AZ,column(t1),0)*e200</f>
        <v>0</v>
      </c>
      <c r="V200">
        <f>vlookup("824-701000-100",B:AZ,column(u1),0)*e200</f>
        <v>0</v>
      </c>
      <c r="W200">
        <f>vlookup("824-701000-100",B:AZ,column(v1),0)*e200</f>
        <v>0</v>
      </c>
      <c r="X200">
        <f>vlookup("824-701000-100",B:AZ,column(w1),0)*e200</f>
        <v>0</v>
      </c>
      <c r="Y200">
        <f>vlookup("824-701000-100",B:AZ,column(x1),0)*e200</f>
        <v>0</v>
      </c>
      <c r="Z200">
        <f>vlookup("824-701000-100",B:AZ,column(y1),0)*e200</f>
        <v>0</v>
      </c>
      <c r="AA200">
        <f>vlookup("824-701000-100",B:AZ,column(z1),0)*e200</f>
        <v>0</v>
      </c>
      <c r="AB200">
        <f>vlookup("824-701000-100",B:AZ,column(aa1),0)*e200</f>
        <v>0</v>
      </c>
      <c r="AC200">
        <f>vlookup("824-701000-100",B:AZ,column(ab1),0)*e200</f>
        <v>0</v>
      </c>
      <c r="AD200">
        <f>vlookup("824-701000-100",B:AZ,column(ac1),0)*e200</f>
        <v>0</v>
      </c>
      <c r="AE200">
        <f>vlookup("824-701000-100",B:AZ,column(ad1),0)*e200</f>
        <v>0</v>
      </c>
      <c r="AF200">
        <f>vlookup("824-701000-100",B:AZ,column(ae1),0)*e200</f>
        <v>0</v>
      </c>
      <c r="AG200">
        <f>vlookup("824-701000-100",B:AZ,column(af1),0)*e200</f>
        <v>0</v>
      </c>
      <c r="AH200">
        <f>vlookup("824-701000-100",B:AZ,column(ag1),0)*e200</f>
        <v>0</v>
      </c>
      <c r="AI200">
        <f>vlookup("824-701000-100",B:AZ,column(ah1),0)*e200</f>
        <v>0</v>
      </c>
      <c r="AJ200">
        <f>vlookup("824-701000-100",B:AZ,column(ai1),0)*e200</f>
        <v>0</v>
      </c>
      <c r="AK200">
        <f>vlookup("824-701000-100",B:AZ,column(aj1),0)*e200</f>
        <v>0</v>
      </c>
      <c r="AL200">
        <f>vlookup("824-701000-100",B:AZ,column(ak1),0)*e200</f>
        <v>0</v>
      </c>
      <c r="AM200">
        <f>vlookup("824-701000-100",B:AZ,column(al1),0)*e200</f>
        <v>0</v>
      </c>
      <c r="AN200">
        <f>vlookup("824-701000-100",B:AZ,column(am1),0)*e200</f>
        <v>0</v>
      </c>
      <c r="AO200">
        <f>vlookup("824-701000-100",B:AZ,column(an1),0)*e200</f>
        <v>0</v>
      </c>
    </row>
    <row r="201" spans="1:41">
      <c r="A201" t="s">
        <v>22</v>
      </c>
      <c r="B201" t="s">
        <v>228</v>
      </c>
      <c r="C201" t="s">
        <v>229</v>
      </c>
      <c r="E201">
        <v>2</v>
      </c>
      <c r="F201" t="s">
        <v>13</v>
      </c>
      <c r="I201" t="s">
        <v>15</v>
      </c>
      <c r="J201">
        <f>vlookup("824-701000-100",B:AZ,column(i1),0)*e201</f>
        <v>0</v>
      </c>
      <c r="K201">
        <f>vlookup("824-701000-100",B:AZ,column(j1),0)*e201</f>
        <v>0</v>
      </c>
      <c r="L201">
        <f>vlookup("824-701000-100",B:AZ,column(k1),0)*e201</f>
        <v>0</v>
      </c>
      <c r="M201">
        <f>vlookup("824-701000-100",B:AZ,column(l1),0)*e201</f>
        <v>0</v>
      </c>
      <c r="N201">
        <f>vlookup("824-701000-100",B:AZ,column(m1),0)*e201</f>
        <v>0</v>
      </c>
      <c r="O201">
        <f>vlookup("824-701000-100",B:AZ,column(n1),0)*e201</f>
        <v>0</v>
      </c>
      <c r="P201">
        <f>vlookup("824-701000-100",B:AZ,column(o1),0)*e201</f>
        <v>0</v>
      </c>
      <c r="Q201">
        <f>vlookup("824-701000-100",B:AZ,column(p1),0)*e201</f>
        <v>0</v>
      </c>
      <c r="R201">
        <f>vlookup("824-701000-100",B:AZ,column(q1),0)*e201</f>
        <v>0</v>
      </c>
      <c r="S201">
        <f>vlookup("824-701000-100",B:AZ,column(r1),0)*e201</f>
        <v>0</v>
      </c>
      <c r="T201">
        <f>vlookup("824-701000-100",B:AZ,column(s1),0)*e201</f>
        <v>0</v>
      </c>
      <c r="U201">
        <f>vlookup("824-701000-100",B:AZ,column(t1),0)*e201</f>
        <v>0</v>
      </c>
      <c r="V201">
        <f>vlookup("824-701000-100",B:AZ,column(u1),0)*e201</f>
        <v>0</v>
      </c>
      <c r="W201">
        <f>vlookup("824-701000-100",B:AZ,column(v1),0)*e201</f>
        <v>0</v>
      </c>
      <c r="X201">
        <f>vlookup("824-701000-100",B:AZ,column(w1),0)*e201</f>
        <v>0</v>
      </c>
      <c r="Y201">
        <f>vlookup("824-701000-100",B:AZ,column(x1),0)*e201</f>
        <v>0</v>
      </c>
      <c r="Z201">
        <f>vlookup("824-701000-100",B:AZ,column(y1),0)*e201</f>
        <v>0</v>
      </c>
      <c r="AA201">
        <f>vlookup("824-701000-100",B:AZ,column(z1),0)*e201</f>
        <v>0</v>
      </c>
      <c r="AB201">
        <f>vlookup("824-701000-100",B:AZ,column(aa1),0)*e201</f>
        <v>0</v>
      </c>
      <c r="AC201">
        <f>vlookup("824-701000-100",B:AZ,column(ab1),0)*e201</f>
        <v>0</v>
      </c>
      <c r="AD201">
        <f>vlookup("824-701000-100",B:AZ,column(ac1),0)*e201</f>
        <v>0</v>
      </c>
      <c r="AE201">
        <f>vlookup("824-701000-100",B:AZ,column(ad1),0)*e201</f>
        <v>0</v>
      </c>
      <c r="AF201">
        <f>vlookup("824-701000-100",B:AZ,column(ae1),0)*e201</f>
        <v>0</v>
      </c>
      <c r="AG201">
        <f>vlookup("824-701000-100",B:AZ,column(af1),0)*e201</f>
        <v>0</v>
      </c>
      <c r="AH201">
        <f>vlookup("824-701000-100",B:AZ,column(ag1),0)*e201</f>
        <v>0</v>
      </c>
      <c r="AI201">
        <f>vlookup("824-701000-100",B:AZ,column(ah1),0)*e201</f>
        <v>0</v>
      </c>
      <c r="AJ201">
        <f>vlookup("824-701000-100",B:AZ,column(ai1),0)*e201</f>
        <v>0</v>
      </c>
      <c r="AK201">
        <f>vlookup("824-701000-100",B:AZ,column(aj1),0)*e201</f>
        <v>0</v>
      </c>
      <c r="AL201">
        <f>vlookup("824-701000-100",B:AZ,column(ak1),0)*e201</f>
        <v>0</v>
      </c>
      <c r="AM201">
        <f>vlookup("824-701000-100",B:AZ,column(al1),0)*e201</f>
        <v>0</v>
      </c>
      <c r="AN201">
        <f>vlookup("824-701000-100",B:AZ,column(am1),0)*e201</f>
        <v>0</v>
      </c>
      <c r="AO201">
        <f>vlookup("824-701000-100",B:AZ,column(an1),0)*e201</f>
        <v>0</v>
      </c>
    </row>
    <row r="202" spans="1:41">
      <c r="A202" t="s">
        <v>22</v>
      </c>
      <c r="B202" t="s">
        <v>230</v>
      </c>
      <c r="C202" t="s">
        <v>231</v>
      </c>
      <c r="E202">
        <v>1</v>
      </c>
      <c r="F202" t="s">
        <v>13</v>
      </c>
      <c r="I202" t="s">
        <v>15</v>
      </c>
      <c r="J202">
        <f>vlookup("824-701000-100",B:AZ,column(i1),0)*e202</f>
        <v>0</v>
      </c>
      <c r="K202">
        <f>vlookup("824-701000-100",B:AZ,column(j1),0)*e202</f>
        <v>0</v>
      </c>
      <c r="L202">
        <f>vlookup("824-701000-100",B:AZ,column(k1),0)*e202</f>
        <v>0</v>
      </c>
      <c r="M202">
        <f>vlookup("824-701000-100",B:AZ,column(l1),0)*e202</f>
        <v>0</v>
      </c>
      <c r="N202">
        <f>vlookup("824-701000-100",B:AZ,column(m1),0)*e202</f>
        <v>0</v>
      </c>
      <c r="O202">
        <f>vlookup("824-701000-100",B:AZ,column(n1),0)*e202</f>
        <v>0</v>
      </c>
      <c r="P202">
        <f>vlookup("824-701000-100",B:AZ,column(o1),0)*e202</f>
        <v>0</v>
      </c>
      <c r="Q202">
        <f>vlookup("824-701000-100",B:AZ,column(p1),0)*e202</f>
        <v>0</v>
      </c>
      <c r="R202">
        <f>vlookup("824-701000-100",B:AZ,column(q1),0)*e202</f>
        <v>0</v>
      </c>
      <c r="S202">
        <f>vlookup("824-701000-100",B:AZ,column(r1),0)*e202</f>
        <v>0</v>
      </c>
      <c r="T202">
        <f>vlookup("824-701000-100",B:AZ,column(s1),0)*e202</f>
        <v>0</v>
      </c>
      <c r="U202">
        <f>vlookup("824-701000-100",B:AZ,column(t1),0)*e202</f>
        <v>0</v>
      </c>
      <c r="V202">
        <f>vlookup("824-701000-100",B:AZ,column(u1),0)*e202</f>
        <v>0</v>
      </c>
      <c r="W202">
        <f>vlookup("824-701000-100",B:AZ,column(v1),0)*e202</f>
        <v>0</v>
      </c>
      <c r="X202">
        <f>vlookup("824-701000-100",B:AZ,column(w1),0)*e202</f>
        <v>0</v>
      </c>
      <c r="Y202">
        <f>vlookup("824-701000-100",B:AZ,column(x1),0)*e202</f>
        <v>0</v>
      </c>
      <c r="Z202">
        <f>vlookup("824-701000-100",B:AZ,column(y1),0)*e202</f>
        <v>0</v>
      </c>
      <c r="AA202">
        <f>vlookup("824-701000-100",B:AZ,column(z1),0)*e202</f>
        <v>0</v>
      </c>
      <c r="AB202">
        <f>vlookup("824-701000-100",B:AZ,column(aa1),0)*e202</f>
        <v>0</v>
      </c>
      <c r="AC202">
        <f>vlookup("824-701000-100",B:AZ,column(ab1),0)*e202</f>
        <v>0</v>
      </c>
      <c r="AD202">
        <f>vlookup("824-701000-100",B:AZ,column(ac1),0)*e202</f>
        <v>0</v>
      </c>
      <c r="AE202">
        <f>vlookup("824-701000-100",B:AZ,column(ad1),0)*e202</f>
        <v>0</v>
      </c>
      <c r="AF202">
        <f>vlookup("824-701000-100",B:AZ,column(ae1),0)*e202</f>
        <v>0</v>
      </c>
      <c r="AG202">
        <f>vlookup("824-701000-100",B:AZ,column(af1),0)*e202</f>
        <v>0</v>
      </c>
      <c r="AH202">
        <f>vlookup("824-701000-100",B:AZ,column(ag1),0)*e202</f>
        <v>0</v>
      </c>
      <c r="AI202">
        <f>vlookup("824-701000-100",B:AZ,column(ah1),0)*e202</f>
        <v>0</v>
      </c>
      <c r="AJ202">
        <f>vlookup("824-701000-100",B:AZ,column(ai1),0)*e202</f>
        <v>0</v>
      </c>
      <c r="AK202">
        <f>vlookup("824-701000-100",B:AZ,column(aj1),0)*e202</f>
        <v>0</v>
      </c>
      <c r="AL202">
        <f>vlookup("824-701000-100",B:AZ,column(ak1),0)*e202</f>
        <v>0</v>
      </c>
      <c r="AM202">
        <f>vlookup("824-701000-100",B:AZ,column(al1),0)*e202</f>
        <v>0</v>
      </c>
      <c r="AN202">
        <f>vlookup("824-701000-100",B:AZ,column(am1),0)*e202</f>
        <v>0</v>
      </c>
      <c r="AO202">
        <f>vlookup("824-701000-100",B:AZ,column(an1),0)*e202</f>
        <v>0</v>
      </c>
    </row>
    <row r="203" spans="1:41">
      <c r="A203" t="s">
        <v>10</v>
      </c>
      <c r="B203" t="s">
        <v>232</v>
      </c>
      <c r="C203" t="s">
        <v>212</v>
      </c>
      <c r="E203">
        <v>1</v>
      </c>
      <c r="F203" t="s">
        <v>13</v>
      </c>
      <c r="I203" t="s">
        <v>14</v>
      </c>
      <c r="AO203">
        <f>sum(j203:an203)</f>
        <v>0</v>
      </c>
    </row>
    <row r="204" spans="1:41">
      <c r="I204" t="s">
        <v>15</v>
      </c>
      <c r="J204">
        <f>vlookup("924-701000-100",Out!B:AZ,column(i1),0)</f>
        <v>0</v>
      </c>
      <c r="K204">
        <f>vlookup("924-701000-100",Out!B:AZ,column(j1),0)</f>
        <v>0</v>
      </c>
      <c r="L204">
        <f>vlookup("924-701000-100",Out!B:AZ,column(k1),0)</f>
        <v>0</v>
      </c>
      <c r="M204">
        <f>vlookup("924-701000-100",Out!B:AZ,column(l1),0)</f>
        <v>0</v>
      </c>
      <c r="N204">
        <f>vlookup("924-701000-100",Out!B:AZ,column(m1),0)</f>
        <v>0</v>
      </c>
      <c r="O204">
        <f>vlookup("924-701000-100",Out!B:AZ,column(n1),0)</f>
        <v>0</v>
      </c>
      <c r="P204">
        <f>vlookup("924-701000-100",Out!B:AZ,column(o1),0)</f>
        <v>0</v>
      </c>
      <c r="Q204">
        <f>vlookup("924-701000-100",Out!B:AZ,column(p1),0)</f>
        <v>0</v>
      </c>
      <c r="R204">
        <f>vlookup("924-701000-100",Out!B:AZ,column(q1),0)</f>
        <v>0</v>
      </c>
      <c r="S204">
        <f>vlookup("924-701000-100",Out!B:AZ,column(r1),0)</f>
        <v>0</v>
      </c>
      <c r="T204">
        <f>vlookup("924-701000-100",Out!B:AZ,column(s1),0)</f>
        <v>0</v>
      </c>
      <c r="U204">
        <f>vlookup("924-701000-100",Out!B:AZ,column(t1),0)</f>
        <v>0</v>
      </c>
      <c r="V204">
        <f>vlookup("924-701000-100",Out!B:AZ,column(u1),0)</f>
        <v>0</v>
      </c>
      <c r="W204">
        <f>vlookup("924-701000-100",Out!B:AZ,column(v1),0)</f>
        <v>0</v>
      </c>
      <c r="X204">
        <f>vlookup("924-701000-100",Out!B:AZ,column(w1),0)</f>
        <v>0</v>
      </c>
      <c r="Y204">
        <f>vlookup("924-701000-100",Out!B:AZ,column(x1),0)</f>
        <v>0</v>
      </c>
      <c r="Z204">
        <f>vlookup("924-701000-100",Out!B:AZ,column(y1),0)</f>
        <v>0</v>
      </c>
      <c r="AA204">
        <f>vlookup("924-701000-100",Out!B:AZ,column(z1),0)</f>
        <v>0</v>
      </c>
      <c r="AB204">
        <f>vlookup("924-701000-100",Out!B:AZ,column(aa1),0)</f>
        <v>0</v>
      </c>
      <c r="AC204">
        <f>vlookup("924-701000-100",Out!B:AZ,column(ab1),0)</f>
        <v>0</v>
      </c>
      <c r="AD204">
        <f>vlookup("924-701000-100",Out!B:AZ,column(ac1),0)</f>
        <v>0</v>
      </c>
      <c r="AE204">
        <f>vlookup("924-701000-100",Out!B:AZ,column(ad1),0)</f>
        <v>0</v>
      </c>
      <c r="AF204">
        <f>vlookup("924-701000-100",Out!B:AZ,column(ae1),0)</f>
        <v>0</v>
      </c>
      <c r="AG204">
        <f>vlookup("924-701000-100",Out!B:AZ,column(af1),0)</f>
        <v>0</v>
      </c>
      <c r="AH204">
        <f>vlookup("924-701000-100",Out!B:AZ,column(ag1),0)</f>
        <v>0</v>
      </c>
      <c r="AI204">
        <f>vlookup("924-701000-100",Out!B:AZ,column(ah1),0)</f>
        <v>0</v>
      </c>
      <c r="AJ204">
        <f>vlookup("924-701000-100",Out!B:AZ,column(ai1),0)</f>
        <v>0</v>
      </c>
      <c r="AK204">
        <f>vlookup("924-701000-100",Out!B:AZ,column(aj1),0)</f>
        <v>0</v>
      </c>
      <c r="AL204">
        <f>vlookup("924-701000-100",Out!B:AZ,column(ak1),0)</f>
        <v>0</v>
      </c>
      <c r="AM204">
        <f>vlookup("924-701000-100",Out!B:AZ,column(al1),0)</f>
        <v>0</v>
      </c>
      <c r="AN204">
        <f>vlookup("924-701000-100",Out!B:AZ,column(am1),0)</f>
        <v>0</v>
      </c>
      <c r="AO204">
        <f>vlookup("924-701000-100",Out!B:AZ,column(an1),0)</f>
        <v>0</v>
      </c>
    </row>
    <row r="205" spans="1:41">
      <c r="H205" t="s">
        <v>16</v>
      </c>
      <c r="J205">
        <f>indirect(address(205,9))+indirect(address(203,10))-indirect(address(204,10))</f>
        <v>0</v>
      </c>
      <c r="K205">
        <f>indirect(address(205,10))+indirect(address(203,11))-indirect(address(204,11))</f>
        <v>0</v>
      </c>
      <c r="L205">
        <f>indirect(address(205,11))+indirect(address(203,12))-indirect(address(204,12))</f>
        <v>0</v>
      </c>
      <c r="M205">
        <f>indirect(address(205,12))+indirect(address(203,13))-indirect(address(204,13))</f>
        <v>0</v>
      </c>
      <c r="N205">
        <f>indirect(address(205,13))+indirect(address(203,14))-indirect(address(204,14))</f>
        <v>0</v>
      </c>
      <c r="O205">
        <f>indirect(address(205,14))+indirect(address(203,15))-indirect(address(204,15))</f>
        <v>0</v>
      </c>
      <c r="P205">
        <f>indirect(address(205,15))+indirect(address(203,16))-indirect(address(204,16))</f>
        <v>0</v>
      </c>
      <c r="Q205">
        <f>indirect(address(205,16))+indirect(address(203,17))-indirect(address(204,17))</f>
        <v>0</v>
      </c>
      <c r="R205">
        <f>indirect(address(205,17))+indirect(address(203,18))-indirect(address(204,18))</f>
        <v>0</v>
      </c>
      <c r="S205">
        <f>indirect(address(205,18))+indirect(address(203,19))-indirect(address(204,19))</f>
        <v>0</v>
      </c>
      <c r="T205">
        <f>indirect(address(205,19))+indirect(address(203,20))-indirect(address(204,20))</f>
        <v>0</v>
      </c>
      <c r="U205">
        <f>indirect(address(205,20))+indirect(address(203,21))-indirect(address(204,21))</f>
        <v>0</v>
      </c>
      <c r="V205">
        <f>indirect(address(205,21))+indirect(address(203,22))-indirect(address(204,22))</f>
        <v>0</v>
      </c>
      <c r="W205">
        <f>indirect(address(205,22))+indirect(address(203,23))-indirect(address(204,23))</f>
        <v>0</v>
      </c>
      <c r="X205">
        <f>indirect(address(205,23))+indirect(address(203,24))-indirect(address(204,24))</f>
        <v>0</v>
      </c>
      <c r="Y205">
        <f>indirect(address(205,24))+indirect(address(203,25))-indirect(address(204,25))</f>
        <v>0</v>
      </c>
      <c r="Z205">
        <f>indirect(address(205,25))+indirect(address(203,26))-indirect(address(204,26))</f>
        <v>0</v>
      </c>
      <c r="AA205">
        <f>indirect(address(205,26))+indirect(address(203,27))-indirect(address(204,27))</f>
        <v>0</v>
      </c>
      <c r="AB205">
        <f>indirect(address(205,27))+indirect(address(203,28))-indirect(address(204,28))</f>
        <v>0</v>
      </c>
      <c r="AC205">
        <f>indirect(address(205,28))+indirect(address(203,29))-indirect(address(204,29))</f>
        <v>0</v>
      </c>
      <c r="AD205">
        <f>indirect(address(205,29))+indirect(address(203,30))-indirect(address(204,30))</f>
        <v>0</v>
      </c>
      <c r="AE205">
        <f>indirect(address(205,30))+indirect(address(203,31))-indirect(address(204,31))</f>
        <v>0</v>
      </c>
      <c r="AF205">
        <f>indirect(address(205,31))+indirect(address(203,32))-indirect(address(204,32))</f>
        <v>0</v>
      </c>
      <c r="AG205">
        <f>indirect(address(205,32))+indirect(address(203,33))-indirect(address(204,33))</f>
        <v>0</v>
      </c>
      <c r="AH205">
        <f>indirect(address(205,33))+indirect(address(203,34))-indirect(address(204,34))</f>
        <v>0</v>
      </c>
      <c r="AI205">
        <f>indirect(address(205,34))+indirect(address(203,35))-indirect(address(204,35))</f>
        <v>0</v>
      </c>
      <c r="AJ205">
        <f>indirect(address(205,35))+indirect(address(203,36))-indirect(address(204,36))</f>
        <v>0</v>
      </c>
      <c r="AK205">
        <f>indirect(address(205,36))+indirect(address(203,37))-indirect(address(204,37))</f>
        <v>0</v>
      </c>
      <c r="AL205">
        <f>indirect(address(205,37))+indirect(address(203,38))-indirect(address(204,38))</f>
        <v>0</v>
      </c>
      <c r="AM205">
        <f>indirect(address(205,38))+indirect(address(203,39))-indirect(address(204,39))</f>
        <v>0</v>
      </c>
      <c r="AN205">
        <f>indirect(address(205,39))+indirect(address(203,40))-indirect(address(204,40))</f>
        <v>0</v>
      </c>
      <c r="AO205">
        <f>indirect(address(205,40))</f>
        <v>0</v>
      </c>
    </row>
    <row r="206" spans="1:41">
      <c r="A206" t="s">
        <v>17</v>
      </c>
      <c r="B206" t="s">
        <v>211</v>
      </c>
      <c r="C206" t="s">
        <v>213</v>
      </c>
      <c r="E206">
        <v>1.32</v>
      </c>
      <c r="F206" t="s">
        <v>13</v>
      </c>
      <c r="I206" t="s">
        <v>15</v>
      </c>
      <c r="J206">
        <f>vlookup("924-701000-100",B:AZ,column(i1),0)*e206</f>
        <v>0</v>
      </c>
      <c r="K206">
        <f>vlookup("924-701000-100",B:AZ,column(j1),0)*e206</f>
        <v>0</v>
      </c>
      <c r="L206">
        <f>vlookup("924-701000-100",B:AZ,column(k1),0)*e206</f>
        <v>0</v>
      </c>
      <c r="M206">
        <f>vlookup("924-701000-100",B:AZ,column(l1),0)*e206</f>
        <v>0</v>
      </c>
      <c r="N206">
        <f>vlookup("924-701000-100",B:AZ,column(m1),0)*e206</f>
        <v>0</v>
      </c>
      <c r="O206">
        <f>vlookup("924-701000-100",B:AZ,column(n1),0)*e206</f>
        <v>0</v>
      </c>
      <c r="P206">
        <f>vlookup("924-701000-100",B:AZ,column(o1),0)*e206</f>
        <v>0</v>
      </c>
      <c r="Q206">
        <f>vlookup("924-701000-100",B:AZ,column(p1),0)*e206</f>
        <v>0</v>
      </c>
      <c r="R206">
        <f>vlookup("924-701000-100",B:AZ,column(q1),0)*e206</f>
        <v>0</v>
      </c>
      <c r="S206">
        <f>vlookup("924-701000-100",B:AZ,column(r1),0)*e206</f>
        <v>0</v>
      </c>
      <c r="T206">
        <f>vlookup("924-701000-100",B:AZ,column(s1),0)*e206</f>
        <v>0</v>
      </c>
      <c r="U206">
        <f>vlookup("924-701000-100",B:AZ,column(t1),0)*e206</f>
        <v>0</v>
      </c>
      <c r="V206">
        <f>vlookup("924-701000-100",B:AZ,column(u1),0)*e206</f>
        <v>0</v>
      </c>
      <c r="W206">
        <f>vlookup("924-701000-100",B:AZ,column(v1),0)*e206</f>
        <v>0</v>
      </c>
      <c r="X206">
        <f>vlookup("924-701000-100",B:AZ,column(w1),0)*e206</f>
        <v>0</v>
      </c>
      <c r="Y206">
        <f>vlookup("924-701000-100",B:AZ,column(x1),0)*e206</f>
        <v>0</v>
      </c>
      <c r="Z206">
        <f>vlookup("924-701000-100",B:AZ,column(y1),0)*e206</f>
        <v>0</v>
      </c>
      <c r="AA206">
        <f>vlookup("924-701000-100",B:AZ,column(z1),0)*e206</f>
        <v>0</v>
      </c>
      <c r="AB206">
        <f>vlookup("924-701000-100",B:AZ,column(aa1),0)*e206</f>
        <v>0</v>
      </c>
      <c r="AC206">
        <f>vlookup("924-701000-100",B:AZ,column(ab1),0)*e206</f>
        <v>0</v>
      </c>
      <c r="AD206">
        <f>vlookup("924-701000-100",B:AZ,column(ac1),0)*e206</f>
        <v>0</v>
      </c>
      <c r="AE206">
        <f>vlookup("924-701000-100",B:AZ,column(ad1),0)*e206</f>
        <v>0</v>
      </c>
      <c r="AF206">
        <f>vlookup("924-701000-100",B:AZ,column(ae1),0)*e206</f>
        <v>0</v>
      </c>
      <c r="AG206">
        <f>vlookup("924-701000-100",B:AZ,column(af1),0)*e206</f>
        <v>0</v>
      </c>
      <c r="AH206">
        <f>vlookup("924-701000-100",B:AZ,column(ag1),0)*e206</f>
        <v>0</v>
      </c>
      <c r="AI206">
        <f>vlookup("924-701000-100",B:AZ,column(ah1),0)*e206</f>
        <v>0</v>
      </c>
      <c r="AJ206">
        <f>vlookup("924-701000-100",B:AZ,column(ai1),0)*e206</f>
        <v>0</v>
      </c>
      <c r="AK206">
        <f>vlookup("924-701000-100",B:AZ,column(aj1),0)*e206</f>
        <v>0</v>
      </c>
      <c r="AL206">
        <f>vlookup("924-701000-100",B:AZ,column(ak1),0)*e206</f>
        <v>0</v>
      </c>
      <c r="AM206">
        <f>vlookup("924-701000-100",B:AZ,column(al1),0)*e206</f>
        <v>0</v>
      </c>
      <c r="AN206">
        <f>vlookup("924-701000-100",B:AZ,column(am1),0)*e206</f>
        <v>0</v>
      </c>
      <c r="AO206">
        <f>vlookup("924-701000-100",B:AZ,column(an1),0)*e206</f>
        <v>0</v>
      </c>
    </row>
    <row r="207" spans="1:41">
      <c r="A207" t="s">
        <v>17</v>
      </c>
      <c r="B207" t="s">
        <v>214</v>
      </c>
      <c r="C207" t="s">
        <v>233</v>
      </c>
      <c r="E207">
        <v>1</v>
      </c>
      <c r="F207" t="s">
        <v>13</v>
      </c>
      <c r="I207" t="s">
        <v>15</v>
      </c>
      <c r="J207">
        <f>vlookup("924-701000-100",B:AZ,column(i1),0)*e207</f>
        <v>0</v>
      </c>
      <c r="K207">
        <f>vlookup("924-701000-100",B:AZ,column(j1),0)*e207</f>
        <v>0</v>
      </c>
      <c r="L207">
        <f>vlookup("924-701000-100",B:AZ,column(k1),0)*e207</f>
        <v>0</v>
      </c>
      <c r="M207">
        <f>vlookup("924-701000-100",B:AZ,column(l1),0)*e207</f>
        <v>0</v>
      </c>
      <c r="N207">
        <f>vlookup("924-701000-100",B:AZ,column(m1),0)*e207</f>
        <v>0</v>
      </c>
      <c r="O207">
        <f>vlookup("924-701000-100",B:AZ,column(n1),0)*e207</f>
        <v>0</v>
      </c>
      <c r="P207">
        <f>vlookup("924-701000-100",B:AZ,column(o1),0)*e207</f>
        <v>0</v>
      </c>
      <c r="Q207">
        <f>vlookup("924-701000-100",B:AZ,column(p1),0)*e207</f>
        <v>0</v>
      </c>
      <c r="R207">
        <f>vlookup("924-701000-100",B:AZ,column(q1),0)*e207</f>
        <v>0</v>
      </c>
      <c r="S207">
        <f>vlookup("924-701000-100",B:AZ,column(r1),0)*e207</f>
        <v>0</v>
      </c>
      <c r="T207">
        <f>vlookup("924-701000-100",B:AZ,column(s1),0)*e207</f>
        <v>0</v>
      </c>
      <c r="U207">
        <f>vlookup("924-701000-100",B:AZ,column(t1),0)*e207</f>
        <v>0</v>
      </c>
      <c r="V207">
        <f>vlookup("924-701000-100",B:AZ,column(u1),0)*e207</f>
        <v>0</v>
      </c>
      <c r="W207">
        <f>vlookup("924-701000-100",B:AZ,column(v1),0)*e207</f>
        <v>0</v>
      </c>
      <c r="X207">
        <f>vlookup("924-701000-100",B:AZ,column(w1),0)*e207</f>
        <v>0</v>
      </c>
      <c r="Y207">
        <f>vlookup("924-701000-100",B:AZ,column(x1),0)*e207</f>
        <v>0</v>
      </c>
      <c r="Z207">
        <f>vlookup("924-701000-100",B:AZ,column(y1),0)*e207</f>
        <v>0</v>
      </c>
      <c r="AA207">
        <f>vlookup("924-701000-100",B:AZ,column(z1),0)*e207</f>
        <v>0</v>
      </c>
      <c r="AB207">
        <f>vlookup("924-701000-100",B:AZ,column(aa1),0)*e207</f>
        <v>0</v>
      </c>
      <c r="AC207">
        <f>vlookup("924-701000-100",B:AZ,column(ab1),0)*e207</f>
        <v>0</v>
      </c>
      <c r="AD207">
        <f>vlookup("924-701000-100",B:AZ,column(ac1),0)*e207</f>
        <v>0</v>
      </c>
      <c r="AE207">
        <f>vlookup("924-701000-100",B:AZ,column(ad1),0)*e207</f>
        <v>0</v>
      </c>
      <c r="AF207">
        <f>vlookup("924-701000-100",B:AZ,column(ae1),0)*e207</f>
        <v>0</v>
      </c>
      <c r="AG207">
        <f>vlookup("924-701000-100",B:AZ,column(af1),0)*e207</f>
        <v>0</v>
      </c>
      <c r="AH207">
        <f>vlookup("924-701000-100",B:AZ,column(ag1),0)*e207</f>
        <v>0</v>
      </c>
      <c r="AI207">
        <f>vlookup("924-701000-100",B:AZ,column(ah1),0)*e207</f>
        <v>0</v>
      </c>
      <c r="AJ207">
        <f>vlookup("924-701000-100",B:AZ,column(ai1),0)*e207</f>
        <v>0</v>
      </c>
      <c r="AK207">
        <f>vlookup("924-701000-100",B:AZ,column(aj1),0)*e207</f>
        <v>0</v>
      </c>
      <c r="AL207">
        <f>vlookup("924-701000-100",B:AZ,column(ak1),0)*e207</f>
        <v>0</v>
      </c>
      <c r="AM207">
        <f>vlookup("924-701000-100",B:AZ,column(al1),0)*e207</f>
        <v>0</v>
      </c>
      <c r="AN207">
        <f>vlookup("924-701000-100",B:AZ,column(am1),0)*e207</f>
        <v>0</v>
      </c>
      <c r="AO207">
        <f>vlookup("924-701000-100",B:AZ,column(an1),0)*e207</f>
        <v>0</v>
      </c>
    </row>
    <row r="208" spans="1:41">
      <c r="A208" t="s">
        <v>17</v>
      </c>
      <c r="B208" t="s">
        <v>216</v>
      </c>
      <c r="C208" t="s">
        <v>234</v>
      </c>
      <c r="E208">
        <v>1</v>
      </c>
      <c r="F208" t="s">
        <v>13</v>
      </c>
      <c r="I208" t="s">
        <v>15</v>
      </c>
      <c r="J208">
        <f>vlookup("924-701000-100",B:AZ,column(i1),0)*e208</f>
        <v>0</v>
      </c>
      <c r="K208">
        <f>vlookup("924-701000-100",B:AZ,column(j1),0)*e208</f>
        <v>0</v>
      </c>
      <c r="L208">
        <f>vlookup("924-701000-100",B:AZ,column(k1),0)*e208</f>
        <v>0</v>
      </c>
      <c r="M208">
        <f>vlookup("924-701000-100",B:AZ,column(l1),0)*e208</f>
        <v>0</v>
      </c>
      <c r="N208">
        <f>vlookup("924-701000-100",B:AZ,column(m1),0)*e208</f>
        <v>0</v>
      </c>
      <c r="O208">
        <f>vlookup("924-701000-100",B:AZ,column(n1),0)*e208</f>
        <v>0</v>
      </c>
      <c r="P208">
        <f>vlookup("924-701000-100",B:AZ,column(o1),0)*e208</f>
        <v>0</v>
      </c>
      <c r="Q208">
        <f>vlookup("924-701000-100",B:AZ,column(p1),0)*e208</f>
        <v>0</v>
      </c>
      <c r="R208">
        <f>vlookup("924-701000-100",B:AZ,column(q1),0)*e208</f>
        <v>0</v>
      </c>
      <c r="S208">
        <f>vlookup("924-701000-100",B:AZ,column(r1),0)*e208</f>
        <v>0</v>
      </c>
      <c r="T208">
        <f>vlookup("924-701000-100",B:AZ,column(s1),0)*e208</f>
        <v>0</v>
      </c>
      <c r="U208">
        <f>vlookup("924-701000-100",B:AZ,column(t1),0)*e208</f>
        <v>0</v>
      </c>
      <c r="V208">
        <f>vlookup("924-701000-100",B:AZ,column(u1),0)*e208</f>
        <v>0</v>
      </c>
      <c r="W208">
        <f>vlookup("924-701000-100",B:AZ,column(v1),0)*e208</f>
        <v>0</v>
      </c>
      <c r="X208">
        <f>vlookup("924-701000-100",B:AZ,column(w1),0)*e208</f>
        <v>0</v>
      </c>
      <c r="Y208">
        <f>vlookup("924-701000-100",B:AZ,column(x1),0)*e208</f>
        <v>0</v>
      </c>
      <c r="Z208">
        <f>vlookup("924-701000-100",B:AZ,column(y1),0)*e208</f>
        <v>0</v>
      </c>
      <c r="AA208">
        <f>vlookup("924-701000-100",B:AZ,column(z1),0)*e208</f>
        <v>0</v>
      </c>
      <c r="AB208">
        <f>vlookup("924-701000-100",B:AZ,column(aa1),0)*e208</f>
        <v>0</v>
      </c>
      <c r="AC208">
        <f>vlookup("924-701000-100",B:AZ,column(ab1),0)*e208</f>
        <v>0</v>
      </c>
      <c r="AD208">
        <f>vlookup("924-701000-100",B:AZ,column(ac1),0)*e208</f>
        <v>0</v>
      </c>
      <c r="AE208">
        <f>vlookup("924-701000-100",B:AZ,column(ad1),0)*e208</f>
        <v>0</v>
      </c>
      <c r="AF208">
        <f>vlookup("924-701000-100",B:AZ,column(ae1),0)*e208</f>
        <v>0</v>
      </c>
      <c r="AG208">
        <f>vlookup("924-701000-100",B:AZ,column(af1),0)*e208</f>
        <v>0</v>
      </c>
      <c r="AH208">
        <f>vlookup("924-701000-100",B:AZ,column(ag1),0)*e208</f>
        <v>0</v>
      </c>
      <c r="AI208">
        <f>vlookup("924-701000-100",B:AZ,column(ah1),0)*e208</f>
        <v>0</v>
      </c>
      <c r="AJ208">
        <f>vlookup("924-701000-100",B:AZ,column(ai1),0)*e208</f>
        <v>0</v>
      </c>
      <c r="AK208">
        <f>vlookup("924-701000-100",B:AZ,column(aj1),0)*e208</f>
        <v>0</v>
      </c>
      <c r="AL208">
        <f>vlookup("924-701000-100",B:AZ,column(ak1),0)*e208</f>
        <v>0</v>
      </c>
      <c r="AM208">
        <f>vlookup("924-701000-100",B:AZ,column(al1),0)*e208</f>
        <v>0</v>
      </c>
      <c r="AN208">
        <f>vlookup("924-701000-100",B:AZ,column(am1),0)*e208</f>
        <v>0</v>
      </c>
      <c r="AO208">
        <f>vlookup("924-701000-100",B:AZ,column(an1),0)*e208</f>
        <v>0</v>
      </c>
    </row>
    <row r="209" spans="1:41">
      <c r="A209" t="s">
        <v>17</v>
      </c>
      <c r="B209" t="s">
        <v>218</v>
      </c>
      <c r="C209" t="s">
        <v>219</v>
      </c>
      <c r="E209">
        <v>2</v>
      </c>
      <c r="F209" t="s">
        <v>13</v>
      </c>
      <c r="I209" t="s">
        <v>15</v>
      </c>
      <c r="J209">
        <f>vlookup("924-701000-100",B:AZ,column(i1),0)*e209</f>
        <v>0</v>
      </c>
      <c r="K209">
        <f>vlookup("924-701000-100",B:AZ,column(j1),0)*e209</f>
        <v>0</v>
      </c>
      <c r="L209">
        <f>vlookup("924-701000-100",B:AZ,column(k1),0)*e209</f>
        <v>0</v>
      </c>
      <c r="M209">
        <f>vlookup("924-701000-100",B:AZ,column(l1),0)*e209</f>
        <v>0</v>
      </c>
      <c r="N209">
        <f>vlookup("924-701000-100",B:AZ,column(m1),0)*e209</f>
        <v>0</v>
      </c>
      <c r="O209">
        <f>vlookup("924-701000-100",B:AZ,column(n1),0)*e209</f>
        <v>0</v>
      </c>
      <c r="P209">
        <f>vlookup("924-701000-100",B:AZ,column(o1),0)*e209</f>
        <v>0</v>
      </c>
      <c r="Q209">
        <f>vlookup("924-701000-100",B:AZ,column(p1),0)*e209</f>
        <v>0</v>
      </c>
      <c r="R209">
        <f>vlookup("924-701000-100",B:AZ,column(q1),0)*e209</f>
        <v>0</v>
      </c>
      <c r="S209">
        <f>vlookup("924-701000-100",B:AZ,column(r1),0)*e209</f>
        <v>0</v>
      </c>
      <c r="T209">
        <f>vlookup("924-701000-100",B:AZ,column(s1),0)*e209</f>
        <v>0</v>
      </c>
      <c r="U209">
        <f>vlookup("924-701000-100",B:AZ,column(t1),0)*e209</f>
        <v>0</v>
      </c>
      <c r="V209">
        <f>vlookup("924-701000-100",B:AZ,column(u1),0)*e209</f>
        <v>0</v>
      </c>
      <c r="W209">
        <f>vlookup("924-701000-100",B:AZ,column(v1),0)*e209</f>
        <v>0</v>
      </c>
      <c r="X209">
        <f>vlookup("924-701000-100",B:AZ,column(w1),0)*e209</f>
        <v>0</v>
      </c>
      <c r="Y209">
        <f>vlookup("924-701000-100",B:AZ,column(x1),0)*e209</f>
        <v>0</v>
      </c>
      <c r="Z209">
        <f>vlookup("924-701000-100",B:AZ,column(y1),0)*e209</f>
        <v>0</v>
      </c>
      <c r="AA209">
        <f>vlookup("924-701000-100",B:AZ,column(z1),0)*e209</f>
        <v>0</v>
      </c>
      <c r="AB209">
        <f>vlookup("924-701000-100",B:AZ,column(aa1),0)*e209</f>
        <v>0</v>
      </c>
      <c r="AC209">
        <f>vlookup("924-701000-100",B:AZ,column(ab1),0)*e209</f>
        <v>0</v>
      </c>
      <c r="AD209">
        <f>vlookup("924-701000-100",B:AZ,column(ac1),0)*e209</f>
        <v>0</v>
      </c>
      <c r="AE209">
        <f>vlookup("924-701000-100",B:AZ,column(ad1),0)*e209</f>
        <v>0</v>
      </c>
      <c r="AF209">
        <f>vlookup("924-701000-100",B:AZ,column(ae1),0)*e209</f>
        <v>0</v>
      </c>
      <c r="AG209">
        <f>vlookup("924-701000-100",B:AZ,column(af1),0)*e209</f>
        <v>0</v>
      </c>
      <c r="AH209">
        <f>vlookup("924-701000-100",B:AZ,column(ag1),0)*e209</f>
        <v>0</v>
      </c>
      <c r="AI209">
        <f>vlookup("924-701000-100",B:AZ,column(ah1),0)*e209</f>
        <v>0</v>
      </c>
      <c r="AJ209">
        <f>vlookup("924-701000-100",B:AZ,column(ai1),0)*e209</f>
        <v>0</v>
      </c>
      <c r="AK209">
        <f>vlookup("924-701000-100",B:AZ,column(aj1),0)*e209</f>
        <v>0</v>
      </c>
      <c r="AL209">
        <f>vlookup("924-701000-100",B:AZ,column(ak1),0)*e209</f>
        <v>0</v>
      </c>
      <c r="AM209">
        <f>vlookup("924-701000-100",B:AZ,column(al1),0)*e209</f>
        <v>0</v>
      </c>
      <c r="AN209">
        <f>vlookup("924-701000-100",B:AZ,column(am1),0)*e209</f>
        <v>0</v>
      </c>
      <c r="AO209">
        <f>vlookup("924-701000-100",B:AZ,column(an1),0)*e209</f>
        <v>0</v>
      </c>
    </row>
    <row r="210" spans="1:41">
      <c r="A210" t="s">
        <v>22</v>
      </c>
      <c r="B210" t="s">
        <v>205</v>
      </c>
      <c r="C210" t="s">
        <v>235</v>
      </c>
      <c r="E210">
        <v>8</v>
      </c>
      <c r="F210" t="s">
        <v>13</v>
      </c>
      <c r="I210" t="s">
        <v>15</v>
      </c>
      <c r="J210">
        <f>vlookup("924-701000-100",B:AZ,column(i1),0)*e210</f>
        <v>0</v>
      </c>
      <c r="K210">
        <f>vlookup("924-701000-100",B:AZ,column(j1),0)*e210</f>
        <v>0</v>
      </c>
      <c r="L210">
        <f>vlookup("924-701000-100",B:AZ,column(k1),0)*e210</f>
        <v>0</v>
      </c>
      <c r="M210">
        <f>vlookup("924-701000-100",B:AZ,column(l1),0)*e210</f>
        <v>0</v>
      </c>
      <c r="N210">
        <f>vlookup("924-701000-100",B:AZ,column(m1),0)*e210</f>
        <v>0</v>
      </c>
      <c r="O210">
        <f>vlookup("924-701000-100",B:AZ,column(n1),0)*e210</f>
        <v>0</v>
      </c>
      <c r="P210">
        <f>vlookup("924-701000-100",B:AZ,column(o1),0)*e210</f>
        <v>0</v>
      </c>
      <c r="Q210">
        <f>vlookup("924-701000-100",B:AZ,column(p1),0)*e210</f>
        <v>0</v>
      </c>
      <c r="R210">
        <f>vlookup("924-701000-100",B:AZ,column(q1),0)*e210</f>
        <v>0</v>
      </c>
      <c r="S210">
        <f>vlookup("924-701000-100",B:AZ,column(r1),0)*e210</f>
        <v>0</v>
      </c>
      <c r="T210">
        <f>vlookup("924-701000-100",B:AZ,column(s1),0)*e210</f>
        <v>0</v>
      </c>
      <c r="U210">
        <f>vlookup("924-701000-100",B:AZ,column(t1),0)*e210</f>
        <v>0</v>
      </c>
      <c r="V210">
        <f>vlookup("924-701000-100",B:AZ,column(u1),0)*e210</f>
        <v>0</v>
      </c>
      <c r="W210">
        <f>vlookup("924-701000-100",B:AZ,column(v1),0)*e210</f>
        <v>0</v>
      </c>
      <c r="X210">
        <f>vlookup("924-701000-100",B:AZ,column(w1),0)*e210</f>
        <v>0</v>
      </c>
      <c r="Y210">
        <f>vlookup("924-701000-100",B:AZ,column(x1),0)*e210</f>
        <v>0</v>
      </c>
      <c r="Z210">
        <f>vlookup("924-701000-100",B:AZ,column(y1),0)*e210</f>
        <v>0</v>
      </c>
      <c r="AA210">
        <f>vlookup("924-701000-100",B:AZ,column(z1),0)*e210</f>
        <v>0</v>
      </c>
      <c r="AB210">
        <f>vlookup("924-701000-100",B:AZ,column(aa1),0)*e210</f>
        <v>0</v>
      </c>
      <c r="AC210">
        <f>vlookup("924-701000-100",B:AZ,column(ab1),0)*e210</f>
        <v>0</v>
      </c>
      <c r="AD210">
        <f>vlookup("924-701000-100",B:AZ,column(ac1),0)*e210</f>
        <v>0</v>
      </c>
      <c r="AE210">
        <f>vlookup("924-701000-100",B:AZ,column(ad1),0)*e210</f>
        <v>0</v>
      </c>
      <c r="AF210">
        <f>vlookup("924-701000-100",B:AZ,column(ae1),0)*e210</f>
        <v>0</v>
      </c>
      <c r="AG210">
        <f>vlookup("924-701000-100",B:AZ,column(af1),0)*e210</f>
        <v>0</v>
      </c>
      <c r="AH210">
        <f>vlookup("924-701000-100",B:AZ,column(ag1),0)*e210</f>
        <v>0</v>
      </c>
      <c r="AI210">
        <f>vlookup("924-701000-100",B:AZ,column(ah1),0)*e210</f>
        <v>0</v>
      </c>
      <c r="AJ210">
        <f>vlookup("924-701000-100",B:AZ,column(ai1),0)*e210</f>
        <v>0</v>
      </c>
      <c r="AK210">
        <f>vlookup("924-701000-100",B:AZ,column(aj1),0)*e210</f>
        <v>0</v>
      </c>
      <c r="AL210">
        <f>vlookup("924-701000-100",B:AZ,column(ak1),0)*e210</f>
        <v>0</v>
      </c>
      <c r="AM210">
        <f>vlookup("924-701000-100",B:AZ,column(al1),0)*e210</f>
        <v>0</v>
      </c>
      <c r="AN210">
        <f>vlookup("924-701000-100",B:AZ,column(am1),0)*e210</f>
        <v>0</v>
      </c>
      <c r="AO210">
        <f>vlookup("924-701000-100",B:AZ,column(an1),0)*e210</f>
        <v>0</v>
      </c>
    </row>
    <row r="211" spans="1:41">
      <c r="A211" t="s">
        <v>22</v>
      </c>
      <c r="B211" t="s">
        <v>220</v>
      </c>
      <c r="C211" t="s">
        <v>236</v>
      </c>
      <c r="E211">
        <v>2</v>
      </c>
      <c r="F211" t="s">
        <v>13</v>
      </c>
      <c r="I211" t="s">
        <v>15</v>
      </c>
      <c r="J211">
        <f>vlookup("924-701000-100",B:AZ,column(i1),0)*e211</f>
        <v>0</v>
      </c>
      <c r="K211">
        <f>vlookup("924-701000-100",B:AZ,column(j1),0)*e211</f>
        <v>0</v>
      </c>
      <c r="L211">
        <f>vlookup("924-701000-100",B:AZ,column(k1),0)*e211</f>
        <v>0</v>
      </c>
      <c r="M211">
        <f>vlookup("924-701000-100",B:AZ,column(l1),0)*e211</f>
        <v>0</v>
      </c>
      <c r="N211">
        <f>vlookup("924-701000-100",B:AZ,column(m1),0)*e211</f>
        <v>0</v>
      </c>
      <c r="O211">
        <f>vlookup("924-701000-100",B:AZ,column(n1),0)*e211</f>
        <v>0</v>
      </c>
      <c r="P211">
        <f>vlookup("924-701000-100",B:AZ,column(o1),0)*e211</f>
        <v>0</v>
      </c>
      <c r="Q211">
        <f>vlookup("924-701000-100",B:AZ,column(p1),0)*e211</f>
        <v>0</v>
      </c>
      <c r="R211">
        <f>vlookup("924-701000-100",B:AZ,column(q1),0)*e211</f>
        <v>0</v>
      </c>
      <c r="S211">
        <f>vlookup("924-701000-100",B:AZ,column(r1),0)*e211</f>
        <v>0</v>
      </c>
      <c r="T211">
        <f>vlookup("924-701000-100",B:AZ,column(s1),0)*e211</f>
        <v>0</v>
      </c>
      <c r="U211">
        <f>vlookup("924-701000-100",B:AZ,column(t1),0)*e211</f>
        <v>0</v>
      </c>
      <c r="V211">
        <f>vlookup("924-701000-100",B:AZ,column(u1),0)*e211</f>
        <v>0</v>
      </c>
      <c r="W211">
        <f>vlookup("924-701000-100",B:AZ,column(v1),0)*e211</f>
        <v>0</v>
      </c>
      <c r="X211">
        <f>vlookup("924-701000-100",B:AZ,column(w1),0)*e211</f>
        <v>0</v>
      </c>
      <c r="Y211">
        <f>vlookup("924-701000-100",B:AZ,column(x1),0)*e211</f>
        <v>0</v>
      </c>
      <c r="Z211">
        <f>vlookup("924-701000-100",B:AZ,column(y1),0)*e211</f>
        <v>0</v>
      </c>
      <c r="AA211">
        <f>vlookup("924-701000-100",B:AZ,column(z1),0)*e211</f>
        <v>0</v>
      </c>
      <c r="AB211">
        <f>vlookup("924-701000-100",B:AZ,column(aa1),0)*e211</f>
        <v>0</v>
      </c>
      <c r="AC211">
        <f>vlookup("924-701000-100",B:AZ,column(ab1),0)*e211</f>
        <v>0</v>
      </c>
      <c r="AD211">
        <f>vlookup("924-701000-100",B:AZ,column(ac1),0)*e211</f>
        <v>0</v>
      </c>
      <c r="AE211">
        <f>vlookup("924-701000-100",B:AZ,column(ad1),0)*e211</f>
        <v>0</v>
      </c>
      <c r="AF211">
        <f>vlookup("924-701000-100",B:AZ,column(ae1),0)*e211</f>
        <v>0</v>
      </c>
      <c r="AG211">
        <f>vlookup("924-701000-100",B:AZ,column(af1),0)*e211</f>
        <v>0</v>
      </c>
      <c r="AH211">
        <f>vlookup("924-701000-100",B:AZ,column(ag1),0)*e211</f>
        <v>0</v>
      </c>
      <c r="AI211">
        <f>vlookup("924-701000-100",B:AZ,column(ah1),0)*e211</f>
        <v>0</v>
      </c>
      <c r="AJ211">
        <f>vlookup("924-701000-100",B:AZ,column(ai1),0)*e211</f>
        <v>0</v>
      </c>
      <c r="AK211">
        <f>vlookup("924-701000-100",B:AZ,column(aj1),0)*e211</f>
        <v>0</v>
      </c>
      <c r="AL211">
        <f>vlookup("924-701000-100",B:AZ,column(ak1),0)*e211</f>
        <v>0</v>
      </c>
      <c r="AM211">
        <f>vlookup("924-701000-100",B:AZ,column(al1),0)*e211</f>
        <v>0</v>
      </c>
      <c r="AN211">
        <f>vlookup("924-701000-100",B:AZ,column(am1),0)*e211</f>
        <v>0</v>
      </c>
      <c r="AO211">
        <f>vlookup("924-701000-100",B:AZ,column(an1),0)*e211</f>
        <v>0</v>
      </c>
    </row>
    <row r="212" spans="1:41">
      <c r="A212" t="s">
        <v>22</v>
      </c>
      <c r="B212" t="s">
        <v>222</v>
      </c>
      <c r="C212" t="s">
        <v>237</v>
      </c>
      <c r="E212">
        <v>8</v>
      </c>
      <c r="F212" t="s">
        <v>13</v>
      </c>
      <c r="I212" t="s">
        <v>15</v>
      </c>
      <c r="J212">
        <f>vlookup("924-701000-100",B:AZ,column(i1),0)*e212</f>
        <v>0</v>
      </c>
      <c r="K212">
        <f>vlookup("924-701000-100",B:AZ,column(j1),0)*e212</f>
        <v>0</v>
      </c>
      <c r="L212">
        <f>vlookup("924-701000-100",B:AZ,column(k1),0)*e212</f>
        <v>0</v>
      </c>
      <c r="M212">
        <f>vlookup("924-701000-100",B:AZ,column(l1),0)*e212</f>
        <v>0</v>
      </c>
      <c r="N212">
        <f>vlookup("924-701000-100",B:AZ,column(m1),0)*e212</f>
        <v>0</v>
      </c>
      <c r="O212">
        <f>vlookup("924-701000-100",B:AZ,column(n1),0)*e212</f>
        <v>0</v>
      </c>
      <c r="P212">
        <f>vlookup("924-701000-100",B:AZ,column(o1),0)*e212</f>
        <v>0</v>
      </c>
      <c r="Q212">
        <f>vlookup("924-701000-100",B:AZ,column(p1),0)*e212</f>
        <v>0</v>
      </c>
      <c r="R212">
        <f>vlookup("924-701000-100",B:AZ,column(q1),0)*e212</f>
        <v>0</v>
      </c>
      <c r="S212">
        <f>vlookup("924-701000-100",B:AZ,column(r1),0)*e212</f>
        <v>0</v>
      </c>
      <c r="T212">
        <f>vlookup("924-701000-100",B:AZ,column(s1),0)*e212</f>
        <v>0</v>
      </c>
      <c r="U212">
        <f>vlookup("924-701000-100",B:AZ,column(t1),0)*e212</f>
        <v>0</v>
      </c>
      <c r="V212">
        <f>vlookup("924-701000-100",B:AZ,column(u1),0)*e212</f>
        <v>0</v>
      </c>
      <c r="W212">
        <f>vlookup("924-701000-100",B:AZ,column(v1),0)*e212</f>
        <v>0</v>
      </c>
      <c r="X212">
        <f>vlookup("924-701000-100",B:AZ,column(w1),0)*e212</f>
        <v>0</v>
      </c>
      <c r="Y212">
        <f>vlookup("924-701000-100",B:AZ,column(x1),0)*e212</f>
        <v>0</v>
      </c>
      <c r="Z212">
        <f>vlookup("924-701000-100",B:AZ,column(y1),0)*e212</f>
        <v>0</v>
      </c>
      <c r="AA212">
        <f>vlookup("924-701000-100",B:AZ,column(z1),0)*e212</f>
        <v>0</v>
      </c>
      <c r="AB212">
        <f>vlookup("924-701000-100",B:AZ,column(aa1),0)*e212</f>
        <v>0</v>
      </c>
      <c r="AC212">
        <f>vlookup("924-701000-100",B:AZ,column(ab1),0)*e212</f>
        <v>0</v>
      </c>
      <c r="AD212">
        <f>vlookup("924-701000-100",B:AZ,column(ac1),0)*e212</f>
        <v>0</v>
      </c>
      <c r="AE212">
        <f>vlookup("924-701000-100",B:AZ,column(ad1),0)*e212</f>
        <v>0</v>
      </c>
      <c r="AF212">
        <f>vlookup("924-701000-100",B:AZ,column(ae1),0)*e212</f>
        <v>0</v>
      </c>
      <c r="AG212">
        <f>vlookup("924-701000-100",B:AZ,column(af1),0)*e212</f>
        <v>0</v>
      </c>
      <c r="AH212">
        <f>vlookup("924-701000-100",B:AZ,column(ag1),0)*e212</f>
        <v>0</v>
      </c>
      <c r="AI212">
        <f>vlookup("924-701000-100",B:AZ,column(ah1),0)*e212</f>
        <v>0</v>
      </c>
      <c r="AJ212">
        <f>vlookup("924-701000-100",B:AZ,column(ai1),0)*e212</f>
        <v>0</v>
      </c>
      <c r="AK212">
        <f>vlookup("924-701000-100",B:AZ,column(aj1),0)*e212</f>
        <v>0</v>
      </c>
      <c r="AL212">
        <f>vlookup("924-701000-100",B:AZ,column(ak1),0)*e212</f>
        <v>0</v>
      </c>
      <c r="AM212">
        <f>vlookup("924-701000-100",B:AZ,column(al1),0)*e212</f>
        <v>0</v>
      </c>
      <c r="AN212">
        <f>vlookup("924-701000-100",B:AZ,column(am1),0)*e212</f>
        <v>0</v>
      </c>
      <c r="AO212">
        <f>vlookup("924-701000-100",B:AZ,column(an1),0)*e212</f>
        <v>0</v>
      </c>
    </row>
    <row r="213" spans="1:41">
      <c r="A213" t="s">
        <v>22</v>
      </c>
      <c r="B213" t="s">
        <v>224</v>
      </c>
      <c r="C213" t="s">
        <v>238</v>
      </c>
      <c r="E213">
        <v>1</v>
      </c>
      <c r="F213" t="s">
        <v>13</v>
      </c>
      <c r="I213" t="s">
        <v>15</v>
      </c>
      <c r="J213">
        <f>vlookup("924-701000-100",B:AZ,column(i1),0)*e213</f>
        <v>0</v>
      </c>
      <c r="K213">
        <f>vlookup("924-701000-100",B:AZ,column(j1),0)*e213</f>
        <v>0</v>
      </c>
      <c r="L213">
        <f>vlookup("924-701000-100",B:AZ,column(k1),0)*e213</f>
        <v>0</v>
      </c>
      <c r="M213">
        <f>vlookup("924-701000-100",B:AZ,column(l1),0)*e213</f>
        <v>0</v>
      </c>
      <c r="N213">
        <f>vlookup("924-701000-100",B:AZ,column(m1),0)*e213</f>
        <v>0</v>
      </c>
      <c r="O213">
        <f>vlookup("924-701000-100",B:AZ,column(n1),0)*e213</f>
        <v>0</v>
      </c>
      <c r="P213">
        <f>vlookup("924-701000-100",B:AZ,column(o1),0)*e213</f>
        <v>0</v>
      </c>
      <c r="Q213">
        <f>vlookup("924-701000-100",B:AZ,column(p1),0)*e213</f>
        <v>0</v>
      </c>
      <c r="R213">
        <f>vlookup("924-701000-100",B:AZ,column(q1),0)*e213</f>
        <v>0</v>
      </c>
      <c r="S213">
        <f>vlookup("924-701000-100",B:AZ,column(r1),0)*e213</f>
        <v>0</v>
      </c>
      <c r="T213">
        <f>vlookup("924-701000-100",B:AZ,column(s1),0)*e213</f>
        <v>0</v>
      </c>
      <c r="U213">
        <f>vlookup("924-701000-100",B:AZ,column(t1),0)*e213</f>
        <v>0</v>
      </c>
      <c r="V213">
        <f>vlookup("924-701000-100",B:AZ,column(u1),0)*e213</f>
        <v>0</v>
      </c>
      <c r="W213">
        <f>vlookup("924-701000-100",B:AZ,column(v1),0)*e213</f>
        <v>0</v>
      </c>
      <c r="X213">
        <f>vlookup("924-701000-100",B:AZ,column(w1),0)*e213</f>
        <v>0</v>
      </c>
      <c r="Y213">
        <f>vlookup("924-701000-100",B:AZ,column(x1),0)*e213</f>
        <v>0</v>
      </c>
      <c r="Z213">
        <f>vlookup("924-701000-100",B:AZ,column(y1),0)*e213</f>
        <v>0</v>
      </c>
      <c r="AA213">
        <f>vlookup("924-701000-100",B:AZ,column(z1),0)*e213</f>
        <v>0</v>
      </c>
      <c r="AB213">
        <f>vlookup("924-701000-100",B:AZ,column(aa1),0)*e213</f>
        <v>0</v>
      </c>
      <c r="AC213">
        <f>vlookup("924-701000-100",B:AZ,column(ab1),0)*e213</f>
        <v>0</v>
      </c>
      <c r="AD213">
        <f>vlookup("924-701000-100",B:AZ,column(ac1),0)*e213</f>
        <v>0</v>
      </c>
      <c r="AE213">
        <f>vlookup("924-701000-100",B:AZ,column(ad1),0)*e213</f>
        <v>0</v>
      </c>
      <c r="AF213">
        <f>vlookup("924-701000-100",B:AZ,column(ae1),0)*e213</f>
        <v>0</v>
      </c>
      <c r="AG213">
        <f>vlookup("924-701000-100",B:AZ,column(af1),0)*e213</f>
        <v>0</v>
      </c>
      <c r="AH213">
        <f>vlookup("924-701000-100",B:AZ,column(ag1),0)*e213</f>
        <v>0</v>
      </c>
      <c r="AI213">
        <f>vlookup("924-701000-100",B:AZ,column(ah1),0)*e213</f>
        <v>0</v>
      </c>
      <c r="AJ213">
        <f>vlookup("924-701000-100",B:AZ,column(ai1),0)*e213</f>
        <v>0</v>
      </c>
      <c r="AK213">
        <f>vlookup("924-701000-100",B:AZ,column(aj1),0)*e213</f>
        <v>0</v>
      </c>
      <c r="AL213">
        <f>vlookup("924-701000-100",B:AZ,column(ak1),0)*e213</f>
        <v>0</v>
      </c>
      <c r="AM213">
        <f>vlookup("924-701000-100",B:AZ,column(al1),0)*e213</f>
        <v>0</v>
      </c>
      <c r="AN213">
        <f>vlookup("924-701000-100",B:AZ,column(am1),0)*e213</f>
        <v>0</v>
      </c>
      <c r="AO213">
        <f>vlookup("924-701000-100",B:AZ,column(an1),0)*e213</f>
        <v>0</v>
      </c>
    </row>
    <row r="214" spans="1:41">
      <c r="A214" t="s">
        <v>22</v>
      </c>
      <c r="B214" t="s">
        <v>226</v>
      </c>
      <c r="C214" t="s">
        <v>239</v>
      </c>
      <c r="E214">
        <v>1</v>
      </c>
      <c r="F214" t="s">
        <v>13</v>
      </c>
      <c r="I214" t="s">
        <v>15</v>
      </c>
      <c r="J214">
        <f>vlookup("924-701000-100",B:AZ,column(i1),0)*e214</f>
        <v>0</v>
      </c>
      <c r="K214">
        <f>vlookup("924-701000-100",B:AZ,column(j1),0)*e214</f>
        <v>0</v>
      </c>
      <c r="L214">
        <f>vlookup("924-701000-100",B:AZ,column(k1),0)*e214</f>
        <v>0</v>
      </c>
      <c r="M214">
        <f>vlookup("924-701000-100",B:AZ,column(l1),0)*e214</f>
        <v>0</v>
      </c>
      <c r="N214">
        <f>vlookup("924-701000-100",B:AZ,column(m1),0)*e214</f>
        <v>0</v>
      </c>
      <c r="O214">
        <f>vlookup("924-701000-100",B:AZ,column(n1),0)*e214</f>
        <v>0</v>
      </c>
      <c r="P214">
        <f>vlookup("924-701000-100",B:AZ,column(o1),0)*e214</f>
        <v>0</v>
      </c>
      <c r="Q214">
        <f>vlookup("924-701000-100",B:AZ,column(p1),0)*e214</f>
        <v>0</v>
      </c>
      <c r="R214">
        <f>vlookup("924-701000-100",B:AZ,column(q1),0)*e214</f>
        <v>0</v>
      </c>
      <c r="S214">
        <f>vlookup("924-701000-100",B:AZ,column(r1),0)*e214</f>
        <v>0</v>
      </c>
      <c r="T214">
        <f>vlookup("924-701000-100",B:AZ,column(s1),0)*e214</f>
        <v>0</v>
      </c>
      <c r="U214">
        <f>vlookup("924-701000-100",B:AZ,column(t1),0)*e214</f>
        <v>0</v>
      </c>
      <c r="V214">
        <f>vlookup("924-701000-100",B:AZ,column(u1),0)*e214</f>
        <v>0</v>
      </c>
      <c r="W214">
        <f>vlookup("924-701000-100",B:AZ,column(v1),0)*e214</f>
        <v>0</v>
      </c>
      <c r="X214">
        <f>vlookup("924-701000-100",B:AZ,column(w1),0)*e214</f>
        <v>0</v>
      </c>
      <c r="Y214">
        <f>vlookup("924-701000-100",B:AZ,column(x1),0)*e214</f>
        <v>0</v>
      </c>
      <c r="Z214">
        <f>vlookup("924-701000-100",B:AZ,column(y1),0)*e214</f>
        <v>0</v>
      </c>
      <c r="AA214">
        <f>vlookup("924-701000-100",B:AZ,column(z1),0)*e214</f>
        <v>0</v>
      </c>
      <c r="AB214">
        <f>vlookup("924-701000-100",B:AZ,column(aa1),0)*e214</f>
        <v>0</v>
      </c>
      <c r="AC214">
        <f>vlookup("924-701000-100",B:AZ,column(ab1),0)*e214</f>
        <v>0</v>
      </c>
      <c r="AD214">
        <f>vlookup("924-701000-100",B:AZ,column(ac1),0)*e214</f>
        <v>0</v>
      </c>
      <c r="AE214">
        <f>vlookup("924-701000-100",B:AZ,column(ad1),0)*e214</f>
        <v>0</v>
      </c>
      <c r="AF214">
        <f>vlookup("924-701000-100",B:AZ,column(ae1),0)*e214</f>
        <v>0</v>
      </c>
      <c r="AG214">
        <f>vlookup("924-701000-100",B:AZ,column(af1),0)*e214</f>
        <v>0</v>
      </c>
      <c r="AH214">
        <f>vlookup("924-701000-100",B:AZ,column(ag1),0)*e214</f>
        <v>0</v>
      </c>
      <c r="AI214">
        <f>vlookup("924-701000-100",B:AZ,column(ah1),0)*e214</f>
        <v>0</v>
      </c>
      <c r="AJ214">
        <f>vlookup("924-701000-100",B:AZ,column(ai1),0)*e214</f>
        <v>0</v>
      </c>
      <c r="AK214">
        <f>vlookup("924-701000-100",B:AZ,column(aj1),0)*e214</f>
        <v>0</v>
      </c>
      <c r="AL214">
        <f>vlookup("924-701000-100",B:AZ,column(ak1),0)*e214</f>
        <v>0</v>
      </c>
      <c r="AM214">
        <f>vlookup("924-701000-100",B:AZ,column(al1),0)*e214</f>
        <v>0</v>
      </c>
      <c r="AN214">
        <f>vlookup("924-701000-100",B:AZ,column(am1),0)*e214</f>
        <v>0</v>
      </c>
      <c r="AO214">
        <f>vlookup("924-701000-100",B:AZ,column(an1),0)*e214</f>
        <v>0</v>
      </c>
    </row>
    <row r="215" spans="1:41">
      <c r="A215" t="s">
        <v>22</v>
      </c>
      <c r="B215" t="s">
        <v>228</v>
      </c>
      <c r="C215" t="s">
        <v>240</v>
      </c>
      <c r="E215">
        <v>2</v>
      </c>
      <c r="F215" t="s">
        <v>13</v>
      </c>
      <c r="I215" t="s">
        <v>15</v>
      </c>
      <c r="J215">
        <f>vlookup("924-701000-100",B:AZ,column(i1),0)*e215</f>
        <v>0</v>
      </c>
      <c r="K215">
        <f>vlookup("924-701000-100",B:AZ,column(j1),0)*e215</f>
        <v>0</v>
      </c>
      <c r="L215">
        <f>vlookup("924-701000-100",B:AZ,column(k1),0)*e215</f>
        <v>0</v>
      </c>
      <c r="M215">
        <f>vlookup("924-701000-100",B:AZ,column(l1),0)*e215</f>
        <v>0</v>
      </c>
      <c r="N215">
        <f>vlookup("924-701000-100",B:AZ,column(m1),0)*e215</f>
        <v>0</v>
      </c>
      <c r="O215">
        <f>vlookup("924-701000-100",B:AZ,column(n1),0)*e215</f>
        <v>0</v>
      </c>
      <c r="P215">
        <f>vlookup("924-701000-100",B:AZ,column(o1),0)*e215</f>
        <v>0</v>
      </c>
      <c r="Q215">
        <f>vlookup("924-701000-100",B:AZ,column(p1),0)*e215</f>
        <v>0</v>
      </c>
      <c r="R215">
        <f>vlookup("924-701000-100",B:AZ,column(q1),0)*e215</f>
        <v>0</v>
      </c>
      <c r="S215">
        <f>vlookup("924-701000-100",B:AZ,column(r1),0)*e215</f>
        <v>0</v>
      </c>
      <c r="T215">
        <f>vlookup("924-701000-100",B:AZ,column(s1),0)*e215</f>
        <v>0</v>
      </c>
      <c r="U215">
        <f>vlookup("924-701000-100",B:AZ,column(t1),0)*e215</f>
        <v>0</v>
      </c>
      <c r="V215">
        <f>vlookup("924-701000-100",B:AZ,column(u1),0)*e215</f>
        <v>0</v>
      </c>
      <c r="W215">
        <f>vlookup("924-701000-100",B:AZ,column(v1),0)*e215</f>
        <v>0</v>
      </c>
      <c r="X215">
        <f>vlookup("924-701000-100",B:AZ,column(w1),0)*e215</f>
        <v>0</v>
      </c>
      <c r="Y215">
        <f>vlookup("924-701000-100",B:AZ,column(x1),0)*e215</f>
        <v>0</v>
      </c>
      <c r="Z215">
        <f>vlookup("924-701000-100",B:AZ,column(y1),0)*e215</f>
        <v>0</v>
      </c>
      <c r="AA215">
        <f>vlookup("924-701000-100",B:AZ,column(z1),0)*e215</f>
        <v>0</v>
      </c>
      <c r="AB215">
        <f>vlookup("924-701000-100",B:AZ,column(aa1),0)*e215</f>
        <v>0</v>
      </c>
      <c r="AC215">
        <f>vlookup("924-701000-100",B:AZ,column(ab1),0)*e215</f>
        <v>0</v>
      </c>
      <c r="AD215">
        <f>vlookup("924-701000-100",B:AZ,column(ac1),0)*e215</f>
        <v>0</v>
      </c>
      <c r="AE215">
        <f>vlookup("924-701000-100",B:AZ,column(ad1),0)*e215</f>
        <v>0</v>
      </c>
      <c r="AF215">
        <f>vlookup("924-701000-100",B:AZ,column(ae1),0)*e215</f>
        <v>0</v>
      </c>
      <c r="AG215">
        <f>vlookup("924-701000-100",B:AZ,column(af1),0)*e215</f>
        <v>0</v>
      </c>
      <c r="AH215">
        <f>vlookup("924-701000-100",B:AZ,column(ag1),0)*e215</f>
        <v>0</v>
      </c>
      <c r="AI215">
        <f>vlookup("924-701000-100",B:AZ,column(ah1),0)*e215</f>
        <v>0</v>
      </c>
      <c r="AJ215">
        <f>vlookup("924-701000-100",B:AZ,column(ai1),0)*e215</f>
        <v>0</v>
      </c>
      <c r="AK215">
        <f>vlookup("924-701000-100",B:AZ,column(aj1),0)*e215</f>
        <v>0</v>
      </c>
      <c r="AL215">
        <f>vlookup("924-701000-100",B:AZ,column(ak1),0)*e215</f>
        <v>0</v>
      </c>
      <c r="AM215">
        <f>vlookup("924-701000-100",B:AZ,column(al1),0)*e215</f>
        <v>0</v>
      </c>
      <c r="AN215">
        <f>vlookup("924-701000-100",B:AZ,column(am1),0)*e215</f>
        <v>0</v>
      </c>
      <c r="AO215">
        <f>vlookup("924-701000-100",B:AZ,column(an1),0)*e215</f>
        <v>0</v>
      </c>
    </row>
    <row r="216" spans="1:41">
      <c r="A216" t="s">
        <v>22</v>
      </c>
      <c r="B216" t="s">
        <v>241</v>
      </c>
      <c r="C216" t="s">
        <v>242</v>
      </c>
      <c r="E216">
        <v>12</v>
      </c>
      <c r="F216" t="s">
        <v>13</v>
      </c>
      <c r="I216" t="s">
        <v>15</v>
      </c>
      <c r="J216">
        <f>vlookup("924-701000-100",B:AZ,column(i1),0)*e216</f>
        <v>0</v>
      </c>
      <c r="K216">
        <f>vlookup("924-701000-100",B:AZ,column(j1),0)*e216</f>
        <v>0</v>
      </c>
      <c r="L216">
        <f>vlookup("924-701000-100",B:AZ,column(k1),0)*e216</f>
        <v>0</v>
      </c>
      <c r="M216">
        <f>vlookup("924-701000-100",B:AZ,column(l1),0)*e216</f>
        <v>0</v>
      </c>
      <c r="N216">
        <f>vlookup("924-701000-100",B:AZ,column(m1),0)*e216</f>
        <v>0</v>
      </c>
      <c r="O216">
        <f>vlookup("924-701000-100",B:AZ,column(n1),0)*e216</f>
        <v>0</v>
      </c>
      <c r="P216">
        <f>vlookup("924-701000-100",B:AZ,column(o1),0)*e216</f>
        <v>0</v>
      </c>
      <c r="Q216">
        <f>vlookup("924-701000-100",B:AZ,column(p1),0)*e216</f>
        <v>0</v>
      </c>
      <c r="R216">
        <f>vlookup("924-701000-100",B:AZ,column(q1),0)*e216</f>
        <v>0</v>
      </c>
      <c r="S216">
        <f>vlookup("924-701000-100",B:AZ,column(r1),0)*e216</f>
        <v>0</v>
      </c>
      <c r="T216">
        <f>vlookup("924-701000-100",B:AZ,column(s1),0)*e216</f>
        <v>0</v>
      </c>
      <c r="U216">
        <f>vlookup("924-701000-100",B:AZ,column(t1),0)*e216</f>
        <v>0</v>
      </c>
      <c r="V216">
        <f>vlookup("924-701000-100",B:AZ,column(u1),0)*e216</f>
        <v>0</v>
      </c>
      <c r="W216">
        <f>vlookup("924-701000-100",B:AZ,column(v1),0)*e216</f>
        <v>0</v>
      </c>
      <c r="X216">
        <f>vlookup("924-701000-100",B:AZ,column(w1),0)*e216</f>
        <v>0</v>
      </c>
      <c r="Y216">
        <f>vlookup("924-701000-100",B:AZ,column(x1),0)*e216</f>
        <v>0</v>
      </c>
      <c r="Z216">
        <f>vlookup("924-701000-100",B:AZ,column(y1),0)*e216</f>
        <v>0</v>
      </c>
      <c r="AA216">
        <f>vlookup("924-701000-100",B:AZ,column(z1),0)*e216</f>
        <v>0</v>
      </c>
      <c r="AB216">
        <f>vlookup("924-701000-100",B:AZ,column(aa1),0)*e216</f>
        <v>0</v>
      </c>
      <c r="AC216">
        <f>vlookup("924-701000-100",B:AZ,column(ab1),0)*e216</f>
        <v>0</v>
      </c>
      <c r="AD216">
        <f>vlookup("924-701000-100",B:AZ,column(ac1),0)*e216</f>
        <v>0</v>
      </c>
      <c r="AE216">
        <f>vlookup("924-701000-100",B:AZ,column(ad1),0)*e216</f>
        <v>0</v>
      </c>
      <c r="AF216">
        <f>vlookup("924-701000-100",B:AZ,column(ae1),0)*e216</f>
        <v>0</v>
      </c>
      <c r="AG216">
        <f>vlookup("924-701000-100",B:AZ,column(af1),0)*e216</f>
        <v>0</v>
      </c>
      <c r="AH216">
        <f>vlookup("924-701000-100",B:AZ,column(ag1),0)*e216</f>
        <v>0</v>
      </c>
      <c r="AI216">
        <f>vlookup("924-701000-100",B:AZ,column(ah1),0)*e216</f>
        <v>0</v>
      </c>
      <c r="AJ216">
        <f>vlookup("924-701000-100",B:AZ,column(ai1),0)*e216</f>
        <v>0</v>
      </c>
      <c r="AK216">
        <f>vlookup("924-701000-100",B:AZ,column(aj1),0)*e216</f>
        <v>0</v>
      </c>
      <c r="AL216">
        <f>vlookup("924-701000-100",B:AZ,column(ak1),0)*e216</f>
        <v>0</v>
      </c>
      <c r="AM216">
        <f>vlookup("924-701000-100",B:AZ,column(al1),0)*e216</f>
        <v>0</v>
      </c>
      <c r="AN216">
        <f>vlookup("924-701000-100",B:AZ,column(am1),0)*e216</f>
        <v>0</v>
      </c>
      <c r="AO216">
        <f>vlookup("924-701000-100",B:AZ,column(an1),0)*e216</f>
        <v>0</v>
      </c>
    </row>
    <row r="217" spans="1:41">
      <c r="A217" t="s">
        <v>22</v>
      </c>
      <c r="B217" t="s">
        <v>243</v>
      </c>
      <c r="C217" t="s">
        <v>244</v>
      </c>
      <c r="E217">
        <v>1</v>
      </c>
      <c r="F217" t="s">
        <v>13</v>
      </c>
      <c r="I217" t="s">
        <v>15</v>
      </c>
      <c r="J217">
        <f>vlookup("924-701000-100",B:AZ,column(i1),0)*e217</f>
        <v>0</v>
      </c>
      <c r="K217">
        <f>vlookup("924-701000-100",B:AZ,column(j1),0)*e217</f>
        <v>0</v>
      </c>
      <c r="L217">
        <f>vlookup("924-701000-100",B:AZ,column(k1),0)*e217</f>
        <v>0</v>
      </c>
      <c r="M217">
        <f>vlookup("924-701000-100",B:AZ,column(l1),0)*e217</f>
        <v>0</v>
      </c>
      <c r="N217">
        <f>vlookup("924-701000-100",B:AZ,column(m1),0)*e217</f>
        <v>0</v>
      </c>
      <c r="O217">
        <f>vlookup("924-701000-100",B:AZ,column(n1),0)*e217</f>
        <v>0</v>
      </c>
      <c r="P217">
        <f>vlookup("924-701000-100",B:AZ,column(o1),0)*e217</f>
        <v>0</v>
      </c>
      <c r="Q217">
        <f>vlookup("924-701000-100",B:AZ,column(p1),0)*e217</f>
        <v>0</v>
      </c>
      <c r="R217">
        <f>vlookup("924-701000-100",B:AZ,column(q1),0)*e217</f>
        <v>0</v>
      </c>
      <c r="S217">
        <f>vlookup("924-701000-100",B:AZ,column(r1),0)*e217</f>
        <v>0</v>
      </c>
      <c r="T217">
        <f>vlookup("924-701000-100",B:AZ,column(s1),0)*e217</f>
        <v>0</v>
      </c>
      <c r="U217">
        <f>vlookup("924-701000-100",B:AZ,column(t1),0)*e217</f>
        <v>0</v>
      </c>
      <c r="V217">
        <f>vlookup("924-701000-100",B:AZ,column(u1),0)*e217</f>
        <v>0</v>
      </c>
      <c r="W217">
        <f>vlookup("924-701000-100",B:AZ,column(v1),0)*e217</f>
        <v>0</v>
      </c>
      <c r="X217">
        <f>vlookup("924-701000-100",B:AZ,column(w1),0)*e217</f>
        <v>0</v>
      </c>
      <c r="Y217">
        <f>vlookup("924-701000-100",B:AZ,column(x1),0)*e217</f>
        <v>0</v>
      </c>
      <c r="Z217">
        <f>vlookup("924-701000-100",B:AZ,column(y1),0)*e217</f>
        <v>0</v>
      </c>
      <c r="AA217">
        <f>vlookup("924-701000-100",B:AZ,column(z1),0)*e217</f>
        <v>0</v>
      </c>
      <c r="AB217">
        <f>vlookup("924-701000-100",B:AZ,column(aa1),0)*e217</f>
        <v>0</v>
      </c>
      <c r="AC217">
        <f>vlookup("924-701000-100",B:AZ,column(ab1),0)*e217</f>
        <v>0</v>
      </c>
      <c r="AD217">
        <f>vlookup("924-701000-100",B:AZ,column(ac1),0)*e217</f>
        <v>0</v>
      </c>
      <c r="AE217">
        <f>vlookup("924-701000-100",B:AZ,column(ad1),0)*e217</f>
        <v>0</v>
      </c>
      <c r="AF217">
        <f>vlookup("924-701000-100",B:AZ,column(ae1),0)*e217</f>
        <v>0</v>
      </c>
      <c r="AG217">
        <f>vlookup("924-701000-100",B:AZ,column(af1),0)*e217</f>
        <v>0</v>
      </c>
      <c r="AH217">
        <f>vlookup("924-701000-100",B:AZ,column(ag1),0)*e217</f>
        <v>0</v>
      </c>
      <c r="AI217">
        <f>vlookup("924-701000-100",B:AZ,column(ah1),0)*e217</f>
        <v>0</v>
      </c>
      <c r="AJ217">
        <f>vlookup("924-701000-100",B:AZ,column(ai1),0)*e217</f>
        <v>0</v>
      </c>
      <c r="AK217">
        <f>vlookup("924-701000-100",B:AZ,column(aj1),0)*e217</f>
        <v>0</v>
      </c>
      <c r="AL217">
        <f>vlookup("924-701000-100",B:AZ,column(ak1),0)*e217</f>
        <v>0</v>
      </c>
      <c r="AM217">
        <f>vlookup("924-701000-100",B:AZ,column(al1),0)*e217</f>
        <v>0</v>
      </c>
      <c r="AN217">
        <f>vlookup("924-701000-100",B:AZ,column(am1),0)*e217</f>
        <v>0</v>
      </c>
      <c r="AO217">
        <f>vlookup("924-701000-100",B:AZ,column(an1),0)*e217</f>
        <v>0</v>
      </c>
    </row>
    <row r="218" spans="1:41">
      <c r="A218" t="s">
        <v>22</v>
      </c>
      <c r="B218" t="s">
        <v>243</v>
      </c>
      <c r="C218" t="s">
        <v>245</v>
      </c>
      <c r="E218">
        <v>1</v>
      </c>
      <c r="F218" t="s">
        <v>13</v>
      </c>
      <c r="I218" t="s">
        <v>15</v>
      </c>
      <c r="J218">
        <f>vlookup("924-701000-100",B:AZ,column(i1),0)*e218</f>
        <v>0</v>
      </c>
      <c r="K218">
        <f>vlookup("924-701000-100",B:AZ,column(j1),0)*e218</f>
        <v>0</v>
      </c>
      <c r="L218">
        <f>vlookup("924-701000-100",B:AZ,column(k1),0)*e218</f>
        <v>0</v>
      </c>
      <c r="M218">
        <f>vlookup("924-701000-100",B:AZ,column(l1),0)*e218</f>
        <v>0</v>
      </c>
      <c r="N218">
        <f>vlookup("924-701000-100",B:AZ,column(m1),0)*e218</f>
        <v>0</v>
      </c>
      <c r="O218">
        <f>vlookup("924-701000-100",B:AZ,column(n1),0)*e218</f>
        <v>0</v>
      </c>
      <c r="P218">
        <f>vlookup("924-701000-100",B:AZ,column(o1),0)*e218</f>
        <v>0</v>
      </c>
      <c r="Q218">
        <f>vlookup("924-701000-100",B:AZ,column(p1),0)*e218</f>
        <v>0</v>
      </c>
      <c r="R218">
        <f>vlookup("924-701000-100",B:AZ,column(q1),0)*e218</f>
        <v>0</v>
      </c>
      <c r="S218">
        <f>vlookup("924-701000-100",B:AZ,column(r1),0)*e218</f>
        <v>0</v>
      </c>
      <c r="T218">
        <f>vlookup("924-701000-100",B:AZ,column(s1),0)*e218</f>
        <v>0</v>
      </c>
      <c r="U218">
        <f>vlookup("924-701000-100",B:AZ,column(t1),0)*e218</f>
        <v>0</v>
      </c>
      <c r="V218">
        <f>vlookup("924-701000-100",B:AZ,column(u1),0)*e218</f>
        <v>0</v>
      </c>
      <c r="W218">
        <f>vlookup("924-701000-100",B:AZ,column(v1),0)*e218</f>
        <v>0</v>
      </c>
      <c r="X218">
        <f>vlookup("924-701000-100",B:AZ,column(w1),0)*e218</f>
        <v>0</v>
      </c>
      <c r="Y218">
        <f>vlookup("924-701000-100",B:AZ,column(x1),0)*e218</f>
        <v>0</v>
      </c>
      <c r="Z218">
        <f>vlookup("924-701000-100",B:AZ,column(y1),0)*e218</f>
        <v>0</v>
      </c>
      <c r="AA218">
        <f>vlookup("924-701000-100",B:AZ,column(z1),0)*e218</f>
        <v>0</v>
      </c>
      <c r="AB218">
        <f>vlookup("924-701000-100",B:AZ,column(aa1),0)*e218</f>
        <v>0</v>
      </c>
      <c r="AC218">
        <f>vlookup("924-701000-100",B:AZ,column(ab1),0)*e218</f>
        <v>0</v>
      </c>
      <c r="AD218">
        <f>vlookup("924-701000-100",B:AZ,column(ac1),0)*e218</f>
        <v>0</v>
      </c>
      <c r="AE218">
        <f>vlookup("924-701000-100",B:AZ,column(ad1),0)*e218</f>
        <v>0</v>
      </c>
      <c r="AF218">
        <f>vlookup("924-701000-100",B:AZ,column(ae1),0)*e218</f>
        <v>0</v>
      </c>
      <c r="AG218">
        <f>vlookup("924-701000-100",B:AZ,column(af1),0)*e218</f>
        <v>0</v>
      </c>
      <c r="AH218">
        <f>vlookup("924-701000-100",B:AZ,column(ag1),0)*e218</f>
        <v>0</v>
      </c>
      <c r="AI218">
        <f>vlookup("924-701000-100",B:AZ,column(ah1),0)*e218</f>
        <v>0</v>
      </c>
      <c r="AJ218">
        <f>vlookup("924-701000-100",B:AZ,column(ai1),0)*e218</f>
        <v>0</v>
      </c>
      <c r="AK218">
        <f>vlookup("924-701000-100",B:AZ,column(aj1),0)*e218</f>
        <v>0</v>
      </c>
      <c r="AL218">
        <f>vlookup("924-701000-100",B:AZ,column(ak1),0)*e218</f>
        <v>0</v>
      </c>
      <c r="AM218">
        <f>vlookup("924-701000-100",B:AZ,column(al1),0)*e218</f>
        <v>0</v>
      </c>
      <c r="AN218">
        <f>vlookup("924-701000-100",B:AZ,column(am1),0)*e218</f>
        <v>0</v>
      </c>
      <c r="AO218">
        <f>vlookup("924-701000-100",B:AZ,column(an1),0)*e218</f>
        <v>0</v>
      </c>
    </row>
    <row r="219" spans="1:41">
      <c r="A219" t="s">
        <v>22</v>
      </c>
      <c r="B219" t="s">
        <v>246</v>
      </c>
      <c r="C219" t="s">
        <v>247</v>
      </c>
      <c r="E219">
        <v>0.083333333</v>
      </c>
      <c r="F219" t="s">
        <v>13</v>
      </c>
      <c r="I219" t="s">
        <v>15</v>
      </c>
      <c r="J219">
        <f>vlookup("924-701000-100",B:AZ,column(i1),0)*e219</f>
        <v>0</v>
      </c>
      <c r="K219">
        <f>vlookup("924-701000-100",B:AZ,column(j1),0)*e219</f>
        <v>0</v>
      </c>
      <c r="L219">
        <f>vlookup("924-701000-100",B:AZ,column(k1),0)*e219</f>
        <v>0</v>
      </c>
      <c r="M219">
        <f>vlookup("924-701000-100",B:AZ,column(l1),0)*e219</f>
        <v>0</v>
      </c>
      <c r="N219">
        <f>vlookup("924-701000-100",B:AZ,column(m1),0)*e219</f>
        <v>0</v>
      </c>
      <c r="O219">
        <f>vlookup("924-701000-100",B:AZ,column(n1),0)*e219</f>
        <v>0</v>
      </c>
      <c r="P219">
        <f>vlookup("924-701000-100",B:AZ,column(o1),0)*e219</f>
        <v>0</v>
      </c>
      <c r="Q219">
        <f>vlookup("924-701000-100",B:AZ,column(p1),0)*e219</f>
        <v>0</v>
      </c>
      <c r="R219">
        <f>vlookup("924-701000-100",B:AZ,column(q1),0)*e219</f>
        <v>0</v>
      </c>
      <c r="S219">
        <f>vlookup("924-701000-100",B:AZ,column(r1),0)*e219</f>
        <v>0</v>
      </c>
      <c r="T219">
        <f>vlookup("924-701000-100",B:AZ,column(s1),0)*e219</f>
        <v>0</v>
      </c>
      <c r="U219">
        <f>vlookup("924-701000-100",B:AZ,column(t1),0)*e219</f>
        <v>0</v>
      </c>
      <c r="V219">
        <f>vlookup("924-701000-100",B:AZ,column(u1),0)*e219</f>
        <v>0</v>
      </c>
      <c r="W219">
        <f>vlookup("924-701000-100",B:AZ,column(v1),0)*e219</f>
        <v>0</v>
      </c>
      <c r="X219">
        <f>vlookup("924-701000-100",B:AZ,column(w1),0)*e219</f>
        <v>0</v>
      </c>
      <c r="Y219">
        <f>vlookup("924-701000-100",B:AZ,column(x1),0)*e219</f>
        <v>0</v>
      </c>
      <c r="Z219">
        <f>vlookup("924-701000-100",B:AZ,column(y1),0)*e219</f>
        <v>0</v>
      </c>
      <c r="AA219">
        <f>vlookup("924-701000-100",B:AZ,column(z1),0)*e219</f>
        <v>0</v>
      </c>
      <c r="AB219">
        <f>vlookup("924-701000-100",B:AZ,column(aa1),0)*e219</f>
        <v>0</v>
      </c>
      <c r="AC219">
        <f>vlookup("924-701000-100",B:AZ,column(ab1),0)*e219</f>
        <v>0</v>
      </c>
      <c r="AD219">
        <f>vlookup("924-701000-100",B:AZ,column(ac1),0)*e219</f>
        <v>0</v>
      </c>
      <c r="AE219">
        <f>vlookup("924-701000-100",B:AZ,column(ad1),0)*e219</f>
        <v>0</v>
      </c>
      <c r="AF219">
        <f>vlookup("924-701000-100",B:AZ,column(ae1),0)*e219</f>
        <v>0</v>
      </c>
      <c r="AG219">
        <f>vlookup("924-701000-100",B:AZ,column(af1),0)*e219</f>
        <v>0</v>
      </c>
      <c r="AH219">
        <f>vlookup("924-701000-100",B:AZ,column(ag1),0)*e219</f>
        <v>0</v>
      </c>
      <c r="AI219">
        <f>vlookup("924-701000-100",B:AZ,column(ah1),0)*e219</f>
        <v>0</v>
      </c>
      <c r="AJ219">
        <f>vlookup("924-701000-100",B:AZ,column(ai1),0)*e219</f>
        <v>0</v>
      </c>
      <c r="AK219">
        <f>vlookup("924-701000-100",B:AZ,column(aj1),0)*e219</f>
        <v>0</v>
      </c>
      <c r="AL219">
        <f>vlookup("924-701000-100",B:AZ,column(ak1),0)*e219</f>
        <v>0</v>
      </c>
      <c r="AM219">
        <f>vlookup("924-701000-100",B:AZ,column(al1),0)*e219</f>
        <v>0</v>
      </c>
      <c r="AN219">
        <f>vlookup("924-701000-100",B:AZ,column(am1),0)*e219</f>
        <v>0</v>
      </c>
      <c r="AO219">
        <f>vlookup("924-701000-100",B:AZ,column(an1),0)*e219</f>
        <v>0</v>
      </c>
    </row>
    <row r="220" spans="1:41">
      <c r="A220" t="s">
        <v>10</v>
      </c>
      <c r="B220" t="s">
        <v>248</v>
      </c>
      <c r="C220" t="s">
        <v>249</v>
      </c>
      <c r="E220">
        <v>1</v>
      </c>
      <c r="F220" t="s">
        <v>13</v>
      </c>
      <c r="I220" t="s">
        <v>14</v>
      </c>
      <c r="AO220">
        <f>sum(j220:an220)</f>
        <v>0</v>
      </c>
    </row>
    <row r="221" spans="1:41">
      <c r="I221" t="s">
        <v>15</v>
      </c>
      <c r="J221">
        <f>vlookup("924-702000-200",Out!B:AZ,column(i1),0)</f>
        <v>0</v>
      </c>
      <c r="K221">
        <f>vlookup("924-702000-200",Out!B:AZ,column(j1),0)</f>
        <v>0</v>
      </c>
      <c r="L221">
        <f>vlookup("924-702000-200",Out!B:AZ,column(k1),0)</f>
        <v>0</v>
      </c>
      <c r="M221">
        <f>vlookup("924-702000-200",Out!B:AZ,column(l1),0)</f>
        <v>0</v>
      </c>
      <c r="N221">
        <f>vlookup("924-702000-200",Out!B:AZ,column(m1),0)</f>
        <v>0</v>
      </c>
      <c r="O221">
        <f>vlookup("924-702000-200",Out!B:AZ,column(n1),0)</f>
        <v>0</v>
      </c>
      <c r="P221">
        <f>vlookup("924-702000-200",Out!B:AZ,column(o1),0)</f>
        <v>0</v>
      </c>
      <c r="Q221">
        <f>vlookup("924-702000-200",Out!B:AZ,column(p1),0)</f>
        <v>0</v>
      </c>
      <c r="R221">
        <f>vlookup("924-702000-200",Out!B:AZ,column(q1),0)</f>
        <v>0</v>
      </c>
      <c r="S221">
        <f>vlookup("924-702000-200",Out!B:AZ,column(r1),0)</f>
        <v>0</v>
      </c>
      <c r="T221">
        <f>vlookup("924-702000-200",Out!B:AZ,column(s1),0)</f>
        <v>0</v>
      </c>
      <c r="U221">
        <f>vlookup("924-702000-200",Out!B:AZ,column(t1),0)</f>
        <v>0</v>
      </c>
      <c r="V221">
        <f>vlookup("924-702000-200",Out!B:AZ,column(u1),0)</f>
        <v>0</v>
      </c>
      <c r="W221">
        <f>vlookup("924-702000-200",Out!B:AZ,column(v1),0)</f>
        <v>0</v>
      </c>
      <c r="X221">
        <f>vlookup("924-702000-200",Out!B:AZ,column(w1),0)</f>
        <v>0</v>
      </c>
      <c r="Y221">
        <f>vlookup("924-702000-200",Out!B:AZ,column(x1),0)</f>
        <v>0</v>
      </c>
      <c r="Z221">
        <f>vlookup("924-702000-200",Out!B:AZ,column(y1),0)</f>
        <v>0</v>
      </c>
      <c r="AA221">
        <f>vlookup("924-702000-200",Out!B:AZ,column(z1),0)</f>
        <v>0</v>
      </c>
      <c r="AB221">
        <f>vlookup("924-702000-200",Out!B:AZ,column(aa1),0)</f>
        <v>0</v>
      </c>
      <c r="AC221">
        <f>vlookup("924-702000-200",Out!B:AZ,column(ab1),0)</f>
        <v>0</v>
      </c>
      <c r="AD221">
        <f>vlookup("924-702000-200",Out!B:AZ,column(ac1),0)</f>
        <v>0</v>
      </c>
      <c r="AE221">
        <f>vlookup("924-702000-200",Out!B:AZ,column(ad1),0)</f>
        <v>0</v>
      </c>
      <c r="AF221">
        <f>vlookup("924-702000-200",Out!B:AZ,column(ae1),0)</f>
        <v>0</v>
      </c>
      <c r="AG221">
        <f>vlookup("924-702000-200",Out!B:AZ,column(af1),0)</f>
        <v>0</v>
      </c>
      <c r="AH221">
        <f>vlookup("924-702000-200",Out!B:AZ,column(ag1),0)</f>
        <v>0</v>
      </c>
      <c r="AI221">
        <f>vlookup("924-702000-200",Out!B:AZ,column(ah1),0)</f>
        <v>0</v>
      </c>
      <c r="AJ221">
        <f>vlookup("924-702000-200",Out!B:AZ,column(ai1),0)</f>
        <v>0</v>
      </c>
      <c r="AK221">
        <f>vlookup("924-702000-200",Out!B:AZ,column(aj1),0)</f>
        <v>0</v>
      </c>
      <c r="AL221">
        <f>vlookup("924-702000-200",Out!B:AZ,column(ak1),0)</f>
        <v>0</v>
      </c>
      <c r="AM221">
        <f>vlookup("924-702000-200",Out!B:AZ,column(al1),0)</f>
        <v>0</v>
      </c>
      <c r="AN221">
        <f>vlookup("924-702000-200",Out!B:AZ,column(am1),0)</f>
        <v>0</v>
      </c>
      <c r="AO221">
        <f>vlookup("924-702000-200",Out!B:AZ,column(an1),0)</f>
        <v>0</v>
      </c>
    </row>
    <row r="222" spans="1:41">
      <c r="H222" t="s">
        <v>16</v>
      </c>
      <c r="J222">
        <f>indirect(address(222,9))+indirect(address(220,10))-indirect(address(221,10))</f>
        <v>0</v>
      </c>
      <c r="K222">
        <f>indirect(address(222,10))+indirect(address(220,11))-indirect(address(221,11))</f>
        <v>0</v>
      </c>
      <c r="L222">
        <f>indirect(address(222,11))+indirect(address(220,12))-indirect(address(221,12))</f>
        <v>0</v>
      </c>
      <c r="M222">
        <f>indirect(address(222,12))+indirect(address(220,13))-indirect(address(221,13))</f>
        <v>0</v>
      </c>
      <c r="N222">
        <f>indirect(address(222,13))+indirect(address(220,14))-indirect(address(221,14))</f>
        <v>0</v>
      </c>
      <c r="O222">
        <f>indirect(address(222,14))+indirect(address(220,15))-indirect(address(221,15))</f>
        <v>0</v>
      </c>
      <c r="P222">
        <f>indirect(address(222,15))+indirect(address(220,16))-indirect(address(221,16))</f>
        <v>0</v>
      </c>
      <c r="Q222">
        <f>indirect(address(222,16))+indirect(address(220,17))-indirect(address(221,17))</f>
        <v>0</v>
      </c>
      <c r="R222">
        <f>indirect(address(222,17))+indirect(address(220,18))-indirect(address(221,18))</f>
        <v>0</v>
      </c>
      <c r="S222">
        <f>indirect(address(222,18))+indirect(address(220,19))-indirect(address(221,19))</f>
        <v>0</v>
      </c>
      <c r="T222">
        <f>indirect(address(222,19))+indirect(address(220,20))-indirect(address(221,20))</f>
        <v>0</v>
      </c>
      <c r="U222">
        <f>indirect(address(222,20))+indirect(address(220,21))-indirect(address(221,21))</f>
        <v>0</v>
      </c>
      <c r="V222">
        <f>indirect(address(222,21))+indirect(address(220,22))-indirect(address(221,22))</f>
        <v>0</v>
      </c>
      <c r="W222">
        <f>indirect(address(222,22))+indirect(address(220,23))-indirect(address(221,23))</f>
        <v>0</v>
      </c>
      <c r="X222">
        <f>indirect(address(222,23))+indirect(address(220,24))-indirect(address(221,24))</f>
        <v>0</v>
      </c>
      <c r="Y222">
        <f>indirect(address(222,24))+indirect(address(220,25))-indirect(address(221,25))</f>
        <v>0</v>
      </c>
      <c r="Z222">
        <f>indirect(address(222,25))+indirect(address(220,26))-indirect(address(221,26))</f>
        <v>0</v>
      </c>
      <c r="AA222">
        <f>indirect(address(222,26))+indirect(address(220,27))-indirect(address(221,27))</f>
        <v>0</v>
      </c>
      <c r="AB222">
        <f>indirect(address(222,27))+indirect(address(220,28))-indirect(address(221,28))</f>
        <v>0</v>
      </c>
      <c r="AC222">
        <f>indirect(address(222,28))+indirect(address(220,29))-indirect(address(221,29))</f>
        <v>0</v>
      </c>
      <c r="AD222">
        <f>indirect(address(222,29))+indirect(address(220,30))-indirect(address(221,30))</f>
        <v>0</v>
      </c>
      <c r="AE222">
        <f>indirect(address(222,30))+indirect(address(220,31))-indirect(address(221,31))</f>
        <v>0</v>
      </c>
      <c r="AF222">
        <f>indirect(address(222,31))+indirect(address(220,32))-indirect(address(221,32))</f>
        <v>0</v>
      </c>
      <c r="AG222">
        <f>indirect(address(222,32))+indirect(address(220,33))-indirect(address(221,33))</f>
        <v>0</v>
      </c>
      <c r="AH222">
        <f>indirect(address(222,33))+indirect(address(220,34))-indirect(address(221,34))</f>
        <v>0</v>
      </c>
      <c r="AI222">
        <f>indirect(address(222,34))+indirect(address(220,35))-indirect(address(221,35))</f>
        <v>0</v>
      </c>
      <c r="AJ222">
        <f>indirect(address(222,35))+indirect(address(220,36))-indirect(address(221,36))</f>
        <v>0</v>
      </c>
      <c r="AK222">
        <f>indirect(address(222,36))+indirect(address(220,37))-indirect(address(221,37))</f>
        <v>0</v>
      </c>
      <c r="AL222">
        <f>indirect(address(222,37))+indirect(address(220,38))-indirect(address(221,38))</f>
        <v>0</v>
      </c>
      <c r="AM222">
        <f>indirect(address(222,38))+indirect(address(220,39))-indirect(address(221,39))</f>
        <v>0</v>
      </c>
      <c r="AN222">
        <f>indirect(address(222,39))+indirect(address(220,40))-indirect(address(221,40))</f>
        <v>0</v>
      </c>
      <c r="AO222">
        <f>indirect(address(222,40))</f>
        <v>0</v>
      </c>
    </row>
    <row r="223" spans="1:41">
      <c r="A223" t="s">
        <v>17</v>
      </c>
      <c r="B223" t="s">
        <v>250</v>
      </c>
      <c r="C223" t="s">
        <v>251</v>
      </c>
      <c r="E223">
        <v>1</v>
      </c>
      <c r="F223" t="s">
        <v>13</v>
      </c>
      <c r="I223" t="s">
        <v>15</v>
      </c>
      <c r="J223">
        <f>vlookup("924-702000-200",B:AZ,column(i1),0)*e223</f>
        <v>0</v>
      </c>
      <c r="K223">
        <f>vlookup("924-702000-200",B:AZ,column(j1),0)*e223</f>
        <v>0</v>
      </c>
      <c r="L223">
        <f>vlookup("924-702000-200",B:AZ,column(k1),0)*e223</f>
        <v>0</v>
      </c>
      <c r="M223">
        <f>vlookup("924-702000-200",B:AZ,column(l1),0)*e223</f>
        <v>0</v>
      </c>
      <c r="N223">
        <f>vlookup("924-702000-200",B:AZ,column(m1),0)*e223</f>
        <v>0</v>
      </c>
      <c r="O223">
        <f>vlookup("924-702000-200",B:AZ,column(n1),0)*e223</f>
        <v>0</v>
      </c>
      <c r="P223">
        <f>vlookup("924-702000-200",B:AZ,column(o1),0)*e223</f>
        <v>0</v>
      </c>
      <c r="Q223">
        <f>vlookup("924-702000-200",B:AZ,column(p1),0)*e223</f>
        <v>0</v>
      </c>
      <c r="R223">
        <f>vlookup("924-702000-200",B:AZ,column(q1),0)*e223</f>
        <v>0</v>
      </c>
      <c r="S223">
        <f>vlookup("924-702000-200",B:AZ,column(r1),0)*e223</f>
        <v>0</v>
      </c>
      <c r="T223">
        <f>vlookup("924-702000-200",B:AZ,column(s1),0)*e223</f>
        <v>0</v>
      </c>
      <c r="U223">
        <f>vlookup("924-702000-200",B:AZ,column(t1),0)*e223</f>
        <v>0</v>
      </c>
      <c r="V223">
        <f>vlookup("924-702000-200",B:AZ,column(u1),0)*e223</f>
        <v>0</v>
      </c>
      <c r="W223">
        <f>vlookup("924-702000-200",B:AZ,column(v1),0)*e223</f>
        <v>0</v>
      </c>
      <c r="X223">
        <f>vlookup("924-702000-200",B:AZ,column(w1),0)*e223</f>
        <v>0</v>
      </c>
      <c r="Y223">
        <f>vlookup("924-702000-200",B:AZ,column(x1),0)*e223</f>
        <v>0</v>
      </c>
      <c r="Z223">
        <f>vlookup("924-702000-200",B:AZ,column(y1),0)*e223</f>
        <v>0</v>
      </c>
      <c r="AA223">
        <f>vlookup("924-702000-200",B:AZ,column(z1),0)*e223</f>
        <v>0</v>
      </c>
      <c r="AB223">
        <f>vlookup("924-702000-200",B:AZ,column(aa1),0)*e223</f>
        <v>0</v>
      </c>
      <c r="AC223">
        <f>vlookup("924-702000-200",B:AZ,column(ab1),0)*e223</f>
        <v>0</v>
      </c>
      <c r="AD223">
        <f>vlookup("924-702000-200",B:AZ,column(ac1),0)*e223</f>
        <v>0</v>
      </c>
      <c r="AE223">
        <f>vlookup("924-702000-200",B:AZ,column(ad1),0)*e223</f>
        <v>0</v>
      </c>
      <c r="AF223">
        <f>vlookup("924-702000-200",B:AZ,column(ae1),0)*e223</f>
        <v>0</v>
      </c>
      <c r="AG223">
        <f>vlookup("924-702000-200",B:AZ,column(af1),0)*e223</f>
        <v>0</v>
      </c>
      <c r="AH223">
        <f>vlookup("924-702000-200",B:AZ,column(ag1),0)*e223</f>
        <v>0</v>
      </c>
      <c r="AI223">
        <f>vlookup("924-702000-200",B:AZ,column(ah1),0)*e223</f>
        <v>0</v>
      </c>
      <c r="AJ223">
        <f>vlookup("924-702000-200",B:AZ,column(ai1),0)*e223</f>
        <v>0</v>
      </c>
      <c r="AK223">
        <f>vlookup("924-702000-200",B:AZ,column(aj1),0)*e223</f>
        <v>0</v>
      </c>
      <c r="AL223">
        <f>vlookup("924-702000-200",B:AZ,column(ak1),0)*e223</f>
        <v>0</v>
      </c>
      <c r="AM223">
        <f>vlookup("924-702000-200",B:AZ,column(al1),0)*e223</f>
        <v>0</v>
      </c>
      <c r="AN223">
        <f>vlookup("924-702000-200",B:AZ,column(am1),0)*e223</f>
        <v>0</v>
      </c>
      <c r="AO223">
        <f>vlookup("924-702000-200",B:AZ,column(an1),0)*e223</f>
        <v>0</v>
      </c>
    </row>
    <row r="224" spans="1:41">
      <c r="A224" t="s">
        <v>17</v>
      </c>
      <c r="B224" t="s">
        <v>252</v>
      </c>
      <c r="C224" t="s">
        <v>253</v>
      </c>
      <c r="E224">
        <v>1</v>
      </c>
      <c r="F224" t="s">
        <v>13</v>
      </c>
      <c r="I224" t="s">
        <v>15</v>
      </c>
      <c r="J224">
        <f>vlookup("924-702000-200",B:AZ,column(i1),0)*e224</f>
        <v>0</v>
      </c>
      <c r="K224">
        <f>vlookup("924-702000-200",B:AZ,column(j1),0)*e224</f>
        <v>0</v>
      </c>
      <c r="L224">
        <f>vlookup("924-702000-200",B:AZ,column(k1),0)*e224</f>
        <v>0</v>
      </c>
      <c r="M224">
        <f>vlookup("924-702000-200",B:AZ,column(l1),0)*e224</f>
        <v>0</v>
      </c>
      <c r="N224">
        <f>vlookup("924-702000-200",B:AZ,column(m1),0)*e224</f>
        <v>0</v>
      </c>
      <c r="O224">
        <f>vlookup("924-702000-200",B:AZ,column(n1),0)*e224</f>
        <v>0</v>
      </c>
      <c r="P224">
        <f>vlookup("924-702000-200",B:AZ,column(o1),0)*e224</f>
        <v>0</v>
      </c>
      <c r="Q224">
        <f>vlookup("924-702000-200",B:AZ,column(p1),0)*e224</f>
        <v>0</v>
      </c>
      <c r="R224">
        <f>vlookup("924-702000-200",B:AZ,column(q1),0)*e224</f>
        <v>0</v>
      </c>
      <c r="S224">
        <f>vlookup("924-702000-200",B:AZ,column(r1),0)*e224</f>
        <v>0</v>
      </c>
      <c r="T224">
        <f>vlookup("924-702000-200",B:AZ,column(s1),0)*e224</f>
        <v>0</v>
      </c>
      <c r="U224">
        <f>vlookup("924-702000-200",B:AZ,column(t1),0)*e224</f>
        <v>0</v>
      </c>
      <c r="V224">
        <f>vlookup("924-702000-200",B:AZ,column(u1),0)*e224</f>
        <v>0</v>
      </c>
      <c r="W224">
        <f>vlookup("924-702000-200",B:AZ,column(v1),0)*e224</f>
        <v>0</v>
      </c>
      <c r="X224">
        <f>vlookup("924-702000-200",B:AZ,column(w1),0)*e224</f>
        <v>0</v>
      </c>
      <c r="Y224">
        <f>vlookup("924-702000-200",B:AZ,column(x1),0)*e224</f>
        <v>0</v>
      </c>
      <c r="Z224">
        <f>vlookup("924-702000-200",B:AZ,column(y1),0)*e224</f>
        <v>0</v>
      </c>
      <c r="AA224">
        <f>vlookup("924-702000-200",B:AZ,column(z1),0)*e224</f>
        <v>0</v>
      </c>
      <c r="AB224">
        <f>vlookup("924-702000-200",B:AZ,column(aa1),0)*e224</f>
        <v>0</v>
      </c>
      <c r="AC224">
        <f>vlookup("924-702000-200",B:AZ,column(ab1),0)*e224</f>
        <v>0</v>
      </c>
      <c r="AD224">
        <f>vlookup("924-702000-200",B:AZ,column(ac1),0)*e224</f>
        <v>0</v>
      </c>
      <c r="AE224">
        <f>vlookup("924-702000-200",B:AZ,column(ad1),0)*e224</f>
        <v>0</v>
      </c>
      <c r="AF224">
        <f>vlookup("924-702000-200",B:AZ,column(ae1),0)*e224</f>
        <v>0</v>
      </c>
      <c r="AG224">
        <f>vlookup("924-702000-200",B:AZ,column(af1),0)*e224</f>
        <v>0</v>
      </c>
      <c r="AH224">
        <f>vlookup("924-702000-200",B:AZ,column(ag1),0)*e224</f>
        <v>0</v>
      </c>
      <c r="AI224">
        <f>vlookup("924-702000-200",B:AZ,column(ah1),0)*e224</f>
        <v>0</v>
      </c>
      <c r="AJ224">
        <f>vlookup("924-702000-200",B:AZ,column(ai1),0)*e224</f>
        <v>0</v>
      </c>
      <c r="AK224">
        <f>vlookup("924-702000-200",B:AZ,column(aj1),0)*e224</f>
        <v>0</v>
      </c>
      <c r="AL224">
        <f>vlookup("924-702000-200",B:AZ,column(ak1),0)*e224</f>
        <v>0</v>
      </c>
      <c r="AM224">
        <f>vlookup("924-702000-200",B:AZ,column(al1),0)*e224</f>
        <v>0</v>
      </c>
      <c r="AN224">
        <f>vlookup("924-702000-200",B:AZ,column(am1),0)*e224</f>
        <v>0</v>
      </c>
      <c r="AO224">
        <f>vlookup("924-702000-200",B:AZ,column(an1),0)*e224</f>
        <v>0</v>
      </c>
    </row>
    <row r="225" spans="1:41">
      <c r="A225" t="s">
        <v>17</v>
      </c>
      <c r="B225" t="s">
        <v>254</v>
      </c>
      <c r="C225" t="s">
        <v>253</v>
      </c>
      <c r="E225">
        <v>1</v>
      </c>
      <c r="F225" t="s">
        <v>13</v>
      </c>
      <c r="I225" t="s">
        <v>15</v>
      </c>
      <c r="J225">
        <f>vlookup("924-702000-200",B:AZ,column(i1),0)*e225</f>
        <v>0</v>
      </c>
      <c r="K225">
        <f>vlookup("924-702000-200",B:AZ,column(j1),0)*e225</f>
        <v>0</v>
      </c>
      <c r="L225">
        <f>vlookup("924-702000-200",B:AZ,column(k1),0)*e225</f>
        <v>0</v>
      </c>
      <c r="M225">
        <f>vlookup("924-702000-200",B:AZ,column(l1),0)*e225</f>
        <v>0</v>
      </c>
      <c r="N225">
        <f>vlookup("924-702000-200",B:AZ,column(m1),0)*e225</f>
        <v>0</v>
      </c>
      <c r="O225">
        <f>vlookup("924-702000-200",B:AZ,column(n1),0)*e225</f>
        <v>0</v>
      </c>
      <c r="P225">
        <f>vlookup("924-702000-200",B:AZ,column(o1),0)*e225</f>
        <v>0</v>
      </c>
      <c r="Q225">
        <f>vlookup("924-702000-200",B:AZ,column(p1),0)*e225</f>
        <v>0</v>
      </c>
      <c r="R225">
        <f>vlookup("924-702000-200",B:AZ,column(q1),0)*e225</f>
        <v>0</v>
      </c>
      <c r="S225">
        <f>vlookup("924-702000-200",B:AZ,column(r1),0)*e225</f>
        <v>0</v>
      </c>
      <c r="T225">
        <f>vlookup("924-702000-200",B:AZ,column(s1),0)*e225</f>
        <v>0</v>
      </c>
      <c r="U225">
        <f>vlookup("924-702000-200",B:AZ,column(t1),0)*e225</f>
        <v>0</v>
      </c>
      <c r="V225">
        <f>vlookup("924-702000-200",B:AZ,column(u1),0)*e225</f>
        <v>0</v>
      </c>
      <c r="W225">
        <f>vlookup("924-702000-200",B:AZ,column(v1),0)*e225</f>
        <v>0</v>
      </c>
      <c r="X225">
        <f>vlookup("924-702000-200",B:AZ,column(w1),0)*e225</f>
        <v>0</v>
      </c>
      <c r="Y225">
        <f>vlookup("924-702000-200",B:AZ,column(x1),0)*e225</f>
        <v>0</v>
      </c>
      <c r="Z225">
        <f>vlookup("924-702000-200",B:AZ,column(y1),0)*e225</f>
        <v>0</v>
      </c>
      <c r="AA225">
        <f>vlookup("924-702000-200",B:AZ,column(z1),0)*e225</f>
        <v>0</v>
      </c>
      <c r="AB225">
        <f>vlookup("924-702000-200",B:AZ,column(aa1),0)*e225</f>
        <v>0</v>
      </c>
      <c r="AC225">
        <f>vlookup("924-702000-200",B:AZ,column(ab1),0)*e225</f>
        <v>0</v>
      </c>
      <c r="AD225">
        <f>vlookup("924-702000-200",B:AZ,column(ac1),0)*e225</f>
        <v>0</v>
      </c>
      <c r="AE225">
        <f>vlookup("924-702000-200",B:AZ,column(ad1),0)*e225</f>
        <v>0</v>
      </c>
      <c r="AF225">
        <f>vlookup("924-702000-200",B:AZ,column(ae1),0)*e225</f>
        <v>0</v>
      </c>
      <c r="AG225">
        <f>vlookup("924-702000-200",B:AZ,column(af1),0)*e225</f>
        <v>0</v>
      </c>
      <c r="AH225">
        <f>vlookup("924-702000-200",B:AZ,column(ag1),0)*e225</f>
        <v>0</v>
      </c>
      <c r="AI225">
        <f>vlookup("924-702000-200",B:AZ,column(ah1),0)*e225</f>
        <v>0</v>
      </c>
      <c r="AJ225">
        <f>vlookup("924-702000-200",B:AZ,column(ai1),0)*e225</f>
        <v>0</v>
      </c>
      <c r="AK225">
        <f>vlookup("924-702000-200",B:AZ,column(aj1),0)*e225</f>
        <v>0</v>
      </c>
      <c r="AL225">
        <f>vlookup("924-702000-200",B:AZ,column(ak1),0)*e225</f>
        <v>0</v>
      </c>
      <c r="AM225">
        <f>vlookup("924-702000-200",B:AZ,column(al1),0)*e225</f>
        <v>0</v>
      </c>
      <c r="AN225">
        <f>vlookup("924-702000-200",B:AZ,column(am1),0)*e225</f>
        <v>0</v>
      </c>
      <c r="AO225">
        <f>vlookup("924-702000-200",B:AZ,column(an1),0)*e225</f>
        <v>0</v>
      </c>
    </row>
    <row r="226" spans="1:41">
      <c r="A226" t="s">
        <v>17</v>
      </c>
      <c r="B226" t="s">
        <v>255</v>
      </c>
      <c r="C226" t="s">
        <v>253</v>
      </c>
      <c r="E226">
        <v>1</v>
      </c>
      <c r="F226" t="s">
        <v>13</v>
      </c>
      <c r="I226" t="s">
        <v>15</v>
      </c>
      <c r="J226">
        <f>vlookup("924-702000-200",B:AZ,column(i1),0)*e226</f>
        <v>0</v>
      </c>
      <c r="K226">
        <f>vlookup("924-702000-200",B:AZ,column(j1),0)*e226</f>
        <v>0</v>
      </c>
      <c r="L226">
        <f>vlookup("924-702000-200",B:AZ,column(k1),0)*e226</f>
        <v>0</v>
      </c>
      <c r="M226">
        <f>vlookup("924-702000-200",B:AZ,column(l1),0)*e226</f>
        <v>0</v>
      </c>
      <c r="N226">
        <f>vlookup("924-702000-200",B:AZ,column(m1),0)*e226</f>
        <v>0</v>
      </c>
      <c r="O226">
        <f>vlookup("924-702000-200",B:AZ,column(n1),0)*e226</f>
        <v>0</v>
      </c>
      <c r="P226">
        <f>vlookup("924-702000-200",B:AZ,column(o1),0)*e226</f>
        <v>0</v>
      </c>
      <c r="Q226">
        <f>vlookup("924-702000-200",B:AZ,column(p1),0)*e226</f>
        <v>0</v>
      </c>
      <c r="R226">
        <f>vlookup("924-702000-200",B:AZ,column(q1),0)*e226</f>
        <v>0</v>
      </c>
      <c r="S226">
        <f>vlookup("924-702000-200",B:AZ,column(r1),0)*e226</f>
        <v>0</v>
      </c>
      <c r="T226">
        <f>vlookup("924-702000-200",B:AZ,column(s1),0)*e226</f>
        <v>0</v>
      </c>
      <c r="U226">
        <f>vlookup("924-702000-200",B:AZ,column(t1),0)*e226</f>
        <v>0</v>
      </c>
      <c r="V226">
        <f>vlookup("924-702000-200",B:AZ,column(u1),0)*e226</f>
        <v>0</v>
      </c>
      <c r="W226">
        <f>vlookup("924-702000-200",B:AZ,column(v1),0)*e226</f>
        <v>0</v>
      </c>
      <c r="X226">
        <f>vlookup("924-702000-200",B:AZ,column(w1),0)*e226</f>
        <v>0</v>
      </c>
      <c r="Y226">
        <f>vlookup("924-702000-200",B:AZ,column(x1),0)*e226</f>
        <v>0</v>
      </c>
      <c r="Z226">
        <f>vlookup("924-702000-200",B:AZ,column(y1),0)*e226</f>
        <v>0</v>
      </c>
      <c r="AA226">
        <f>vlookup("924-702000-200",B:AZ,column(z1),0)*e226</f>
        <v>0</v>
      </c>
      <c r="AB226">
        <f>vlookup("924-702000-200",B:AZ,column(aa1),0)*e226</f>
        <v>0</v>
      </c>
      <c r="AC226">
        <f>vlookup("924-702000-200",B:AZ,column(ab1),0)*e226</f>
        <v>0</v>
      </c>
      <c r="AD226">
        <f>vlookup("924-702000-200",B:AZ,column(ac1),0)*e226</f>
        <v>0</v>
      </c>
      <c r="AE226">
        <f>vlookup("924-702000-200",B:AZ,column(ad1),0)*e226</f>
        <v>0</v>
      </c>
      <c r="AF226">
        <f>vlookup("924-702000-200",B:AZ,column(ae1),0)*e226</f>
        <v>0</v>
      </c>
      <c r="AG226">
        <f>vlookup("924-702000-200",B:AZ,column(af1),0)*e226</f>
        <v>0</v>
      </c>
      <c r="AH226">
        <f>vlookup("924-702000-200",B:AZ,column(ag1),0)*e226</f>
        <v>0</v>
      </c>
      <c r="AI226">
        <f>vlookup("924-702000-200",B:AZ,column(ah1),0)*e226</f>
        <v>0</v>
      </c>
      <c r="AJ226">
        <f>vlookup("924-702000-200",B:AZ,column(ai1),0)*e226</f>
        <v>0</v>
      </c>
      <c r="AK226">
        <f>vlookup("924-702000-200",B:AZ,column(aj1),0)*e226</f>
        <v>0</v>
      </c>
      <c r="AL226">
        <f>vlookup("924-702000-200",B:AZ,column(ak1),0)*e226</f>
        <v>0</v>
      </c>
      <c r="AM226">
        <f>vlookup("924-702000-200",B:AZ,column(al1),0)*e226</f>
        <v>0</v>
      </c>
      <c r="AN226">
        <f>vlookup("924-702000-200",B:AZ,column(am1),0)*e226</f>
        <v>0</v>
      </c>
      <c r="AO226">
        <f>vlookup("924-702000-200",B:AZ,column(an1),0)*e226</f>
        <v>0</v>
      </c>
    </row>
    <row r="227" spans="1:41">
      <c r="A227" t="s">
        <v>17</v>
      </c>
      <c r="B227" t="s">
        <v>256</v>
      </c>
      <c r="C227" t="s">
        <v>253</v>
      </c>
      <c r="E227">
        <v>1</v>
      </c>
      <c r="F227" t="s">
        <v>13</v>
      </c>
      <c r="I227" t="s">
        <v>15</v>
      </c>
      <c r="J227">
        <f>vlookup("924-702000-200",B:AZ,column(i1),0)*e227</f>
        <v>0</v>
      </c>
      <c r="K227">
        <f>vlookup("924-702000-200",B:AZ,column(j1),0)*e227</f>
        <v>0</v>
      </c>
      <c r="L227">
        <f>vlookup("924-702000-200",B:AZ,column(k1),0)*e227</f>
        <v>0</v>
      </c>
      <c r="M227">
        <f>vlookup("924-702000-200",B:AZ,column(l1),0)*e227</f>
        <v>0</v>
      </c>
      <c r="N227">
        <f>vlookup("924-702000-200",B:AZ,column(m1),0)*e227</f>
        <v>0</v>
      </c>
      <c r="O227">
        <f>vlookup("924-702000-200",B:AZ,column(n1),0)*e227</f>
        <v>0</v>
      </c>
      <c r="P227">
        <f>vlookup("924-702000-200",B:AZ,column(o1),0)*e227</f>
        <v>0</v>
      </c>
      <c r="Q227">
        <f>vlookup("924-702000-200",B:AZ,column(p1),0)*e227</f>
        <v>0</v>
      </c>
      <c r="R227">
        <f>vlookup("924-702000-200",B:AZ,column(q1),0)*e227</f>
        <v>0</v>
      </c>
      <c r="S227">
        <f>vlookup("924-702000-200",B:AZ,column(r1),0)*e227</f>
        <v>0</v>
      </c>
      <c r="T227">
        <f>vlookup("924-702000-200",B:AZ,column(s1),0)*e227</f>
        <v>0</v>
      </c>
      <c r="U227">
        <f>vlookup("924-702000-200",B:AZ,column(t1),0)*e227</f>
        <v>0</v>
      </c>
      <c r="V227">
        <f>vlookup("924-702000-200",B:AZ,column(u1),0)*e227</f>
        <v>0</v>
      </c>
      <c r="W227">
        <f>vlookup("924-702000-200",B:AZ,column(v1),0)*e227</f>
        <v>0</v>
      </c>
      <c r="X227">
        <f>vlookup("924-702000-200",B:AZ,column(w1),0)*e227</f>
        <v>0</v>
      </c>
      <c r="Y227">
        <f>vlookup("924-702000-200",B:AZ,column(x1),0)*e227</f>
        <v>0</v>
      </c>
      <c r="Z227">
        <f>vlookup("924-702000-200",B:AZ,column(y1),0)*e227</f>
        <v>0</v>
      </c>
      <c r="AA227">
        <f>vlookup("924-702000-200",B:AZ,column(z1),0)*e227</f>
        <v>0</v>
      </c>
      <c r="AB227">
        <f>vlookup("924-702000-200",B:AZ,column(aa1),0)*e227</f>
        <v>0</v>
      </c>
      <c r="AC227">
        <f>vlookup("924-702000-200",B:AZ,column(ab1),0)*e227</f>
        <v>0</v>
      </c>
      <c r="AD227">
        <f>vlookup("924-702000-200",B:AZ,column(ac1),0)*e227</f>
        <v>0</v>
      </c>
      <c r="AE227">
        <f>vlookup("924-702000-200",B:AZ,column(ad1),0)*e227</f>
        <v>0</v>
      </c>
      <c r="AF227">
        <f>vlookup("924-702000-200",B:AZ,column(ae1),0)*e227</f>
        <v>0</v>
      </c>
      <c r="AG227">
        <f>vlookup("924-702000-200",B:AZ,column(af1),0)*e227</f>
        <v>0</v>
      </c>
      <c r="AH227">
        <f>vlookup("924-702000-200",B:AZ,column(ag1),0)*e227</f>
        <v>0</v>
      </c>
      <c r="AI227">
        <f>vlookup("924-702000-200",B:AZ,column(ah1),0)*e227</f>
        <v>0</v>
      </c>
      <c r="AJ227">
        <f>vlookup("924-702000-200",B:AZ,column(ai1),0)*e227</f>
        <v>0</v>
      </c>
      <c r="AK227">
        <f>vlookup("924-702000-200",B:AZ,column(aj1),0)*e227</f>
        <v>0</v>
      </c>
      <c r="AL227">
        <f>vlookup("924-702000-200",B:AZ,column(ak1),0)*e227</f>
        <v>0</v>
      </c>
      <c r="AM227">
        <f>vlookup("924-702000-200",B:AZ,column(al1),0)*e227</f>
        <v>0</v>
      </c>
      <c r="AN227">
        <f>vlookup("924-702000-200",B:AZ,column(am1),0)*e227</f>
        <v>0</v>
      </c>
      <c r="AO227">
        <f>vlookup("924-702000-200",B:AZ,column(an1),0)*e227</f>
        <v>0</v>
      </c>
    </row>
    <row r="228" spans="1:41">
      <c r="A228" t="s">
        <v>17</v>
      </c>
      <c r="B228" t="s">
        <v>257</v>
      </c>
      <c r="C228" t="s">
        <v>258</v>
      </c>
      <c r="E228">
        <v>2</v>
      </c>
      <c r="F228" t="s">
        <v>13</v>
      </c>
      <c r="I228" t="s">
        <v>15</v>
      </c>
      <c r="J228">
        <f>vlookup("924-702000-200",B:AZ,column(i1),0)*e228</f>
        <v>0</v>
      </c>
      <c r="K228">
        <f>vlookup("924-702000-200",B:AZ,column(j1),0)*e228</f>
        <v>0</v>
      </c>
      <c r="L228">
        <f>vlookup("924-702000-200",B:AZ,column(k1),0)*e228</f>
        <v>0</v>
      </c>
      <c r="M228">
        <f>vlookup("924-702000-200",B:AZ,column(l1),0)*e228</f>
        <v>0</v>
      </c>
      <c r="N228">
        <f>vlookup("924-702000-200",B:AZ,column(m1),0)*e228</f>
        <v>0</v>
      </c>
      <c r="O228">
        <f>vlookup("924-702000-200",B:AZ,column(n1),0)*e228</f>
        <v>0</v>
      </c>
      <c r="P228">
        <f>vlookup("924-702000-200",B:AZ,column(o1),0)*e228</f>
        <v>0</v>
      </c>
      <c r="Q228">
        <f>vlookup("924-702000-200",B:AZ,column(p1),0)*e228</f>
        <v>0</v>
      </c>
      <c r="R228">
        <f>vlookup("924-702000-200",B:AZ,column(q1),0)*e228</f>
        <v>0</v>
      </c>
      <c r="S228">
        <f>vlookup("924-702000-200",B:AZ,column(r1),0)*e228</f>
        <v>0</v>
      </c>
      <c r="T228">
        <f>vlookup("924-702000-200",B:AZ,column(s1),0)*e228</f>
        <v>0</v>
      </c>
      <c r="U228">
        <f>vlookup("924-702000-200",B:AZ,column(t1),0)*e228</f>
        <v>0</v>
      </c>
      <c r="V228">
        <f>vlookup("924-702000-200",B:AZ,column(u1),0)*e228</f>
        <v>0</v>
      </c>
      <c r="W228">
        <f>vlookup("924-702000-200",B:AZ,column(v1),0)*e228</f>
        <v>0</v>
      </c>
      <c r="X228">
        <f>vlookup("924-702000-200",B:AZ,column(w1),0)*e228</f>
        <v>0</v>
      </c>
      <c r="Y228">
        <f>vlookup("924-702000-200",B:AZ,column(x1),0)*e228</f>
        <v>0</v>
      </c>
      <c r="Z228">
        <f>vlookup("924-702000-200",B:AZ,column(y1),0)*e228</f>
        <v>0</v>
      </c>
      <c r="AA228">
        <f>vlookup("924-702000-200",B:AZ,column(z1),0)*e228</f>
        <v>0</v>
      </c>
      <c r="AB228">
        <f>vlookup("924-702000-200",B:AZ,column(aa1),0)*e228</f>
        <v>0</v>
      </c>
      <c r="AC228">
        <f>vlookup("924-702000-200",B:AZ,column(ab1),0)*e228</f>
        <v>0</v>
      </c>
      <c r="AD228">
        <f>vlookup("924-702000-200",B:AZ,column(ac1),0)*e228</f>
        <v>0</v>
      </c>
      <c r="AE228">
        <f>vlookup("924-702000-200",B:AZ,column(ad1),0)*e228</f>
        <v>0</v>
      </c>
      <c r="AF228">
        <f>vlookup("924-702000-200",B:AZ,column(ae1),0)*e228</f>
        <v>0</v>
      </c>
      <c r="AG228">
        <f>vlookup("924-702000-200",B:AZ,column(af1),0)*e228</f>
        <v>0</v>
      </c>
      <c r="AH228">
        <f>vlookup("924-702000-200",B:AZ,column(ag1),0)*e228</f>
        <v>0</v>
      </c>
      <c r="AI228">
        <f>vlookup("924-702000-200",B:AZ,column(ah1),0)*e228</f>
        <v>0</v>
      </c>
      <c r="AJ228">
        <f>vlookup("924-702000-200",B:AZ,column(ai1),0)*e228</f>
        <v>0</v>
      </c>
      <c r="AK228">
        <f>vlookup("924-702000-200",B:AZ,column(aj1),0)*e228</f>
        <v>0</v>
      </c>
      <c r="AL228">
        <f>vlookup("924-702000-200",B:AZ,column(ak1),0)*e228</f>
        <v>0</v>
      </c>
      <c r="AM228">
        <f>vlookup("924-702000-200",B:AZ,column(al1),0)*e228</f>
        <v>0</v>
      </c>
      <c r="AN228">
        <f>vlookup("924-702000-200",B:AZ,column(am1),0)*e228</f>
        <v>0</v>
      </c>
      <c r="AO228">
        <f>vlookup("924-702000-200",B:AZ,column(an1),0)*e228</f>
        <v>0</v>
      </c>
    </row>
    <row r="229" spans="1:41">
      <c r="A229" t="s">
        <v>22</v>
      </c>
      <c r="B229" t="s">
        <v>259</v>
      </c>
      <c r="C229" t="s">
        <v>260</v>
      </c>
      <c r="E229">
        <v>8</v>
      </c>
      <c r="F229" t="s">
        <v>13</v>
      </c>
      <c r="I229" t="s">
        <v>15</v>
      </c>
      <c r="J229">
        <f>vlookup("924-702000-200",B:AZ,column(i1),0)*e229</f>
        <v>0</v>
      </c>
      <c r="K229">
        <f>vlookup("924-702000-200",B:AZ,column(j1),0)*e229</f>
        <v>0</v>
      </c>
      <c r="L229">
        <f>vlookup("924-702000-200",B:AZ,column(k1),0)*e229</f>
        <v>0</v>
      </c>
      <c r="M229">
        <f>vlookup("924-702000-200",B:AZ,column(l1),0)*e229</f>
        <v>0</v>
      </c>
      <c r="N229">
        <f>vlookup("924-702000-200",B:AZ,column(m1),0)*e229</f>
        <v>0</v>
      </c>
      <c r="O229">
        <f>vlookup("924-702000-200",B:AZ,column(n1),0)*e229</f>
        <v>0</v>
      </c>
      <c r="P229">
        <f>vlookup("924-702000-200",B:AZ,column(o1),0)*e229</f>
        <v>0</v>
      </c>
      <c r="Q229">
        <f>vlookup("924-702000-200",B:AZ,column(p1),0)*e229</f>
        <v>0</v>
      </c>
      <c r="R229">
        <f>vlookup("924-702000-200",B:AZ,column(q1),0)*e229</f>
        <v>0</v>
      </c>
      <c r="S229">
        <f>vlookup("924-702000-200",B:AZ,column(r1),0)*e229</f>
        <v>0</v>
      </c>
      <c r="T229">
        <f>vlookup("924-702000-200",B:AZ,column(s1),0)*e229</f>
        <v>0</v>
      </c>
      <c r="U229">
        <f>vlookup("924-702000-200",B:AZ,column(t1),0)*e229</f>
        <v>0</v>
      </c>
      <c r="V229">
        <f>vlookup("924-702000-200",B:AZ,column(u1),0)*e229</f>
        <v>0</v>
      </c>
      <c r="W229">
        <f>vlookup("924-702000-200",B:AZ,column(v1),0)*e229</f>
        <v>0</v>
      </c>
      <c r="X229">
        <f>vlookup("924-702000-200",B:AZ,column(w1),0)*e229</f>
        <v>0</v>
      </c>
      <c r="Y229">
        <f>vlookup("924-702000-200",B:AZ,column(x1),0)*e229</f>
        <v>0</v>
      </c>
      <c r="Z229">
        <f>vlookup("924-702000-200",B:AZ,column(y1),0)*e229</f>
        <v>0</v>
      </c>
      <c r="AA229">
        <f>vlookup("924-702000-200",B:AZ,column(z1),0)*e229</f>
        <v>0</v>
      </c>
      <c r="AB229">
        <f>vlookup("924-702000-200",B:AZ,column(aa1),0)*e229</f>
        <v>0</v>
      </c>
      <c r="AC229">
        <f>vlookup("924-702000-200",B:AZ,column(ab1),0)*e229</f>
        <v>0</v>
      </c>
      <c r="AD229">
        <f>vlookup("924-702000-200",B:AZ,column(ac1),0)*e229</f>
        <v>0</v>
      </c>
      <c r="AE229">
        <f>vlookup("924-702000-200",B:AZ,column(ad1),0)*e229</f>
        <v>0</v>
      </c>
      <c r="AF229">
        <f>vlookup("924-702000-200",B:AZ,column(ae1),0)*e229</f>
        <v>0</v>
      </c>
      <c r="AG229">
        <f>vlookup("924-702000-200",B:AZ,column(af1),0)*e229</f>
        <v>0</v>
      </c>
      <c r="AH229">
        <f>vlookup("924-702000-200",B:AZ,column(ag1),0)*e229</f>
        <v>0</v>
      </c>
      <c r="AI229">
        <f>vlookup("924-702000-200",B:AZ,column(ah1),0)*e229</f>
        <v>0</v>
      </c>
      <c r="AJ229">
        <f>vlookup("924-702000-200",B:AZ,column(ai1),0)*e229</f>
        <v>0</v>
      </c>
      <c r="AK229">
        <f>vlookup("924-702000-200",B:AZ,column(aj1),0)*e229</f>
        <v>0</v>
      </c>
      <c r="AL229">
        <f>vlookup("924-702000-200",B:AZ,column(ak1),0)*e229</f>
        <v>0</v>
      </c>
      <c r="AM229">
        <f>vlookup("924-702000-200",B:AZ,column(al1),0)*e229</f>
        <v>0</v>
      </c>
      <c r="AN229">
        <f>vlookup("924-702000-200",B:AZ,column(am1),0)*e229</f>
        <v>0</v>
      </c>
      <c r="AO229">
        <f>vlookup("924-702000-200",B:AZ,column(an1),0)*e229</f>
        <v>0</v>
      </c>
    </row>
    <row r="230" spans="1:41">
      <c r="A230" t="s">
        <v>22</v>
      </c>
      <c r="B230" t="s">
        <v>261</v>
      </c>
      <c r="C230" t="s">
        <v>262</v>
      </c>
      <c r="E230">
        <v>2</v>
      </c>
      <c r="F230" t="s">
        <v>13</v>
      </c>
      <c r="I230" t="s">
        <v>15</v>
      </c>
      <c r="J230">
        <f>vlookup("924-702000-200",B:AZ,column(i1),0)*e230</f>
        <v>0</v>
      </c>
      <c r="K230">
        <f>vlookup("924-702000-200",B:AZ,column(j1),0)*e230</f>
        <v>0</v>
      </c>
      <c r="L230">
        <f>vlookup("924-702000-200",B:AZ,column(k1),0)*e230</f>
        <v>0</v>
      </c>
      <c r="M230">
        <f>vlookup("924-702000-200",B:AZ,column(l1),0)*e230</f>
        <v>0</v>
      </c>
      <c r="N230">
        <f>vlookup("924-702000-200",B:AZ,column(m1),0)*e230</f>
        <v>0</v>
      </c>
      <c r="O230">
        <f>vlookup("924-702000-200",B:AZ,column(n1),0)*e230</f>
        <v>0</v>
      </c>
      <c r="P230">
        <f>vlookup("924-702000-200",B:AZ,column(o1),0)*e230</f>
        <v>0</v>
      </c>
      <c r="Q230">
        <f>vlookup("924-702000-200",B:AZ,column(p1),0)*e230</f>
        <v>0</v>
      </c>
      <c r="R230">
        <f>vlookup("924-702000-200",B:AZ,column(q1),0)*e230</f>
        <v>0</v>
      </c>
      <c r="S230">
        <f>vlookup("924-702000-200",B:AZ,column(r1),0)*e230</f>
        <v>0</v>
      </c>
      <c r="T230">
        <f>vlookup("924-702000-200",B:AZ,column(s1),0)*e230</f>
        <v>0</v>
      </c>
      <c r="U230">
        <f>vlookup("924-702000-200",B:AZ,column(t1),0)*e230</f>
        <v>0</v>
      </c>
      <c r="V230">
        <f>vlookup("924-702000-200",B:AZ,column(u1),0)*e230</f>
        <v>0</v>
      </c>
      <c r="W230">
        <f>vlookup("924-702000-200",B:AZ,column(v1),0)*e230</f>
        <v>0</v>
      </c>
      <c r="X230">
        <f>vlookup("924-702000-200",B:AZ,column(w1),0)*e230</f>
        <v>0</v>
      </c>
      <c r="Y230">
        <f>vlookup("924-702000-200",B:AZ,column(x1),0)*e230</f>
        <v>0</v>
      </c>
      <c r="Z230">
        <f>vlookup("924-702000-200",B:AZ,column(y1),0)*e230</f>
        <v>0</v>
      </c>
      <c r="AA230">
        <f>vlookup("924-702000-200",B:AZ,column(z1),0)*e230</f>
        <v>0</v>
      </c>
      <c r="AB230">
        <f>vlookup("924-702000-200",B:AZ,column(aa1),0)*e230</f>
        <v>0</v>
      </c>
      <c r="AC230">
        <f>vlookup("924-702000-200",B:AZ,column(ab1),0)*e230</f>
        <v>0</v>
      </c>
      <c r="AD230">
        <f>vlookup("924-702000-200",B:AZ,column(ac1),0)*e230</f>
        <v>0</v>
      </c>
      <c r="AE230">
        <f>vlookup("924-702000-200",B:AZ,column(ad1),0)*e230</f>
        <v>0</v>
      </c>
      <c r="AF230">
        <f>vlookup("924-702000-200",B:AZ,column(ae1),0)*e230</f>
        <v>0</v>
      </c>
      <c r="AG230">
        <f>vlookup("924-702000-200",B:AZ,column(af1),0)*e230</f>
        <v>0</v>
      </c>
      <c r="AH230">
        <f>vlookup("924-702000-200",B:AZ,column(ag1),0)*e230</f>
        <v>0</v>
      </c>
      <c r="AI230">
        <f>vlookup("924-702000-200",B:AZ,column(ah1),0)*e230</f>
        <v>0</v>
      </c>
      <c r="AJ230">
        <f>vlookup("924-702000-200",B:AZ,column(ai1),0)*e230</f>
        <v>0</v>
      </c>
      <c r="AK230">
        <f>vlookup("924-702000-200",B:AZ,column(aj1),0)*e230</f>
        <v>0</v>
      </c>
      <c r="AL230">
        <f>vlookup("924-702000-200",B:AZ,column(ak1),0)*e230</f>
        <v>0</v>
      </c>
      <c r="AM230">
        <f>vlookup("924-702000-200",B:AZ,column(al1),0)*e230</f>
        <v>0</v>
      </c>
      <c r="AN230">
        <f>vlookup("924-702000-200",B:AZ,column(am1),0)*e230</f>
        <v>0</v>
      </c>
      <c r="AO230">
        <f>vlookup("924-702000-200",B:AZ,column(an1),0)*e230</f>
        <v>0</v>
      </c>
    </row>
    <row r="231" spans="1:41">
      <c r="A231" t="s">
        <v>22</v>
      </c>
      <c r="B231" t="s">
        <v>191</v>
      </c>
      <c r="C231" t="s">
        <v>192</v>
      </c>
      <c r="E231">
        <v>12</v>
      </c>
      <c r="F231" t="s">
        <v>13</v>
      </c>
      <c r="I231" t="s">
        <v>15</v>
      </c>
      <c r="J231">
        <f>vlookup("924-702000-200",B:AZ,column(i1),0)*e231</f>
        <v>0</v>
      </c>
      <c r="K231">
        <f>vlookup("924-702000-200",B:AZ,column(j1),0)*e231</f>
        <v>0</v>
      </c>
      <c r="L231">
        <f>vlookup("924-702000-200",B:AZ,column(k1),0)*e231</f>
        <v>0</v>
      </c>
      <c r="M231">
        <f>vlookup("924-702000-200",B:AZ,column(l1),0)*e231</f>
        <v>0</v>
      </c>
      <c r="N231">
        <f>vlookup("924-702000-200",B:AZ,column(m1),0)*e231</f>
        <v>0</v>
      </c>
      <c r="O231">
        <f>vlookup("924-702000-200",B:AZ,column(n1),0)*e231</f>
        <v>0</v>
      </c>
      <c r="P231">
        <f>vlookup("924-702000-200",B:AZ,column(o1),0)*e231</f>
        <v>0</v>
      </c>
      <c r="Q231">
        <f>vlookup("924-702000-200",B:AZ,column(p1),0)*e231</f>
        <v>0</v>
      </c>
      <c r="R231">
        <f>vlookup("924-702000-200",B:AZ,column(q1),0)*e231</f>
        <v>0</v>
      </c>
      <c r="S231">
        <f>vlookup("924-702000-200",B:AZ,column(r1),0)*e231</f>
        <v>0</v>
      </c>
      <c r="T231">
        <f>vlookup("924-702000-200",B:AZ,column(s1),0)*e231</f>
        <v>0</v>
      </c>
      <c r="U231">
        <f>vlookup("924-702000-200",B:AZ,column(t1),0)*e231</f>
        <v>0</v>
      </c>
      <c r="V231">
        <f>vlookup("924-702000-200",B:AZ,column(u1),0)*e231</f>
        <v>0</v>
      </c>
      <c r="W231">
        <f>vlookup("924-702000-200",B:AZ,column(v1),0)*e231</f>
        <v>0</v>
      </c>
      <c r="X231">
        <f>vlookup("924-702000-200",B:AZ,column(w1),0)*e231</f>
        <v>0</v>
      </c>
      <c r="Y231">
        <f>vlookup("924-702000-200",B:AZ,column(x1),0)*e231</f>
        <v>0</v>
      </c>
      <c r="Z231">
        <f>vlookup("924-702000-200",B:AZ,column(y1),0)*e231</f>
        <v>0</v>
      </c>
      <c r="AA231">
        <f>vlookup("924-702000-200",B:AZ,column(z1),0)*e231</f>
        <v>0</v>
      </c>
      <c r="AB231">
        <f>vlookup("924-702000-200",B:AZ,column(aa1),0)*e231</f>
        <v>0</v>
      </c>
      <c r="AC231">
        <f>vlookup("924-702000-200",B:AZ,column(ab1),0)*e231</f>
        <v>0</v>
      </c>
      <c r="AD231">
        <f>vlookup("924-702000-200",B:AZ,column(ac1),0)*e231</f>
        <v>0</v>
      </c>
      <c r="AE231">
        <f>vlookup("924-702000-200",B:AZ,column(ad1),0)*e231</f>
        <v>0</v>
      </c>
      <c r="AF231">
        <f>vlookup("924-702000-200",B:AZ,column(ae1),0)*e231</f>
        <v>0</v>
      </c>
      <c r="AG231">
        <f>vlookup("924-702000-200",B:AZ,column(af1),0)*e231</f>
        <v>0</v>
      </c>
      <c r="AH231">
        <f>vlookup("924-702000-200",B:AZ,column(ag1),0)*e231</f>
        <v>0</v>
      </c>
      <c r="AI231">
        <f>vlookup("924-702000-200",B:AZ,column(ah1),0)*e231</f>
        <v>0</v>
      </c>
      <c r="AJ231">
        <f>vlookup("924-702000-200",B:AZ,column(ai1),0)*e231</f>
        <v>0</v>
      </c>
      <c r="AK231">
        <f>vlookup("924-702000-200",B:AZ,column(aj1),0)*e231</f>
        <v>0</v>
      </c>
      <c r="AL231">
        <f>vlookup("924-702000-200",B:AZ,column(ak1),0)*e231</f>
        <v>0</v>
      </c>
      <c r="AM231">
        <f>vlookup("924-702000-200",B:AZ,column(al1),0)*e231</f>
        <v>0</v>
      </c>
      <c r="AN231">
        <f>vlookup("924-702000-200",B:AZ,column(am1),0)*e231</f>
        <v>0</v>
      </c>
      <c r="AO231">
        <f>vlookup("924-702000-200",B:AZ,column(an1),0)*e231</f>
        <v>0</v>
      </c>
    </row>
    <row r="232" spans="1:41">
      <c r="A232" t="s">
        <v>10</v>
      </c>
      <c r="B232" t="s">
        <v>263</v>
      </c>
      <c r="C232" t="s">
        <v>264</v>
      </c>
      <c r="E232">
        <v>1</v>
      </c>
      <c r="F232" t="s">
        <v>13</v>
      </c>
      <c r="I232" t="s">
        <v>14</v>
      </c>
      <c r="AO232">
        <f>sum(j232:an232)</f>
        <v>0</v>
      </c>
    </row>
    <row r="233" spans="1:41">
      <c r="I233" t="s">
        <v>15</v>
      </c>
      <c r="J233">
        <f>vlookup("924-011808-100",Out!B:AZ,column(i1),0)</f>
        <v>0</v>
      </c>
      <c r="K233">
        <f>vlookup("924-011808-100",Out!B:AZ,column(j1),0)</f>
        <v>0</v>
      </c>
      <c r="L233">
        <f>vlookup("924-011808-100",Out!B:AZ,column(k1),0)</f>
        <v>0</v>
      </c>
      <c r="M233">
        <f>vlookup("924-011808-100",Out!B:AZ,column(l1),0)</f>
        <v>0</v>
      </c>
      <c r="N233">
        <f>vlookup("924-011808-100",Out!B:AZ,column(m1),0)</f>
        <v>0</v>
      </c>
      <c r="O233">
        <f>vlookup("924-011808-100",Out!B:AZ,column(n1),0)</f>
        <v>0</v>
      </c>
      <c r="P233">
        <f>vlookup("924-011808-100",Out!B:AZ,column(o1),0)</f>
        <v>0</v>
      </c>
      <c r="Q233">
        <f>vlookup("924-011808-100",Out!B:AZ,column(p1),0)</f>
        <v>0</v>
      </c>
      <c r="R233">
        <f>vlookup("924-011808-100",Out!B:AZ,column(q1),0)</f>
        <v>0</v>
      </c>
      <c r="S233">
        <f>vlookup("924-011808-100",Out!B:AZ,column(r1),0)</f>
        <v>0</v>
      </c>
      <c r="T233">
        <f>vlookup("924-011808-100",Out!B:AZ,column(s1),0)</f>
        <v>0</v>
      </c>
      <c r="U233">
        <f>vlookup("924-011808-100",Out!B:AZ,column(t1),0)</f>
        <v>0</v>
      </c>
      <c r="V233">
        <f>vlookup("924-011808-100",Out!B:AZ,column(u1),0)</f>
        <v>0</v>
      </c>
      <c r="W233">
        <f>vlookup("924-011808-100",Out!B:AZ,column(v1),0)</f>
        <v>0</v>
      </c>
      <c r="X233">
        <f>vlookup("924-011808-100",Out!B:AZ,column(w1),0)</f>
        <v>0</v>
      </c>
      <c r="Y233">
        <f>vlookup("924-011808-100",Out!B:AZ,column(x1),0)</f>
        <v>0</v>
      </c>
      <c r="Z233">
        <f>vlookup("924-011808-100",Out!B:AZ,column(y1),0)</f>
        <v>0</v>
      </c>
      <c r="AA233">
        <f>vlookup("924-011808-100",Out!B:AZ,column(z1),0)</f>
        <v>0</v>
      </c>
      <c r="AB233">
        <f>vlookup("924-011808-100",Out!B:AZ,column(aa1),0)</f>
        <v>0</v>
      </c>
      <c r="AC233">
        <f>vlookup("924-011808-100",Out!B:AZ,column(ab1),0)</f>
        <v>0</v>
      </c>
      <c r="AD233">
        <f>vlookup("924-011808-100",Out!B:AZ,column(ac1),0)</f>
        <v>0</v>
      </c>
      <c r="AE233">
        <f>vlookup("924-011808-100",Out!B:AZ,column(ad1),0)</f>
        <v>0</v>
      </c>
      <c r="AF233">
        <f>vlookup("924-011808-100",Out!B:AZ,column(ae1),0)</f>
        <v>0</v>
      </c>
      <c r="AG233">
        <f>vlookup("924-011808-100",Out!B:AZ,column(af1),0)</f>
        <v>0</v>
      </c>
      <c r="AH233">
        <f>vlookup("924-011808-100",Out!B:AZ,column(ag1),0)</f>
        <v>0</v>
      </c>
      <c r="AI233">
        <f>vlookup("924-011808-100",Out!B:AZ,column(ah1),0)</f>
        <v>0</v>
      </c>
      <c r="AJ233">
        <f>vlookup("924-011808-100",Out!B:AZ,column(ai1),0)</f>
        <v>0</v>
      </c>
      <c r="AK233">
        <f>vlookup("924-011808-100",Out!B:AZ,column(aj1),0)</f>
        <v>0</v>
      </c>
      <c r="AL233">
        <f>vlookup("924-011808-100",Out!B:AZ,column(ak1),0)</f>
        <v>0</v>
      </c>
      <c r="AM233">
        <f>vlookup("924-011808-100",Out!B:AZ,column(al1),0)</f>
        <v>0</v>
      </c>
      <c r="AN233">
        <f>vlookup("924-011808-100",Out!B:AZ,column(am1),0)</f>
        <v>0</v>
      </c>
      <c r="AO233">
        <f>vlookup("924-011808-100",Out!B:AZ,column(an1),0)</f>
        <v>0</v>
      </c>
    </row>
    <row r="234" spans="1:41">
      <c r="H234" t="s">
        <v>16</v>
      </c>
      <c r="J234">
        <f>indirect(address(234,9))+indirect(address(232,10))-indirect(address(233,10))</f>
        <v>0</v>
      </c>
      <c r="K234">
        <f>indirect(address(234,10))+indirect(address(232,11))-indirect(address(233,11))</f>
        <v>0</v>
      </c>
      <c r="L234">
        <f>indirect(address(234,11))+indirect(address(232,12))-indirect(address(233,12))</f>
        <v>0</v>
      </c>
      <c r="M234">
        <f>indirect(address(234,12))+indirect(address(232,13))-indirect(address(233,13))</f>
        <v>0</v>
      </c>
      <c r="N234">
        <f>indirect(address(234,13))+indirect(address(232,14))-indirect(address(233,14))</f>
        <v>0</v>
      </c>
      <c r="O234">
        <f>indirect(address(234,14))+indirect(address(232,15))-indirect(address(233,15))</f>
        <v>0</v>
      </c>
      <c r="P234">
        <f>indirect(address(234,15))+indirect(address(232,16))-indirect(address(233,16))</f>
        <v>0</v>
      </c>
      <c r="Q234">
        <f>indirect(address(234,16))+indirect(address(232,17))-indirect(address(233,17))</f>
        <v>0</v>
      </c>
      <c r="R234">
        <f>indirect(address(234,17))+indirect(address(232,18))-indirect(address(233,18))</f>
        <v>0</v>
      </c>
      <c r="S234">
        <f>indirect(address(234,18))+indirect(address(232,19))-indirect(address(233,19))</f>
        <v>0</v>
      </c>
      <c r="T234">
        <f>indirect(address(234,19))+indirect(address(232,20))-indirect(address(233,20))</f>
        <v>0</v>
      </c>
      <c r="U234">
        <f>indirect(address(234,20))+indirect(address(232,21))-indirect(address(233,21))</f>
        <v>0</v>
      </c>
      <c r="V234">
        <f>indirect(address(234,21))+indirect(address(232,22))-indirect(address(233,22))</f>
        <v>0</v>
      </c>
      <c r="W234">
        <f>indirect(address(234,22))+indirect(address(232,23))-indirect(address(233,23))</f>
        <v>0</v>
      </c>
      <c r="X234">
        <f>indirect(address(234,23))+indirect(address(232,24))-indirect(address(233,24))</f>
        <v>0</v>
      </c>
      <c r="Y234">
        <f>indirect(address(234,24))+indirect(address(232,25))-indirect(address(233,25))</f>
        <v>0</v>
      </c>
      <c r="Z234">
        <f>indirect(address(234,25))+indirect(address(232,26))-indirect(address(233,26))</f>
        <v>0</v>
      </c>
      <c r="AA234">
        <f>indirect(address(234,26))+indirect(address(232,27))-indirect(address(233,27))</f>
        <v>0</v>
      </c>
      <c r="AB234">
        <f>indirect(address(234,27))+indirect(address(232,28))-indirect(address(233,28))</f>
        <v>0</v>
      </c>
      <c r="AC234">
        <f>indirect(address(234,28))+indirect(address(232,29))-indirect(address(233,29))</f>
        <v>0</v>
      </c>
      <c r="AD234">
        <f>indirect(address(234,29))+indirect(address(232,30))-indirect(address(233,30))</f>
        <v>0</v>
      </c>
      <c r="AE234">
        <f>indirect(address(234,30))+indirect(address(232,31))-indirect(address(233,31))</f>
        <v>0</v>
      </c>
      <c r="AF234">
        <f>indirect(address(234,31))+indirect(address(232,32))-indirect(address(233,32))</f>
        <v>0</v>
      </c>
      <c r="AG234">
        <f>indirect(address(234,32))+indirect(address(232,33))-indirect(address(233,33))</f>
        <v>0</v>
      </c>
      <c r="AH234">
        <f>indirect(address(234,33))+indirect(address(232,34))-indirect(address(233,34))</f>
        <v>0</v>
      </c>
      <c r="AI234">
        <f>indirect(address(234,34))+indirect(address(232,35))-indirect(address(233,35))</f>
        <v>0</v>
      </c>
      <c r="AJ234">
        <f>indirect(address(234,35))+indirect(address(232,36))-indirect(address(233,36))</f>
        <v>0</v>
      </c>
      <c r="AK234">
        <f>indirect(address(234,36))+indirect(address(232,37))-indirect(address(233,37))</f>
        <v>0</v>
      </c>
      <c r="AL234">
        <f>indirect(address(234,37))+indirect(address(232,38))-indirect(address(233,38))</f>
        <v>0</v>
      </c>
      <c r="AM234">
        <f>indirect(address(234,38))+indirect(address(232,39))-indirect(address(233,39))</f>
        <v>0</v>
      </c>
      <c r="AN234">
        <f>indirect(address(234,39))+indirect(address(232,40))-indirect(address(233,40))</f>
        <v>0</v>
      </c>
      <c r="AO234">
        <f>indirect(address(234,40))</f>
        <v>0</v>
      </c>
    </row>
    <row r="235" spans="1:41">
      <c r="A235" t="s">
        <v>22</v>
      </c>
      <c r="B235" t="s">
        <v>265</v>
      </c>
      <c r="C235" t="s">
        <v>266</v>
      </c>
      <c r="E235">
        <v>1</v>
      </c>
      <c r="F235" t="s">
        <v>13</v>
      </c>
      <c r="I235" t="s">
        <v>15</v>
      </c>
      <c r="J235">
        <f>vlookup("924-011808-100",B:AZ,column(i1),0)*e235</f>
        <v>0</v>
      </c>
      <c r="K235">
        <f>vlookup("924-011808-100",B:AZ,column(j1),0)*e235</f>
        <v>0</v>
      </c>
      <c r="L235">
        <f>vlookup("924-011808-100",B:AZ,column(k1),0)*e235</f>
        <v>0</v>
      </c>
      <c r="M235">
        <f>vlookup("924-011808-100",B:AZ,column(l1),0)*e235</f>
        <v>0</v>
      </c>
      <c r="N235">
        <f>vlookup("924-011808-100",B:AZ,column(m1),0)*e235</f>
        <v>0</v>
      </c>
      <c r="O235">
        <f>vlookup("924-011808-100",B:AZ,column(n1),0)*e235</f>
        <v>0</v>
      </c>
      <c r="P235">
        <f>vlookup("924-011808-100",B:AZ,column(o1),0)*e235</f>
        <v>0</v>
      </c>
      <c r="Q235">
        <f>vlookup("924-011808-100",B:AZ,column(p1),0)*e235</f>
        <v>0</v>
      </c>
      <c r="R235">
        <f>vlookup("924-011808-100",B:AZ,column(q1),0)*e235</f>
        <v>0</v>
      </c>
      <c r="S235">
        <f>vlookup("924-011808-100",B:AZ,column(r1),0)*e235</f>
        <v>0</v>
      </c>
      <c r="T235">
        <f>vlookup("924-011808-100",B:AZ,column(s1),0)*e235</f>
        <v>0</v>
      </c>
      <c r="U235">
        <f>vlookup("924-011808-100",B:AZ,column(t1),0)*e235</f>
        <v>0</v>
      </c>
      <c r="V235">
        <f>vlookup("924-011808-100",B:AZ,column(u1),0)*e235</f>
        <v>0</v>
      </c>
      <c r="W235">
        <f>vlookup("924-011808-100",B:AZ,column(v1),0)*e235</f>
        <v>0</v>
      </c>
      <c r="X235">
        <f>vlookup("924-011808-100",B:AZ,column(w1),0)*e235</f>
        <v>0</v>
      </c>
      <c r="Y235">
        <f>vlookup("924-011808-100",B:AZ,column(x1),0)*e235</f>
        <v>0</v>
      </c>
      <c r="Z235">
        <f>vlookup("924-011808-100",B:AZ,column(y1),0)*e235</f>
        <v>0</v>
      </c>
      <c r="AA235">
        <f>vlookup("924-011808-100",B:AZ,column(z1),0)*e235</f>
        <v>0</v>
      </c>
      <c r="AB235">
        <f>vlookup("924-011808-100",B:AZ,column(aa1),0)*e235</f>
        <v>0</v>
      </c>
      <c r="AC235">
        <f>vlookup("924-011808-100",B:AZ,column(ab1),0)*e235</f>
        <v>0</v>
      </c>
      <c r="AD235">
        <f>vlookup("924-011808-100",B:AZ,column(ac1),0)*e235</f>
        <v>0</v>
      </c>
      <c r="AE235">
        <f>vlookup("924-011808-100",B:AZ,column(ad1),0)*e235</f>
        <v>0</v>
      </c>
      <c r="AF235">
        <f>vlookup("924-011808-100",B:AZ,column(ae1),0)*e235</f>
        <v>0</v>
      </c>
      <c r="AG235">
        <f>vlookup("924-011808-100",B:AZ,column(af1),0)*e235</f>
        <v>0</v>
      </c>
      <c r="AH235">
        <f>vlookup("924-011808-100",B:AZ,column(ag1),0)*e235</f>
        <v>0</v>
      </c>
      <c r="AI235">
        <f>vlookup("924-011808-100",B:AZ,column(ah1),0)*e235</f>
        <v>0</v>
      </c>
      <c r="AJ235">
        <f>vlookup("924-011808-100",B:AZ,column(ai1),0)*e235</f>
        <v>0</v>
      </c>
      <c r="AK235">
        <f>vlookup("924-011808-100",B:AZ,column(aj1),0)*e235</f>
        <v>0</v>
      </c>
      <c r="AL235">
        <f>vlookup("924-011808-100",B:AZ,column(ak1),0)*e235</f>
        <v>0</v>
      </c>
      <c r="AM235">
        <f>vlookup("924-011808-100",B:AZ,column(al1),0)*e235</f>
        <v>0</v>
      </c>
      <c r="AN235">
        <f>vlookup("924-011808-100",B:AZ,column(am1),0)*e235</f>
        <v>0</v>
      </c>
      <c r="AO235">
        <f>vlookup("924-011808-100",B:AZ,column(an1),0)*e235</f>
        <v>0</v>
      </c>
    </row>
    <row r="236" spans="1:41">
      <c r="A236" t="s">
        <v>22</v>
      </c>
      <c r="B236" t="s">
        <v>267</v>
      </c>
      <c r="C236" t="s">
        <v>268</v>
      </c>
      <c r="E236">
        <v>1</v>
      </c>
      <c r="F236" t="s">
        <v>13</v>
      </c>
      <c r="I236" t="s">
        <v>15</v>
      </c>
      <c r="J236">
        <f>vlookup("924-011808-100",B:AZ,column(i1),0)*e236</f>
        <v>0</v>
      </c>
      <c r="K236">
        <f>vlookup("924-011808-100",B:AZ,column(j1),0)*e236</f>
        <v>0</v>
      </c>
      <c r="L236">
        <f>vlookup("924-011808-100",B:AZ,column(k1),0)*e236</f>
        <v>0</v>
      </c>
      <c r="M236">
        <f>vlookup("924-011808-100",B:AZ,column(l1),0)*e236</f>
        <v>0</v>
      </c>
      <c r="N236">
        <f>vlookup("924-011808-100",B:AZ,column(m1),0)*e236</f>
        <v>0</v>
      </c>
      <c r="O236">
        <f>vlookup("924-011808-100",B:AZ,column(n1),0)*e236</f>
        <v>0</v>
      </c>
      <c r="P236">
        <f>vlookup("924-011808-100",B:AZ,column(o1),0)*e236</f>
        <v>0</v>
      </c>
      <c r="Q236">
        <f>vlookup("924-011808-100",B:AZ,column(p1),0)*e236</f>
        <v>0</v>
      </c>
      <c r="R236">
        <f>vlookup("924-011808-100",B:AZ,column(q1),0)*e236</f>
        <v>0</v>
      </c>
      <c r="S236">
        <f>vlookup("924-011808-100",B:AZ,column(r1),0)*e236</f>
        <v>0</v>
      </c>
      <c r="T236">
        <f>vlookup("924-011808-100",B:AZ,column(s1),0)*e236</f>
        <v>0</v>
      </c>
      <c r="U236">
        <f>vlookup("924-011808-100",B:AZ,column(t1),0)*e236</f>
        <v>0</v>
      </c>
      <c r="V236">
        <f>vlookup("924-011808-100",B:AZ,column(u1),0)*e236</f>
        <v>0</v>
      </c>
      <c r="W236">
        <f>vlookup("924-011808-100",B:AZ,column(v1),0)*e236</f>
        <v>0</v>
      </c>
      <c r="X236">
        <f>vlookup("924-011808-100",B:AZ,column(w1),0)*e236</f>
        <v>0</v>
      </c>
      <c r="Y236">
        <f>vlookup("924-011808-100",B:AZ,column(x1),0)*e236</f>
        <v>0</v>
      </c>
      <c r="Z236">
        <f>vlookup("924-011808-100",B:AZ,column(y1),0)*e236</f>
        <v>0</v>
      </c>
      <c r="AA236">
        <f>vlookup("924-011808-100",B:AZ,column(z1),0)*e236</f>
        <v>0</v>
      </c>
      <c r="AB236">
        <f>vlookup("924-011808-100",B:AZ,column(aa1),0)*e236</f>
        <v>0</v>
      </c>
      <c r="AC236">
        <f>vlookup("924-011808-100",B:AZ,column(ab1),0)*e236</f>
        <v>0</v>
      </c>
      <c r="AD236">
        <f>vlookup("924-011808-100",B:AZ,column(ac1),0)*e236</f>
        <v>0</v>
      </c>
      <c r="AE236">
        <f>vlookup("924-011808-100",B:AZ,column(ad1),0)*e236</f>
        <v>0</v>
      </c>
      <c r="AF236">
        <f>vlookup("924-011808-100",B:AZ,column(ae1),0)*e236</f>
        <v>0</v>
      </c>
      <c r="AG236">
        <f>vlookup("924-011808-100",B:AZ,column(af1),0)*e236</f>
        <v>0</v>
      </c>
      <c r="AH236">
        <f>vlookup("924-011808-100",B:AZ,column(ag1),0)*e236</f>
        <v>0</v>
      </c>
      <c r="AI236">
        <f>vlookup("924-011808-100",B:AZ,column(ah1),0)*e236</f>
        <v>0</v>
      </c>
      <c r="AJ236">
        <f>vlookup("924-011808-100",B:AZ,column(ai1),0)*e236</f>
        <v>0</v>
      </c>
      <c r="AK236">
        <f>vlookup("924-011808-100",B:AZ,column(aj1),0)*e236</f>
        <v>0</v>
      </c>
      <c r="AL236">
        <f>vlookup("924-011808-100",B:AZ,column(ak1),0)*e236</f>
        <v>0</v>
      </c>
      <c r="AM236">
        <f>vlookup("924-011808-100",B:AZ,column(al1),0)*e236</f>
        <v>0</v>
      </c>
      <c r="AN236">
        <f>vlookup("924-011808-100",B:AZ,column(am1),0)*e236</f>
        <v>0</v>
      </c>
      <c r="AO236">
        <f>vlookup("924-011808-100",B:AZ,column(an1),0)*e236</f>
        <v>0</v>
      </c>
    </row>
    <row r="237" spans="1:41">
      <c r="A237" t="s">
        <v>22</v>
      </c>
      <c r="B237" t="s">
        <v>269</v>
      </c>
      <c r="C237" t="s">
        <v>270</v>
      </c>
      <c r="E237">
        <v>1</v>
      </c>
      <c r="F237" t="s">
        <v>13</v>
      </c>
      <c r="I237" t="s">
        <v>15</v>
      </c>
      <c r="J237">
        <f>vlookup("924-011808-100",B:AZ,column(i1),0)*e237</f>
        <v>0</v>
      </c>
      <c r="K237">
        <f>vlookup("924-011808-100",B:AZ,column(j1),0)*e237</f>
        <v>0</v>
      </c>
      <c r="L237">
        <f>vlookup("924-011808-100",B:AZ,column(k1),0)*e237</f>
        <v>0</v>
      </c>
      <c r="M237">
        <f>vlookup("924-011808-100",B:AZ,column(l1),0)*e237</f>
        <v>0</v>
      </c>
      <c r="N237">
        <f>vlookup("924-011808-100",B:AZ,column(m1),0)*e237</f>
        <v>0</v>
      </c>
      <c r="O237">
        <f>vlookup("924-011808-100",B:AZ,column(n1),0)*e237</f>
        <v>0</v>
      </c>
      <c r="P237">
        <f>vlookup("924-011808-100",B:AZ,column(o1),0)*e237</f>
        <v>0</v>
      </c>
      <c r="Q237">
        <f>vlookup("924-011808-100",B:AZ,column(p1),0)*e237</f>
        <v>0</v>
      </c>
      <c r="R237">
        <f>vlookup("924-011808-100",B:AZ,column(q1),0)*e237</f>
        <v>0</v>
      </c>
      <c r="S237">
        <f>vlookup("924-011808-100",B:AZ,column(r1),0)*e237</f>
        <v>0</v>
      </c>
      <c r="T237">
        <f>vlookup("924-011808-100",B:AZ,column(s1),0)*e237</f>
        <v>0</v>
      </c>
      <c r="U237">
        <f>vlookup("924-011808-100",B:AZ,column(t1),0)*e237</f>
        <v>0</v>
      </c>
      <c r="V237">
        <f>vlookup("924-011808-100",B:AZ,column(u1),0)*e237</f>
        <v>0</v>
      </c>
      <c r="W237">
        <f>vlookup("924-011808-100",B:AZ,column(v1),0)*e237</f>
        <v>0</v>
      </c>
      <c r="X237">
        <f>vlookup("924-011808-100",B:AZ,column(w1),0)*e237</f>
        <v>0</v>
      </c>
      <c r="Y237">
        <f>vlookup("924-011808-100",B:AZ,column(x1),0)*e237</f>
        <v>0</v>
      </c>
      <c r="Z237">
        <f>vlookup("924-011808-100",B:AZ,column(y1),0)*e237</f>
        <v>0</v>
      </c>
      <c r="AA237">
        <f>vlookup("924-011808-100",B:AZ,column(z1),0)*e237</f>
        <v>0</v>
      </c>
      <c r="AB237">
        <f>vlookup("924-011808-100",B:AZ,column(aa1),0)*e237</f>
        <v>0</v>
      </c>
      <c r="AC237">
        <f>vlookup("924-011808-100",B:AZ,column(ab1),0)*e237</f>
        <v>0</v>
      </c>
      <c r="AD237">
        <f>vlookup("924-011808-100",B:AZ,column(ac1),0)*e237</f>
        <v>0</v>
      </c>
      <c r="AE237">
        <f>vlookup("924-011808-100",B:AZ,column(ad1),0)*e237</f>
        <v>0</v>
      </c>
      <c r="AF237">
        <f>vlookup("924-011808-100",B:AZ,column(ae1),0)*e237</f>
        <v>0</v>
      </c>
      <c r="AG237">
        <f>vlookup("924-011808-100",B:AZ,column(af1),0)*e237</f>
        <v>0</v>
      </c>
      <c r="AH237">
        <f>vlookup("924-011808-100",B:AZ,column(ag1),0)*e237</f>
        <v>0</v>
      </c>
      <c r="AI237">
        <f>vlookup("924-011808-100",B:AZ,column(ah1),0)*e237</f>
        <v>0</v>
      </c>
      <c r="AJ237">
        <f>vlookup("924-011808-100",B:AZ,column(ai1),0)*e237</f>
        <v>0</v>
      </c>
      <c r="AK237">
        <f>vlookup("924-011808-100",B:AZ,column(aj1),0)*e237</f>
        <v>0</v>
      </c>
      <c r="AL237">
        <f>vlookup("924-011808-100",B:AZ,column(ak1),0)*e237</f>
        <v>0</v>
      </c>
      <c r="AM237">
        <f>vlookup("924-011808-100",B:AZ,column(al1),0)*e237</f>
        <v>0</v>
      </c>
      <c r="AN237">
        <f>vlookup("924-011808-100",B:AZ,column(am1),0)*e237</f>
        <v>0</v>
      </c>
      <c r="AO237">
        <f>vlookup("924-011808-100",B:AZ,column(an1),0)*e237</f>
        <v>0</v>
      </c>
    </row>
    <row r="238" spans="1:41">
      <c r="A238" t="s">
        <v>22</v>
      </c>
      <c r="B238" t="s">
        <v>165</v>
      </c>
      <c r="C238" t="s">
        <v>271</v>
      </c>
      <c r="E238">
        <v>1</v>
      </c>
      <c r="F238" t="s">
        <v>13</v>
      </c>
      <c r="I238" t="s">
        <v>15</v>
      </c>
      <c r="J238">
        <f>vlookup("924-011808-100",B:AZ,column(i1),0)*e238</f>
        <v>0</v>
      </c>
      <c r="K238">
        <f>vlookup("924-011808-100",B:AZ,column(j1),0)*e238</f>
        <v>0</v>
      </c>
      <c r="L238">
        <f>vlookup("924-011808-100",B:AZ,column(k1),0)*e238</f>
        <v>0</v>
      </c>
      <c r="M238">
        <f>vlookup("924-011808-100",B:AZ,column(l1),0)*e238</f>
        <v>0</v>
      </c>
      <c r="N238">
        <f>vlookup("924-011808-100",B:AZ,column(m1),0)*e238</f>
        <v>0</v>
      </c>
      <c r="O238">
        <f>vlookup("924-011808-100",B:AZ,column(n1),0)*e238</f>
        <v>0</v>
      </c>
      <c r="P238">
        <f>vlookup("924-011808-100",B:AZ,column(o1),0)*e238</f>
        <v>0</v>
      </c>
      <c r="Q238">
        <f>vlookup("924-011808-100",B:AZ,column(p1),0)*e238</f>
        <v>0</v>
      </c>
      <c r="R238">
        <f>vlookup("924-011808-100",B:AZ,column(q1),0)*e238</f>
        <v>0</v>
      </c>
      <c r="S238">
        <f>vlookup("924-011808-100",B:AZ,column(r1),0)*e238</f>
        <v>0</v>
      </c>
      <c r="T238">
        <f>vlookup("924-011808-100",B:AZ,column(s1),0)*e238</f>
        <v>0</v>
      </c>
      <c r="U238">
        <f>vlookup("924-011808-100",B:AZ,column(t1),0)*e238</f>
        <v>0</v>
      </c>
      <c r="V238">
        <f>vlookup("924-011808-100",B:AZ,column(u1),0)*e238</f>
        <v>0</v>
      </c>
      <c r="W238">
        <f>vlookup("924-011808-100",B:AZ,column(v1),0)*e238</f>
        <v>0</v>
      </c>
      <c r="X238">
        <f>vlookup("924-011808-100",B:AZ,column(w1),0)*e238</f>
        <v>0</v>
      </c>
      <c r="Y238">
        <f>vlookup("924-011808-100",B:AZ,column(x1),0)*e238</f>
        <v>0</v>
      </c>
      <c r="Z238">
        <f>vlookup("924-011808-100",B:AZ,column(y1),0)*e238</f>
        <v>0</v>
      </c>
      <c r="AA238">
        <f>vlookup("924-011808-100",B:AZ,column(z1),0)*e238</f>
        <v>0</v>
      </c>
      <c r="AB238">
        <f>vlookup("924-011808-100",B:AZ,column(aa1),0)*e238</f>
        <v>0</v>
      </c>
      <c r="AC238">
        <f>vlookup("924-011808-100",B:AZ,column(ab1),0)*e238</f>
        <v>0</v>
      </c>
      <c r="AD238">
        <f>vlookup("924-011808-100",B:AZ,column(ac1),0)*e238</f>
        <v>0</v>
      </c>
      <c r="AE238">
        <f>vlookup("924-011808-100",B:AZ,column(ad1),0)*e238</f>
        <v>0</v>
      </c>
      <c r="AF238">
        <f>vlookup("924-011808-100",B:AZ,column(ae1),0)*e238</f>
        <v>0</v>
      </c>
      <c r="AG238">
        <f>vlookup("924-011808-100",B:AZ,column(af1),0)*e238</f>
        <v>0</v>
      </c>
      <c r="AH238">
        <f>vlookup("924-011808-100",B:AZ,column(ag1),0)*e238</f>
        <v>0</v>
      </c>
      <c r="AI238">
        <f>vlookup("924-011808-100",B:AZ,column(ah1),0)*e238</f>
        <v>0</v>
      </c>
      <c r="AJ238">
        <f>vlookup("924-011808-100",B:AZ,column(ai1),0)*e238</f>
        <v>0</v>
      </c>
      <c r="AK238">
        <f>vlookup("924-011808-100",B:AZ,column(aj1),0)*e238</f>
        <v>0</v>
      </c>
      <c r="AL238">
        <f>vlookup("924-011808-100",B:AZ,column(ak1),0)*e238</f>
        <v>0</v>
      </c>
      <c r="AM238">
        <f>vlookup("924-011808-100",B:AZ,column(al1),0)*e238</f>
        <v>0</v>
      </c>
      <c r="AN238">
        <f>vlookup("924-011808-100",B:AZ,column(am1),0)*e238</f>
        <v>0</v>
      </c>
      <c r="AO238">
        <f>vlookup("924-011808-100",B:AZ,column(an1),0)*e238</f>
        <v>0</v>
      </c>
    </row>
    <row r="239" spans="1:41">
      <c r="A239" t="s">
        <v>22</v>
      </c>
      <c r="B239" t="s">
        <v>272</v>
      </c>
      <c r="C239" t="s">
        <v>273</v>
      </c>
      <c r="E239">
        <v>1</v>
      </c>
      <c r="F239" t="s">
        <v>13</v>
      </c>
      <c r="I239" t="s">
        <v>15</v>
      </c>
      <c r="J239">
        <f>vlookup("924-011808-100",B:AZ,column(i1),0)*e239</f>
        <v>0</v>
      </c>
      <c r="K239">
        <f>vlookup("924-011808-100",B:AZ,column(j1),0)*e239</f>
        <v>0</v>
      </c>
      <c r="L239">
        <f>vlookup("924-011808-100",B:AZ,column(k1),0)*e239</f>
        <v>0</v>
      </c>
      <c r="M239">
        <f>vlookup("924-011808-100",B:AZ,column(l1),0)*e239</f>
        <v>0</v>
      </c>
      <c r="N239">
        <f>vlookup("924-011808-100",B:AZ,column(m1),0)*e239</f>
        <v>0</v>
      </c>
      <c r="O239">
        <f>vlookup("924-011808-100",B:AZ,column(n1),0)*e239</f>
        <v>0</v>
      </c>
      <c r="P239">
        <f>vlookup("924-011808-100",B:AZ,column(o1),0)*e239</f>
        <v>0</v>
      </c>
      <c r="Q239">
        <f>vlookup("924-011808-100",B:AZ,column(p1),0)*e239</f>
        <v>0</v>
      </c>
      <c r="R239">
        <f>vlookup("924-011808-100",B:AZ,column(q1),0)*e239</f>
        <v>0</v>
      </c>
      <c r="S239">
        <f>vlookup("924-011808-100",B:AZ,column(r1),0)*e239</f>
        <v>0</v>
      </c>
      <c r="T239">
        <f>vlookup("924-011808-100",B:AZ,column(s1),0)*e239</f>
        <v>0</v>
      </c>
      <c r="U239">
        <f>vlookup("924-011808-100",B:AZ,column(t1),0)*e239</f>
        <v>0</v>
      </c>
      <c r="V239">
        <f>vlookup("924-011808-100",B:AZ,column(u1),0)*e239</f>
        <v>0</v>
      </c>
      <c r="W239">
        <f>vlookup("924-011808-100",B:AZ,column(v1),0)*e239</f>
        <v>0</v>
      </c>
      <c r="X239">
        <f>vlookup("924-011808-100",B:AZ,column(w1),0)*e239</f>
        <v>0</v>
      </c>
      <c r="Y239">
        <f>vlookup("924-011808-100",B:AZ,column(x1),0)*e239</f>
        <v>0</v>
      </c>
      <c r="Z239">
        <f>vlookup("924-011808-100",B:AZ,column(y1),0)*e239</f>
        <v>0</v>
      </c>
      <c r="AA239">
        <f>vlookup("924-011808-100",B:AZ,column(z1),0)*e239</f>
        <v>0</v>
      </c>
      <c r="AB239">
        <f>vlookup("924-011808-100",B:AZ,column(aa1),0)*e239</f>
        <v>0</v>
      </c>
      <c r="AC239">
        <f>vlookup("924-011808-100",B:AZ,column(ab1),0)*e239</f>
        <v>0</v>
      </c>
      <c r="AD239">
        <f>vlookup("924-011808-100",B:AZ,column(ac1),0)*e239</f>
        <v>0</v>
      </c>
      <c r="AE239">
        <f>vlookup("924-011808-100",B:AZ,column(ad1),0)*e239</f>
        <v>0</v>
      </c>
      <c r="AF239">
        <f>vlookup("924-011808-100",B:AZ,column(ae1),0)*e239</f>
        <v>0</v>
      </c>
      <c r="AG239">
        <f>vlookup("924-011808-100",B:AZ,column(af1),0)*e239</f>
        <v>0</v>
      </c>
      <c r="AH239">
        <f>vlookup("924-011808-100",B:AZ,column(ag1),0)*e239</f>
        <v>0</v>
      </c>
      <c r="AI239">
        <f>vlookup("924-011808-100",B:AZ,column(ah1),0)*e239</f>
        <v>0</v>
      </c>
      <c r="AJ239">
        <f>vlookup("924-011808-100",B:AZ,column(ai1),0)*e239</f>
        <v>0</v>
      </c>
      <c r="AK239">
        <f>vlookup("924-011808-100",B:AZ,column(aj1),0)*e239</f>
        <v>0</v>
      </c>
      <c r="AL239">
        <f>vlookup("924-011808-100",B:AZ,column(ak1),0)*e239</f>
        <v>0</v>
      </c>
      <c r="AM239">
        <f>vlookup("924-011808-100",B:AZ,column(al1),0)*e239</f>
        <v>0</v>
      </c>
      <c r="AN239">
        <f>vlookup("924-011808-100",B:AZ,column(am1),0)*e239</f>
        <v>0</v>
      </c>
      <c r="AO239">
        <f>vlookup("924-011808-100",B:AZ,column(an1),0)*e239</f>
        <v>0</v>
      </c>
    </row>
    <row r="240" spans="1:41">
      <c r="A240" t="s">
        <v>22</v>
      </c>
      <c r="B240" t="s">
        <v>274</v>
      </c>
      <c r="C240" t="s">
        <v>275</v>
      </c>
      <c r="E240">
        <v>2</v>
      </c>
      <c r="F240" t="s">
        <v>13</v>
      </c>
      <c r="I240" t="s">
        <v>15</v>
      </c>
      <c r="J240">
        <f>vlookup("924-011808-100",B:AZ,column(i1),0)*e240</f>
        <v>0</v>
      </c>
      <c r="K240">
        <f>vlookup("924-011808-100",B:AZ,column(j1),0)*e240</f>
        <v>0</v>
      </c>
      <c r="L240">
        <f>vlookup("924-011808-100",B:AZ,column(k1),0)*e240</f>
        <v>0</v>
      </c>
      <c r="M240">
        <f>vlookup("924-011808-100",B:AZ,column(l1),0)*e240</f>
        <v>0</v>
      </c>
      <c r="N240">
        <f>vlookup("924-011808-100",B:AZ,column(m1),0)*e240</f>
        <v>0</v>
      </c>
      <c r="O240">
        <f>vlookup("924-011808-100",B:AZ,column(n1),0)*e240</f>
        <v>0</v>
      </c>
      <c r="P240">
        <f>vlookup("924-011808-100",B:AZ,column(o1),0)*e240</f>
        <v>0</v>
      </c>
      <c r="Q240">
        <f>vlookup("924-011808-100",B:AZ,column(p1),0)*e240</f>
        <v>0</v>
      </c>
      <c r="R240">
        <f>vlookup("924-011808-100",B:AZ,column(q1),0)*e240</f>
        <v>0</v>
      </c>
      <c r="S240">
        <f>vlookup("924-011808-100",B:AZ,column(r1),0)*e240</f>
        <v>0</v>
      </c>
      <c r="T240">
        <f>vlookup("924-011808-100",B:AZ,column(s1),0)*e240</f>
        <v>0</v>
      </c>
      <c r="U240">
        <f>vlookup("924-011808-100",B:AZ,column(t1),0)*e240</f>
        <v>0</v>
      </c>
      <c r="V240">
        <f>vlookup("924-011808-100",B:AZ,column(u1),0)*e240</f>
        <v>0</v>
      </c>
      <c r="W240">
        <f>vlookup("924-011808-100",B:AZ,column(v1),0)*e240</f>
        <v>0</v>
      </c>
      <c r="X240">
        <f>vlookup("924-011808-100",B:AZ,column(w1),0)*e240</f>
        <v>0</v>
      </c>
      <c r="Y240">
        <f>vlookup("924-011808-100",B:AZ,column(x1),0)*e240</f>
        <v>0</v>
      </c>
      <c r="Z240">
        <f>vlookup("924-011808-100",B:AZ,column(y1),0)*e240</f>
        <v>0</v>
      </c>
      <c r="AA240">
        <f>vlookup("924-011808-100",B:AZ,column(z1),0)*e240</f>
        <v>0</v>
      </c>
      <c r="AB240">
        <f>vlookup("924-011808-100",B:AZ,column(aa1),0)*e240</f>
        <v>0</v>
      </c>
      <c r="AC240">
        <f>vlookup("924-011808-100",B:AZ,column(ab1),0)*e240</f>
        <v>0</v>
      </c>
      <c r="AD240">
        <f>vlookup("924-011808-100",B:AZ,column(ac1),0)*e240</f>
        <v>0</v>
      </c>
      <c r="AE240">
        <f>vlookup("924-011808-100",B:AZ,column(ad1),0)*e240</f>
        <v>0</v>
      </c>
      <c r="AF240">
        <f>vlookup("924-011808-100",B:AZ,column(ae1),0)*e240</f>
        <v>0</v>
      </c>
      <c r="AG240">
        <f>vlookup("924-011808-100",B:AZ,column(af1),0)*e240</f>
        <v>0</v>
      </c>
      <c r="AH240">
        <f>vlookup("924-011808-100",B:AZ,column(ag1),0)*e240</f>
        <v>0</v>
      </c>
      <c r="AI240">
        <f>vlookup("924-011808-100",B:AZ,column(ah1),0)*e240</f>
        <v>0</v>
      </c>
      <c r="AJ240">
        <f>vlookup("924-011808-100",B:AZ,column(ai1),0)*e240</f>
        <v>0</v>
      </c>
      <c r="AK240">
        <f>vlookup("924-011808-100",B:AZ,column(aj1),0)*e240</f>
        <v>0</v>
      </c>
      <c r="AL240">
        <f>vlookup("924-011808-100",B:AZ,column(ak1),0)*e240</f>
        <v>0</v>
      </c>
      <c r="AM240">
        <f>vlookup("924-011808-100",B:AZ,column(al1),0)*e240</f>
        <v>0</v>
      </c>
      <c r="AN240">
        <f>vlookup("924-011808-100",B:AZ,column(am1),0)*e240</f>
        <v>0</v>
      </c>
      <c r="AO240">
        <f>vlookup("924-011808-100",B:AZ,column(an1),0)*e240</f>
        <v>0</v>
      </c>
    </row>
    <row r="241" spans="1:41">
      <c r="A241" t="s">
        <v>22</v>
      </c>
      <c r="B241" t="s">
        <v>276</v>
      </c>
      <c r="C241" t="s">
        <v>277</v>
      </c>
      <c r="E241">
        <v>1</v>
      </c>
      <c r="F241" t="s">
        <v>13</v>
      </c>
      <c r="I241" t="s">
        <v>15</v>
      </c>
      <c r="J241">
        <f>vlookup("924-011808-100",B:AZ,column(i1),0)*e241</f>
        <v>0</v>
      </c>
      <c r="K241">
        <f>vlookup("924-011808-100",B:AZ,column(j1),0)*e241</f>
        <v>0</v>
      </c>
      <c r="L241">
        <f>vlookup("924-011808-100",B:AZ,column(k1),0)*e241</f>
        <v>0</v>
      </c>
      <c r="M241">
        <f>vlookup("924-011808-100",B:AZ,column(l1),0)*e241</f>
        <v>0</v>
      </c>
      <c r="N241">
        <f>vlookup("924-011808-100",B:AZ,column(m1),0)*e241</f>
        <v>0</v>
      </c>
      <c r="O241">
        <f>vlookup("924-011808-100",B:AZ,column(n1),0)*e241</f>
        <v>0</v>
      </c>
      <c r="P241">
        <f>vlookup("924-011808-100",B:AZ,column(o1),0)*e241</f>
        <v>0</v>
      </c>
      <c r="Q241">
        <f>vlookup("924-011808-100",B:AZ,column(p1),0)*e241</f>
        <v>0</v>
      </c>
      <c r="R241">
        <f>vlookup("924-011808-100",B:AZ,column(q1),0)*e241</f>
        <v>0</v>
      </c>
      <c r="S241">
        <f>vlookup("924-011808-100",B:AZ,column(r1),0)*e241</f>
        <v>0</v>
      </c>
      <c r="T241">
        <f>vlookup("924-011808-100",B:AZ,column(s1),0)*e241</f>
        <v>0</v>
      </c>
      <c r="U241">
        <f>vlookup("924-011808-100",B:AZ,column(t1),0)*e241</f>
        <v>0</v>
      </c>
      <c r="V241">
        <f>vlookup("924-011808-100",B:AZ,column(u1),0)*e241</f>
        <v>0</v>
      </c>
      <c r="W241">
        <f>vlookup("924-011808-100",B:AZ,column(v1),0)*e241</f>
        <v>0</v>
      </c>
      <c r="X241">
        <f>vlookup("924-011808-100",B:AZ,column(w1),0)*e241</f>
        <v>0</v>
      </c>
      <c r="Y241">
        <f>vlookup("924-011808-100",B:AZ,column(x1),0)*e241</f>
        <v>0</v>
      </c>
      <c r="Z241">
        <f>vlookup("924-011808-100",B:AZ,column(y1),0)*e241</f>
        <v>0</v>
      </c>
      <c r="AA241">
        <f>vlookup("924-011808-100",B:AZ,column(z1),0)*e241</f>
        <v>0</v>
      </c>
      <c r="AB241">
        <f>vlookup("924-011808-100",B:AZ,column(aa1),0)*e241</f>
        <v>0</v>
      </c>
      <c r="AC241">
        <f>vlookup("924-011808-100",B:AZ,column(ab1),0)*e241</f>
        <v>0</v>
      </c>
      <c r="AD241">
        <f>vlookup("924-011808-100",B:AZ,column(ac1),0)*e241</f>
        <v>0</v>
      </c>
      <c r="AE241">
        <f>vlookup("924-011808-100",B:AZ,column(ad1),0)*e241</f>
        <v>0</v>
      </c>
      <c r="AF241">
        <f>vlookup("924-011808-100",B:AZ,column(ae1),0)*e241</f>
        <v>0</v>
      </c>
      <c r="AG241">
        <f>vlookup("924-011808-100",B:AZ,column(af1),0)*e241</f>
        <v>0</v>
      </c>
      <c r="AH241">
        <f>vlookup("924-011808-100",B:AZ,column(ag1),0)*e241</f>
        <v>0</v>
      </c>
      <c r="AI241">
        <f>vlookup("924-011808-100",B:AZ,column(ah1),0)*e241</f>
        <v>0</v>
      </c>
      <c r="AJ241">
        <f>vlookup("924-011808-100",B:AZ,column(ai1),0)*e241</f>
        <v>0</v>
      </c>
      <c r="AK241">
        <f>vlookup("924-011808-100",B:AZ,column(aj1),0)*e241</f>
        <v>0</v>
      </c>
      <c r="AL241">
        <f>vlookup("924-011808-100",B:AZ,column(ak1),0)*e241</f>
        <v>0</v>
      </c>
      <c r="AM241">
        <f>vlookup("924-011808-100",B:AZ,column(al1),0)*e241</f>
        <v>0</v>
      </c>
      <c r="AN241">
        <f>vlookup("924-011808-100",B:AZ,column(am1),0)*e241</f>
        <v>0</v>
      </c>
      <c r="AO241">
        <f>vlookup("924-011808-100",B:AZ,column(an1),0)*e241</f>
        <v>0</v>
      </c>
    </row>
    <row r="242" spans="1:41">
      <c r="A242" t="s">
        <v>278</v>
      </c>
      <c r="B242" t="s">
        <v>279</v>
      </c>
      <c r="C242" t="s">
        <v>280</v>
      </c>
      <c r="E242">
        <v>0.1</v>
      </c>
      <c r="F242" t="s">
        <v>13</v>
      </c>
      <c r="I242" t="s">
        <v>15</v>
      </c>
      <c r="J242">
        <f>vlookup("924-011808-100",B:AZ,column(i1),0)*e242</f>
        <v>0</v>
      </c>
      <c r="K242">
        <f>vlookup("924-011808-100",B:AZ,column(j1),0)*e242</f>
        <v>0</v>
      </c>
      <c r="L242">
        <f>vlookup("924-011808-100",B:AZ,column(k1),0)*e242</f>
        <v>0</v>
      </c>
      <c r="M242">
        <f>vlookup("924-011808-100",B:AZ,column(l1),0)*e242</f>
        <v>0</v>
      </c>
      <c r="N242">
        <f>vlookup("924-011808-100",B:AZ,column(m1),0)*e242</f>
        <v>0</v>
      </c>
      <c r="O242">
        <f>vlookup("924-011808-100",B:AZ,column(n1),0)*e242</f>
        <v>0</v>
      </c>
      <c r="P242">
        <f>vlookup("924-011808-100",B:AZ,column(o1),0)*e242</f>
        <v>0</v>
      </c>
      <c r="Q242">
        <f>vlookup("924-011808-100",B:AZ,column(p1),0)*e242</f>
        <v>0</v>
      </c>
      <c r="R242">
        <f>vlookup("924-011808-100",B:AZ,column(q1),0)*e242</f>
        <v>0</v>
      </c>
      <c r="S242">
        <f>vlookup("924-011808-100",B:AZ,column(r1),0)*e242</f>
        <v>0</v>
      </c>
      <c r="T242">
        <f>vlookup("924-011808-100",B:AZ,column(s1),0)*e242</f>
        <v>0</v>
      </c>
      <c r="U242">
        <f>vlookup("924-011808-100",B:AZ,column(t1),0)*e242</f>
        <v>0</v>
      </c>
      <c r="V242">
        <f>vlookup("924-011808-100",B:AZ,column(u1),0)*e242</f>
        <v>0</v>
      </c>
      <c r="W242">
        <f>vlookup("924-011808-100",B:AZ,column(v1),0)*e242</f>
        <v>0</v>
      </c>
      <c r="X242">
        <f>vlookup("924-011808-100",B:AZ,column(w1),0)*e242</f>
        <v>0</v>
      </c>
      <c r="Y242">
        <f>vlookup("924-011808-100",B:AZ,column(x1),0)*e242</f>
        <v>0</v>
      </c>
      <c r="Z242">
        <f>vlookup("924-011808-100",B:AZ,column(y1),0)*e242</f>
        <v>0</v>
      </c>
      <c r="AA242">
        <f>vlookup("924-011808-100",B:AZ,column(z1),0)*e242</f>
        <v>0</v>
      </c>
      <c r="AB242">
        <f>vlookup("924-011808-100",B:AZ,column(aa1),0)*e242</f>
        <v>0</v>
      </c>
      <c r="AC242">
        <f>vlookup("924-011808-100",B:AZ,column(ab1),0)*e242</f>
        <v>0</v>
      </c>
      <c r="AD242">
        <f>vlookup("924-011808-100",B:AZ,column(ac1),0)*e242</f>
        <v>0</v>
      </c>
      <c r="AE242">
        <f>vlookup("924-011808-100",B:AZ,column(ad1),0)*e242</f>
        <v>0</v>
      </c>
      <c r="AF242">
        <f>vlookup("924-011808-100",B:AZ,column(ae1),0)*e242</f>
        <v>0</v>
      </c>
      <c r="AG242">
        <f>vlookup("924-011808-100",B:AZ,column(af1),0)*e242</f>
        <v>0</v>
      </c>
      <c r="AH242">
        <f>vlookup("924-011808-100",B:AZ,column(ag1),0)*e242</f>
        <v>0</v>
      </c>
      <c r="AI242">
        <f>vlookup("924-011808-100",B:AZ,column(ah1),0)*e242</f>
        <v>0</v>
      </c>
      <c r="AJ242">
        <f>vlookup("924-011808-100",B:AZ,column(ai1),0)*e242</f>
        <v>0</v>
      </c>
      <c r="AK242">
        <f>vlookup("924-011808-100",B:AZ,column(aj1),0)*e242</f>
        <v>0</v>
      </c>
      <c r="AL242">
        <f>vlookup("924-011808-100",B:AZ,column(ak1),0)*e242</f>
        <v>0</v>
      </c>
      <c r="AM242">
        <f>vlookup("924-011808-100",B:AZ,column(al1),0)*e242</f>
        <v>0</v>
      </c>
      <c r="AN242">
        <f>vlookup("924-011808-100",B:AZ,column(am1),0)*e242</f>
        <v>0</v>
      </c>
      <c r="AO242">
        <f>vlookup("924-011808-100",B:AZ,column(an1),0)*e242</f>
        <v>0</v>
      </c>
    </row>
    <row r="243" spans="1:41">
      <c r="A243" t="s">
        <v>10</v>
      </c>
      <c r="B243" t="s">
        <v>281</v>
      </c>
      <c r="C243" t="s">
        <v>282</v>
      </c>
      <c r="E243">
        <v>1</v>
      </c>
      <c r="F243" t="s">
        <v>13</v>
      </c>
      <c r="I243" t="s">
        <v>14</v>
      </c>
      <c r="AO243">
        <f>sum(j243:an243)</f>
        <v>0</v>
      </c>
    </row>
    <row r="244" spans="1:41">
      <c r="I244" t="s">
        <v>15</v>
      </c>
      <c r="J244">
        <f>vlookup("924-011808-200",Out!B:AZ,column(i1),0)</f>
        <v>0</v>
      </c>
      <c r="K244">
        <f>vlookup("924-011808-200",Out!B:AZ,column(j1),0)</f>
        <v>0</v>
      </c>
      <c r="L244">
        <f>vlookup("924-011808-200",Out!B:AZ,column(k1),0)</f>
        <v>0</v>
      </c>
      <c r="M244">
        <f>vlookup("924-011808-200",Out!B:AZ,column(l1),0)</f>
        <v>0</v>
      </c>
      <c r="N244">
        <f>vlookup("924-011808-200",Out!B:AZ,column(m1),0)</f>
        <v>0</v>
      </c>
      <c r="O244">
        <f>vlookup("924-011808-200",Out!B:AZ,column(n1),0)</f>
        <v>0</v>
      </c>
      <c r="P244">
        <f>vlookup("924-011808-200",Out!B:AZ,column(o1),0)</f>
        <v>0</v>
      </c>
      <c r="Q244">
        <f>vlookup("924-011808-200",Out!B:AZ,column(p1),0)</f>
        <v>0</v>
      </c>
      <c r="R244">
        <f>vlookup("924-011808-200",Out!B:AZ,column(q1),0)</f>
        <v>0</v>
      </c>
      <c r="S244">
        <f>vlookup("924-011808-200",Out!B:AZ,column(r1),0)</f>
        <v>0</v>
      </c>
      <c r="T244">
        <f>vlookup("924-011808-200",Out!B:AZ,column(s1),0)</f>
        <v>0</v>
      </c>
      <c r="U244">
        <f>vlookup("924-011808-200",Out!B:AZ,column(t1),0)</f>
        <v>0</v>
      </c>
      <c r="V244">
        <f>vlookup("924-011808-200",Out!B:AZ,column(u1),0)</f>
        <v>0</v>
      </c>
      <c r="W244">
        <f>vlookup("924-011808-200",Out!B:AZ,column(v1),0)</f>
        <v>0</v>
      </c>
      <c r="X244">
        <f>vlookup("924-011808-200",Out!B:AZ,column(w1),0)</f>
        <v>0</v>
      </c>
      <c r="Y244">
        <f>vlookup("924-011808-200",Out!B:AZ,column(x1),0)</f>
        <v>0</v>
      </c>
      <c r="Z244">
        <f>vlookup("924-011808-200",Out!B:AZ,column(y1),0)</f>
        <v>0</v>
      </c>
      <c r="AA244">
        <f>vlookup("924-011808-200",Out!B:AZ,column(z1),0)</f>
        <v>0</v>
      </c>
      <c r="AB244">
        <f>vlookup("924-011808-200",Out!B:AZ,column(aa1),0)</f>
        <v>0</v>
      </c>
      <c r="AC244">
        <f>vlookup("924-011808-200",Out!B:AZ,column(ab1),0)</f>
        <v>0</v>
      </c>
      <c r="AD244">
        <f>vlookup("924-011808-200",Out!B:AZ,column(ac1),0)</f>
        <v>0</v>
      </c>
      <c r="AE244">
        <f>vlookup("924-011808-200",Out!B:AZ,column(ad1),0)</f>
        <v>0</v>
      </c>
      <c r="AF244">
        <f>vlookup("924-011808-200",Out!B:AZ,column(ae1),0)</f>
        <v>0</v>
      </c>
      <c r="AG244">
        <f>vlookup("924-011808-200",Out!B:AZ,column(af1),0)</f>
        <v>0</v>
      </c>
      <c r="AH244">
        <f>vlookup("924-011808-200",Out!B:AZ,column(ag1),0)</f>
        <v>0</v>
      </c>
      <c r="AI244">
        <f>vlookup("924-011808-200",Out!B:AZ,column(ah1),0)</f>
        <v>0</v>
      </c>
      <c r="AJ244">
        <f>vlookup("924-011808-200",Out!B:AZ,column(ai1),0)</f>
        <v>0</v>
      </c>
      <c r="AK244">
        <f>vlookup("924-011808-200",Out!B:AZ,column(aj1),0)</f>
        <v>0</v>
      </c>
      <c r="AL244">
        <f>vlookup("924-011808-200",Out!B:AZ,column(ak1),0)</f>
        <v>0</v>
      </c>
      <c r="AM244">
        <f>vlookup("924-011808-200",Out!B:AZ,column(al1),0)</f>
        <v>0</v>
      </c>
      <c r="AN244">
        <f>vlookup("924-011808-200",Out!B:AZ,column(am1),0)</f>
        <v>0</v>
      </c>
      <c r="AO244">
        <f>vlookup("924-011808-200",Out!B:AZ,column(an1),0)</f>
        <v>0</v>
      </c>
    </row>
    <row r="245" spans="1:41">
      <c r="H245" t="s">
        <v>16</v>
      </c>
      <c r="J245">
        <f>indirect(address(245,9))+indirect(address(243,10))-indirect(address(244,10))</f>
        <v>0</v>
      </c>
      <c r="K245">
        <f>indirect(address(245,10))+indirect(address(243,11))-indirect(address(244,11))</f>
        <v>0</v>
      </c>
      <c r="L245">
        <f>indirect(address(245,11))+indirect(address(243,12))-indirect(address(244,12))</f>
        <v>0</v>
      </c>
      <c r="M245">
        <f>indirect(address(245,12))+indirect(address(243,13))-indirect(address(244,13))</f>
        <v>0</v>
      </c>
      <c r="N245">
        <f>indirect(address(245,13))+indirect(address(243,14))-indirect(address(244,14))</f>
        <v>0</v>
      </c>
      <c r="O245">
        <f>indirect(address(245,14))+indirect(address(243,15))-indirect(address(244,15))</f>
        <v>0</v>
      </c>
      <c r="P245">
        <f>indirect(address(245,15))+indirect(address(243,16))-indirect(address(244,16))</f>
        <v>0</v>
      </c>
      <c r="Q245">
        <f>indirect(address(245,16))+indirect(address(243,17))-indirect(address(244,17))</f>
        <v>0</v>
      </c>
      <c r="R245">
        <f>indirect(address(245,17))+indirect(address(243,18))-indirect(address(244,18))</f>
        <v>0</v>
      </c>
      <c r="S245">
        <f>indirect(address(245,18))+indirect(address(243,19))-indirect(address(244,19))</f>
        <v>0</v>
      </c>
      <c r="T245">
        <f>indirect(address(245,19))+indirect(address(243,20))-indirect(address(244,20))</f>
        <v>0</v>
      </c>
      <c r="U245">
        <f>indirect(address(245,20))+indirect(address(243,21))-indirect(address(244,21))</f>
        <v>0</v>
      </c>
      <c r="V245">
        <f>indirect(address(245,21))+indirect(address(243,22))-indirect(address(244,22))</f>
        <v>0</v>
      </c>
      <c r="W245">
        <f>indirect(address(245,22))+indirect(address(243,23))-indirect(address(244,23))</f>
        <v>0</v>
      </c>
      <c r="X245">
        <f>indirect(address(245,23))+indirect(address(243,24))-indirect(address(244,24))</f>
        <v>0</v>
      </c>
      <c r="Y245">
        <f>indirect(address(245,24))+indirect(address(243,25))-indirect(address(244,25))</f>
        <v>0</v>
      </c>
      <c r="Z245">
        <f>indirect(address(245,25))+indirect(address(243,26))-indirect(address(244,26))</f>
        <v>0</v>
      </c>
      <c r="AA245">
        <f>indirect(address(245,26))+indirect(address(243,27))-indirect(address(244,27))</f>
        <v>0</v>
      </c>
      <c r="AB245">
        <f>indirect(address(245,27))+indirect(address(243,28))-indirect(address(244,28))</f>
        <v>0</v>
      </c>
      <c r="AC245">
        <f>indirect(address(245,28))+indirect(address(243,29))-indirect(address(244,29))</f>
        <v>0</v>
      </c>
      <c r="AD245">
        <f>indirect(address(245,29))+indirect(address(243,30))-indirect(address(244,30))</f>
        <v>0</v>
      </c>
      <c r="AE245">
        <f>indirect(address(245,30))+indirect(address(243,31))-indirect(address(244,31))</f>
        <v>0</v>
      </c>
      <c r="AF245">
        <f>indirect(address(245,31))+indirect(address(243,32))-indirect(address(244,32))</f>
        <v>0</v>
      </c>
      <c r="AG245">
        <f>indirect(address(245,32))+indirect(address(243,33))-indirect(address(244,33))</f>
        <v>0</v>
      </c>
      <c r="AH245">
        <f>indirect(address(245,33))+indirect(address(243,34))-indirect(address(244,34))</f>
        <v>0</v>
      </c>
      <c r="AI245">
        <f>indirect(address(245,34))+indirect(address(243,35))-indirect(address(244,35))</f>
        <v>0</v>
      </c>
      <c r="AJ245">
        <f>indirect(address(245,35))+indirect(address(243,36))-indirect(address(244,36))</f>
        <v>0</v>
      </c>
      <c r="AK245">
        <f>indirect(address(245,36))+indirect(address(243,37))-indirect(address(244,37))</f>
        <v>0</v>
      </c>
      <c r="AL245">
        <f>indirect(address(245,37))+indirect(address(243,38))-indirect(address(244,38))</f>
        <v>0</v>
      </c>
      <c r="AM245">
        <f>indirect(address(245,38))+indirect(address(243,39))-indirect(address(244,39))</f>
        <v>0</v>
      </c>
      <c r="AN245">
        <f>indirect(address(245,39))+indirect(address(243,40))-indirect(address(244,40))</f>
        <v>0</v>
      </c>
      <c r="AO245">
        <f>indirect(address(245,40))</f>
        <v>0</v>
      </c>
    </row>
    <row r="246" spans="1:41">
      <c r="A246" t="s">
        <v>22</v>
      </c>
      <c r="B246" t="s">
        <v>265</v>
      </c>
      <c r="C246" t="s">
        <v>266</v>
      </c>
      <c r="E246">
        <v>1</v>
      </c>
      <c r="F246" t="s">
        <v>13</v>
      </c>
      <c r="I246" t="s">
        <v>15</v>
      </c>
      <c r="J246">
        <f>vlookup("924-011808-200",B:AZ,column(i1),0)*e246</f>
        <v>0</v>
      </c>
      <c r="K246">
        <f>vlookup("924-011808-200",B:AZ,column(j1),0)*e246</f>
        <v>0</v>
      </c>
      <c r="L246">
        <f>vlookup("924-011808-200",B:AZ,column(k1),0)*e246</f>
        <v>0</v>
      </c>
      <c r="M246">
        <f>vlookup("924-011808-200",B:AZ,column(l1),0)*e246</f>
        <v>0</v>
      </c>
      <c r="N246">
        <f>vlookup("924-011808-200",B:AZ,column(m1),0)*e246</f>
        <v>0</v>
      </c>
      <c r="O246">
        <f>vlookup("924-011808-200",B:AZ,column(n1),0)*e246</f>
        <v>0</v>
      </c>
      <c r="P246">
        <f>vlookup("924-011808-200",B:AZ,column(o1),0)*e246</f>
        <v>0</v>
      </c>
      <c r="Q246">
        <f>vlookup("924-011808-200",B:AZ,column(p1),0)*e246</f>
        <v>0</v>
      </c>
      <c r="R246">
        <f>vlookup("924-011808-200",B:AZ,column(q1),0)*e246</f>
        <v>0</v>
      </c>
      <c r="S246">
        <f>vlookup("924-011808-200",B:AZ,column(r1),0)*e246</f>
        <v>0</v>
      </c>
      <c r="T246">
        <f>vlookup("924-011808-200",B:AZ,column(s1),0)*e246</f>
        <v>0</v>
      </c>
      <c r="U246">
        <f>vlookup("924-011808-200",B:AZ,column(t1),0)*e246</f>
        <v>0</v>
      </c>
      <c r="V246">
        <f>vlookup("924-011808-200",B:AZ,column(u1),0)*e246</f>
        <v>0</v>
      </c>
      <c r="W246">
        <f>vlookup("924-011808-200",B:AZ,column(v1),0)*e246</f>
        <v>0</v>
      </c>
      <c r="X246">
        <f>vlookup("924-011808-200",B:AZ,column(w1),0)*e246</f>
        <v>0</v>
      </c>
      <c r="Y246">
        <f>vlookup("924-011808-200",B:AZ,column(x1),0)*e246</f>
        <v>0</v>
      </c>
      <c r="Z246">
        <f>vlookup("924-011808-200",B:AZ,column(y1),0)*e246</f>
        <v>0</v>
      </c>
      <c r="AA246">
        <f>vlookup("924-011808-200",B:AZ,column(z1),0)*e246</f>
        <v>0</v>
      </c>
      <c r="AB246">
        <f>vlookup("924-011808-200",B:AZ,column(aa1),0)*e246</f>
        <v>0</v>
      </c>
      <c r="AC246">
        <f>vlookup("924-011808-200",B:AZ,column(ab1),0)*e246</f>
        <v>0</v>
      </c>
      <c r="AD246">
        <f>vlookup("924-011808-200",B:AZ,column(ac1),0)*e246</f>
        <v>0</v>
      </c>
      <c r="AE246">
        <f>vlookup("924-011808-200",B:AZ,column(ad1),0)*e246</f>
        <v>0</v>
      </c>
      <c r="AF246">
        <f>vlookup("924-011808-200",B:AZ,column(ae1),0)*e246</f>
        <v>0</v>
      </c>
      <c r="AG246">
        <f>vlookup("924-011808-200",B:AZ,column(af1),0)*e246</f>
        <v>0</v>
      </c>
      <c r="AH246">
        <f>vlookup("924-011808-200",B:AZ,column(ag1),0)*e246</f>
        <v>0</v>
      </c>
      <c r="AI246">
        <f>vlookup("924-011808-200",B:AZ,column(ah1),0)*e246</f>
        <v>0</v>
      </c>
      <c r="AJ246">
        <f>vlookup("924-011808-200",B:AZ,column(ai1),0)*e246</f>
        <v>0</v>
      </c>
      <c r="AK246">
        <f>vlookup("924-011808-200",B:AZ,column(aj1),0)*e246</f>
        <v>0</v>
      </c>
      <c r="AL246">
        <f>vlookup("924-011808-200",B:AZ,column(ak1),0)*e246</f>
        <v>0</v>
      </c>
      <c r="AM246">
        <f>vlookup("924-011808-200",B:AZ,column(al1),0)*e246</f>
        <v>0</v>
      </c>
      <c r="AN246">
        <f>vlookup("924-011808-200",B:AZ,column(am1),0)*e246</f>
        <v>0</v>
      </c>
      <c r="AO246">
        <f>vlookup("924-011808-200",B:AZ,column(an1),0)*e246</f>
        <v>0</v>
      </c>
    </row>
    <row r="247" spans="1:41">
      <c r="A247" t="s">
        <v>22</v>
      </c>
      <c r="B247" t="s">
        <v>267</v>
      </c>
      <c r="C247" t="s">
        <v>268</v>
      </c>
      <c r="E247">
        <v>1</v>
      </c>
      <c r="F247" t="s">
        <v>13</v>
      </c>
      <c r="I247" t="s">
        <v>15</v>
      </c>
      <c r="J247">
        <f>vlookup("924-011808-200",B:AZ,column(i1),0)*e247</f>
        <v>0</v>
      </c>
      <c r="K247">
        <f>vlookup("924-011808-200",B:AZ,column(j1),0)*e247</f>
        <v>0</v>
      </c>
      <c r="L247">
        <f>vlookup("924-011808-200",B:AZ,column(k1),0)*e247</f>
        <v>0</v>
      </c>
      <c r="M247">
        <f>vlookup("924-011808-200",B:AZ,column(l1),0)*e247</f>
        <v>0</v>
      </c>
      <c r="N247">
        <f>vlookup("924-011808-200",B:AZ,column(m1),0)*e247</f>
        <v>0</v>
      </c>
      <c r="O247">
        <f>vlookup("924-011808-200",B:AZ,column(n1),0)*e247</f>
        <v>0</v>
      </c>
      <c r="P247">
        <f>vlookup("924-011808-200",B:AZ,column(o1),0)*e247</f>
        <v>0</v>
      </c>
      <c r="Q247">
        <f>vlookup("924-011808-200",B:AZ,column(p1),0)*e247</f>
        <v>0</v>
      </c>
      <c r="R247">
        <f>vlookup("924-011808-200",B:AZ,column(q1),0)*e247</f>
        <v>0</v>
      </c>
      <c r="S247">
        <f>vlookup("924-011808-200",B:AZ,column(r1),0)*e247</f>
        <v>0</v>
      </c>
      <c r="T247">
        <f>vlookup("924-011808-200",B:AZ,column(s1),0)*e247</f>
        <v>0</v>
      </c>
      <c r="U247">
        <f>vlookup("924-011808-200",B:AZ,column(t1),0)*e247</f>
        <v>0</v>
      </c>
      <c r="V247">
        <f>vlookup("924-011808-200",B:AZ,column(u1),0)*e247</f>
        <v>0</v>
      </c>
      <c r="W247">
        <f>vlookup("924-011808-200",B:AZ,column(v1),0)*e247</f>
        <v>0</v>
      </c>
      <c r="X247">
        <f>vlookup("924-011808-200",B:AZ,column(w1),0)*e247</f>
        <v>0</v>
      </c>
      <c r="Y247">
        <f>vlookup("924-011808-200",B:AZ,column(x1),0)*e247</f>
        <v>0</v>
      </c>
      <c r="Z247">
        <f>vlookup("924-011808-200",B:AZ,column(y1),0)*e247</f>
        <v>0</v>
      </c>
      <c r="AA247">
        <f>vlookup("924-011808-200",B:AZ,column(z1),0)*e247</f>
        <v>0</v>
      </c>
      <c r="AB247">
        <f>vlookup("924-011808-200",B:AZ,column(aa1),0)*e247</f>
        <v>0</v>
      </c>
      <c r="AC247">
        <f>vlookup("924-011808-200",B:AZ,column(ab1),0)*e247</f>
        <v>0</v>
      </c>
      <c r="AD247">
        <f>vlookup("924-011808-200",B:AZ,column(ac1),0)*e247</f>
        <v>0</v>
      </c>
      <c r="AE247">
        <f>vlookup("924-011808-200",B:AZ,column(ad1),0)*e247</f>
        <v>0</v>
      </c>
      <c r="AF247">
        <f>vlookup("924-011808-200",B:AZ,column(ae1),0)*e247</f>
        <v>0</v>
      </c>
      <c r="AG247">
        <f>vlookup("924-011808-200",B:AZ,column(af1),0)*e247</f>
        <v>0</v>
      </c>
      <c r="AH247">
        <f>vlookup("924-011808-200",B:AZ,column(ag1),0)*e247</f>
        <v>0</v>
      </c>
      <c r="AI247">
        <f>vlookup("924-011808-200",B:AZ,column(ah1),0)*e247</f>
        <v>0</v>
      </c>
      <c r="AJ247">
        <f>vlookup("924-011808-200",B:AZ,column(ai1),0)*e247</f>
        <v>0</v>
      </c>
      <c r="AK247">
        <f>vlookup("924-011808-200",B:AZ,column(aj1),0)*e247</f>
        <v>0</v>
      </c>
      <c r="AL247">
        <f>vlookup("924-011808-200",B:AZ,column(ak1),0)*e247</f>
        <v>0</v>
      </c>
      <c r="AM247">
        <f>vlookup("924-011808-200",B:AZ,column(al1),0)*e247</f>
        <v>0</v>
      </c>
      <c r="AN247">
        <f>vlookup("924-011808-200",B:AZ,column(am1),0)*e247</f>
        <v>0</v>
      </c>
      <c r="AO247">
        <f>vlookup("924-011808-200",B:AZ,column(an1),0)*e247</f>
        <v>0</v>
      </c>
    </row>
    <row r="248" spans="1:41">
      <c r="A248" t="s">
        <v>22</v>
      </c>
      <c r="B248" t="s">
        <v>269</v>
      </c>
      <c r="C248" t="s">
        <v>270</v>
      </c>
      <c r="E248">
        <v>1</v>
      </c>
      <c r="F248" t="s">
        <v>13</v>
      </c>
      <c r="I248" t="s">
        <v>15</v>
      </c>
      <c r="J248">
        <f>vlookup("924-011808-200",B:AZ,column(i1),0)*e248</f>
        <v>0</v>
      </c>
      <c r="K248">
        <f>vlookup("924-011808-200",B:AZ,column(j1),0)*e248</f>
        <v>0</v>
      </c>
      <c r="L248">
        <f>vlookup("924-011808-200",B:AZ,column(k1),0)*e248</f>
        <v>0</v>
      </c>
      <c r="M248">
        <f>vlookup("924-011808-200",B:AZ,column(l1),0)*e248</f>
        <v>0</v>
      </c>
      <c r="N248">
        <f>vlookup("924-011808-200",B:AZ,column(m1),0)*e248</f>
        <v>0</v>
      </c>
      <c r="O248">
        <f>vlookup("924-011808-200",B:AZ,column(n1),0)*e248</f>
        <v>0</v>
      </c>
      <c r="P248">
        <f>vlookup("924-011808-200",B:AZ,column(o1),0)*e248</f>
        <v>0</v>
      </c>
      <c r="Q248">
        <f>vlookup("924-011808-200",B:AZ,column(p1),0)*e248</f>
        <v>0</v>
      </c>
      <c r="R248">
        <f>vlookup("924-011808-200",B:AZ,column(q1),0)*e248</f>
        <v>0</v>
      </c>
      <c r="S248">
        <f>vlookup("924-011808-200",B:AZ,column(r1),0)*e248</f>
        <v>0</v>
      </c>
      <c r="T248">
        <f>vlookup("924-011808-200",B:AZ,column(s1),0)*e248</f>
        <v>0</v>
      </c>
      <c r="U248">
        <f>vlookup("924-011808-200",B:AZ,column(t1),0)*e248</f>
        <v>0</v>
      </c>
      <c r="V248">
        <f>vlookup("924-011808-200",B:AZ,column(u1),0)*e248</f>
        <v>0</v>
      </c>
      <c r="W248">
        <f>vlookup("924-011808-200",B:AZ,column(v1),0)*e248</f>
        <v>0</v>
      </c>
      <c r="X248">
        <f>vlookup("924-011808-200",B:AZ,column(w1),0)*e248</f>
        <v>0</v>
      </c>
      <c r="Y248">
        <f>vlookup("924-011808-200",B:AZ,column(x1),0)*e248</f>
        <v>0</v>
      </c>
      <c r="Z248">
        <f>vlookup("924-011808-200",B:AZ,column(y1),0)*e248</f>
        <v>0</v>
      </c>
      <c r="AA248">
        <f>vlookup("924-011808-200",B:AZ,column(z1),0)*e248</f>
        <v>0</v>
      </c>
      <c r="AB248">
        <f>vlookup("924-011808-200",B:AZ,column(aa1),0)*e248</f>
        <v>0</v>
      </c>
      <c r="AC248">
        <f>vlookup("924-011808-200",B:AZ,column(ab1),0)*e248</f>
        <v>0</v>
      </c>
      <c r="AD248">
        <f>vlookup("924-011808-200",B:AZ,column(ac1),0)*e248</f>
        <v>0</v>
      </c>
      <c r="AE248">
        <f>vlookup("924-011808-200",B:AZ,column(ad1),0)*e248</f>
        <v>0</v>
      </c>
      <c r="AF248">
        <f>vlookup("924-011808-200",B:AZ,column(ae1),0)*e248</f>
        <v>0</v>
      </c>
      <c r="AG248">
        <f>vlookup("924-011808-200",B:AZ,column(af1),0)*e248</f>
        <v>0</v>
      </c>
      <c r="AH248">
        <f>vlookup("924-011808-200",B:AZ,column(ag1),0)*e248</f>
        <v>0</v>
      </c>
      <c r="AI248">
        <f>vlookup("924-011808-200",B:AZ,column(ah1),0)*e248</f>
        <v>0</v>
      </c>
      <c r="AJ248">
        <f>vlookup("924-011808-200",B:AZ,column(ai1),0)*e248</f>
        <v>0</v>
      </c>
      <c r="AK248">
        <f>vlookup("924-011808-200",B:AZ,column(aj1),0)*e248</f>
        <v>0</v>
      </c>
      <c r="AL248">
        <f>vlookup("924-011808-200",B:AZ,column(ak1),0)*e248</f>
        <v>0</v>
      </c>
      <c r="AM248">
        <f>vlookup("924-011808-200",B:AZ,column(al1),0)*e248</f>
        <v>0</v>
      </c>
      <c r="AN248">
        <f>vlookup("924-011808-200",B:AZ,column(am1),0)*e248</f>
        <v>0</v>
      </c>
      <c r="AO248">
        <f>vlookup("924-011808-200",B:AZ,column(an1),0)*e248</f>
        <v>0</v>
      </c>
    </row>
    <row r="249" spans="1:41">
      <c r="A249" t="s">
        <v>22</v>
      </c>
      <c r="B249" t="s">
        <v>165</v>
      </c>
      <c r="C249" t="s">
        <v>271</v>
      </c>
      <c r="E249">
        <v>1</v>
      </c>
      <c r="F249" t="s">
        <v>13</v>
      </c>
      <c r="I249" t="s">
        <v>15</v>
      </c>
      <c r="J249">
        <f>vlookup("924-011808-200",B:AZ,column(i1),0)*e249</f>
        <v>0</v>
      </c>
      <c r="K249">
        <f>vlookup("924-011808-200",B:AZ,column(j1),0)*e249</f>
        <v>0</v>
      </c>
      <c r="L249">
        <f>vlookup("924-011808-200",B:AZ,column(k1),0)*e249</f>
        <v>0</v>
      </c>
      <c r="M249">
        <f>vlookup("924-011808-200",B:AZ,column(l1),0)*e249</f>
        <v>0</v>
      </c>
      <c r="N249">
        <f>vlookup("924-011808-200",B:AZ,column(m1),0)*e249</f>
        <v>0</v>
      </c>
      <c r="O249">
        <f>vlookup("924-011808-200",B:AZ,column(n1),0)*e249</f>
        <v>0</v>
      </c>
      <c r="P249">
        <f>vlookup("924-011808-200",B:AZ,column(o1),0)*e249</f>
        <v>0</v>
      </c>
      <c r="Q249">
        <f>vlookup("924-011808-200",B:AZ,column(p1),0)*e249</f>
        <v>0</v>
      </c>
      <c r="R249">
        <f>vlookup("924-011808-200",B:AZ,column(q1),0)*e249</f>
        <v>0</v>
      </c>
      <c r="S249">
        <f>vlookup("924-011808-200",B:AZ,column(r1),0)*e249</f>
        <v>0</v>
      </c>
      <c r="T249">
        <f>vlookup("924-011808-200",B:AZ,column(s1),0)*e249</f>
        <v>0</v>
      </c>
      <c r="U249">
        <f>vlookup("924-011808-200",B:AZ,column(t1),0)*e249</f>
        <v>0</v>
      </c>
      <c r="V249">
        <f>vlookup("924-011808-200",B:AZ,column(u1),0)*e249</f>
        <v>0</v>
      </c>
      <c r="W249">
        <f>vlookup("924-011808-200",B:AZ,column(v1),0)*e249</f>
        <v>0</v>
      </c>
      <c r="X249">
        <f>vlookup("924-011808-200",B:AZ,column(w1),0)*e249</f>
        <v>0</v>
      </c>
      <c r="Y249">
        <f>vlookup("924-011808-200",B:AZ,column(x1),0)*e249</f>
        <v>0</v>
      </c>
      <c r="Z249">
        <f>vlookup("924-011808-200",B:AZ,column(y1),0)*e249</f>
        <v>0</v>
      </c>
      <c r="AA249">
        <f>vlookup("924-011808-200",B:AZ,column(z1),0)*e249</f>
        <v>0</v>
      </c>
      <c r="AB249">
        <f>vlookup("924-011808-200",B:AZ,column(aa1),0)*e249</f>
        <v>0</v>
      </c>
      <c r="AC249">
        <f>vlookup("924-011808-200",B:AZ,column(ab1),0)*e249</f>
        <v>0</v>
      </c>
      <c r="AD249">
        <f>vlookup("924-011808-200",B:AZ,column(ac1),0)*e249</f>
        <v>0</v>
      </c>
      <c r="AE249">
        <f>vlookup("924-011808-200",B:AZ,column(ad1),0)*e249</f>
        <v>0</v>
      </c>
      <c r="AF249">
        <f>vlookup("924-011808-200",B:AZ,column(ae1),0)*e249</f>
        <v>0</v>
      </c>
      <c r="AG249">
        <f>vlookup("924-011808-200",B:AZ,column(af1),0)*e249</f>
        <v>0</v>
      </c>
      <c r="AH249">
        <f>vlookup("924-011808-200",B:AZ,column(ag1),0)*e249</f>
        <v>0</v>
      </c>
      <c r="AI249">
        <f>vlookup("924-011808-200",B:AZ,column(ah1),0)*e249</f>
        <v>0</v>
      </c>
      <c r="AJ249">
        <f>vlookup("924-011808-200",B:AZ,column(ai1),0)*e249</f>
        <v>0</v>
      </c>
      <c r="AK249">
        <f>vlookup("924-011808-200",B:AZ,column(aj1),0)*e249</f>
        <v>0</v>
      </c>
      <c r="AL249">
        <f>vlookup("924-011808-200",B:AZ,column(ak1),0)*e249</f>
        <v>0</v>
      </c>
      <c r="AM249">
        <f>vlookup("924-011808-200",B:AZ,column(al1),0)*e249</f>
        <v>0</v>
      </c>
      <c r="AN249">
        <f>vlookup("924-011808-200",B:AZ,column(am1),0)*e249</f>
        <v>0</v>
      </c>
      <c r="AO249">
        <f>vlookup("924-011808-200",B:AZ,column(an1),0)*e249</f>
        <v>0</v>
      </c>
    </row>
    <row r="250" spans="1:41">
      <c r="A250" t="s">
        <v>22</v>
      </c>
      <c r="B250" t="s">
        <v>272</v>
      </c>
      <c r="C250" t="s">
        <v>273</v>
      </c>
      <c r="E250">
        <v>1</v>
      </c>
      <c r="F250" t="s">
        <v>13</v>
      </c>
      <c r="I250" t="s">
        <v>15</v>
      </c>
      <c r="J250">
        <f>vlookup("924-011808-200",B:AZ,column(i1),0)*e250</f>
        <v>0</v>
      </c>
      <c r="K250">
        <f>vlookup("924-011808-200",B:AZ,column(j1),0)*e250</f>
        <v>0</v>
      </c>
      <c r="L250">
        <f>vlookup("924-011808-200",B:AZ,column(k1),0)*e250</f>
        <v>0</v>
      </c>
      <c r="M250">
        <f>vlookup("924-011808-200",B:AZ,column(l1),0)*e250</f>
        <v>0</v>
      </c>
      <c r="N250">
        <f>vlookup("924-011808-200",B:AZ,column(m1),0)*e250</f>
        <v>0</v>
      </c>
      <c r="O250">
        <f>vlookup("924-011808-200",B:AZ,column(n1),0)*e250</f>
        <v>0</v>
      </c>
      <c r="P250">
        <f>vlookup("924-011808-200",B:AZ,column(o1),0)*e250</f>
        <v>0</v>
      </c>
      <c r="Q250">
        <f>vlookup("924-011808-200",B:AZ,column(p1),0)*e250</f>
        <v>0</v>
      </c>
      <c r="R250">
        <f>vlookup("924-011808-200",B:AZ,column(q1),0)*e250</f>
        <v>0</v>
      </c>
      <c r="S250">
        <f>vlookup("924-011808-200",B:AZ,column(r1),0)*e250</f>
        <v>0</v>
      </c>
      <c r="T250">
        <f>vlookup("924-011808-200",B:AZ,column(s1),0)*e250</f>
        <v>0</v>
      </c>
      <c r="U250">
        <f>vlookup("924-011808-200",B:AZ,column(t1),0)*e250</f>
        <v>0</v>
      </c>
      <c r="V250">
        <f>vlookup("924-011808-200",B:AZ,column(u1),0)*e250</f>
        <v>0</v>
      </c>
      <c r="W250">
        <f>vlookup("924-011808-200",B:AZ,column(v1),0)*e250</f>
        <v>0</v>
      </c>
      <c r="X250">
        <f>vlookup("924-011808-200",B:AZ,column(w1),0)*e250</f>
        <v>0</v>
      </c>
      <c r="Y250">
        <f>vlookup("924-011808-200",B:AZ,column(x1),0)*e250</f>
        <v>0</v>
      </c>
      <c r="Z250">
        <f>vlookup("924-011808-200",B:AZ,column(y1),0)*e250</f>
        <v>0</v>
      </c>
      <c r="AA250">
        <f>vlookup("924-011808-200",B:AZ,column(z1),0)*e250</f>
        <v>0</v>
      </c>
      <c r="AB250">
        <f>vlookup("924-011808-200",B:AZ,column(aa1),0)*e250</f>
        <v>0</v>
      </c>
      <c r="AC250">
        <f>vlookup("924-011808-200",B:AZ,column(ab1),0)*e250</f>
        <v>0</v>
      </c>
      <c r="AD250">
        <f>vlookup("924-011808-200",B:AZ,column(ac1),0)*e250</f>
        <v>0</v>
      </c>
      <c r="AE250">
        <f>vlookup("924-011808-200",B:AZ,column(ad1),0)*e250</f>
        <v>0</v>
      </c>
      <c r="AF250">
        <f>vlookup("924-011808-200",B:AZ,column(ae1),0)*e250</f>
        <v>0</v>
      </c>
      <c r="AG250">
        <f>vlookup("924-011808-200",B:AZ,column(af1),0)*e250</f>
        <v>0</v>
      </c>
      <c r="AH250">
        <f>vlookup("924-011808-200",B:AZ,column(ag1),0)*e250</f>
        <v>0</v>
      </c>
      <c r="AI250">
        <f>vlookup("924-011808-200",B:AZ,column(ah1),0)*e250</f>
        <v>0</v>
      </c>
      <c r="AJ250">
        <f>vlookup("924-011808-200",B:AZ,column(ai1),0)*e250</f>
        <v>0</v>
      </c>
      <c r="AK250">
        <f>vlookup("924-011808-200",B:AZ,column(aj1),0)*e250</f>
        <v>0</v>
      </c>
      <c r="AL250">
        <f>vlookup("924-011808-200",B:AZ,column(ak1),0)*e250</f>
        <v>0</v>
      </c>
      <c r="AM250">
        <f>vlookup("924-011808-200",B:AZ,column(al1),0)*e250</f>
        <v>0</v>
      </c>
      <c r="AN250">
        <f>vlookup("924-011808-200",B:AZ,column(am1),0)*e250</f>
        <v>0</v>
      </c>
      <c r="AO250">
        <f>vlookup("924-011808-200",B:AZ,column(an1),0)*e250</f>
        <v>0</v>
      </c>
    </row>
    <row r="251" spans="1:41">
      <c r="A251" t="s">
        <v>22</v>
      </c>
      <c r="B251" t="s">
        <v>274</v>
      </c>
      <c r="C251" t="s">
        <v>275</v>
      </c>
      <c r="E251">
        <v>2</v>
      </c>
      <c r="F251" t="s">
        <v>13</v>
      </c>
      <c r="I251" t="s">
        <v>15</v>
      </c>
      <c r="J251">
        <f>vlookup("924-011808-200",B:AZ,column(i1),0)*e251</f>
        <v>0</v>
      </c>
      <c r="K251">
        <f>vlookup("924-011808-200",B:AZ,column(j1),0)*e251</f>
        <v>0</v>
      </c>
      <c r="L251">
        <f>vlookup("924-011808-200",B:AZ,column(k1),0)*e251</f>
        <v>0</v>
      </c>
      <c r="M251">
        <f>vlookup("924-011808-200",B:AZ,column(l1),0)*e251</f>
        <v>0</v>
      </c>
      <c r="N251">
        <f>vlookup("924-011808-200",B:AZ,column(m1),0)*e251</f>
        <v>0</v>
      </c>
      <c r="O251">
        <f>vlookup("924-011808-200",B:AZ,column(n1),0)*e251</f>
        <v>0</v>
      </c>
      <c r="P251">
        <f>vlookup("924-011808-200",B:AZ,column(o1),0)*e251</f>
        <v>0</v>
      </c>
      <c r="Q251">
        <f>vlookup("924-011808-200",B:AZ,column(p1),0)*e251</f>
        <v>0</v>
      </c>
      <c r="R251">
        <f>vlookup("924-011808-200",B:AZ,column(q1),0)*e251</f>
        <v>0</v>
      </c>
      <c r="S251">
        <f>vlookup("924-011808-200",B:AZ,column(r1),0)*e251</f>
        <v>0</v>
      </c>
      <c r="T251">
        <f>vlookup("924-011808-200",B:AZ,column(s1),0)*e251</f>
        <v>0</v>
      </c>
      <c r="U251">
        <f>vlookup("924-011808-200",B:AZ,column(t1),0)*e251</f>
        <v>0</v>
      </c>
      <c r="V251">
        <f>vlookup("924-011808-200",B:AZ,column(u1),0)*e251</f>
        <v>0</v>
      </c>
      <c r="W251">
        <f>vlookup("924-011808-200",B:AZ,column(v1),0)*e251</f>
        <v>0</v>
      </c>
      <c r="X251">
        <f>vlookup("924-011808-200",B:AZ,column(w1),0)*e251</f>
        <v>0</v>
      </c>
      <c r="Y251">
        <f>vlookup("924-011808-200",B:AZ,column(x1),0)*e251</f>
        <v>0</v>
      </c>
      <c r="Z251">
        <f>vlookup("924-011808-200",B:AZ,column(y1),0)*e251</f>
        <v>0</v>
      </c>
      <c r="AA251">
        <f>vlookup("924-011808-200",B:AZ,column(z1),0)*e251</f>
        <v>0</v>
      </c>
      <c r="AB251">
        <f>vlookup("924-011808-200",B:AZ,column(aa1),0)*e251</f>
        <v>0</v>
      </c>
      <c r="AC251">
        <f>vlookup("924-011808-200",B:AZ,column(ab1),0)*e251</f>
        <v>0</v>
      </c>
      <c r="AD251">
        <f>vlookup("924-011808-200",B:AZ,column(ac1),0)*e251</f>
        <v>0</v>
      </c>
      <c r="AE251">
        <f>vlookup("924-011808-200",B:AZ,column(ad1),0)*e251</f>
        <v>0</v>
      </c>
      <c r="AF251">
        <f>vlookup("924-011808-200",B:AZ,column(ae1),0)*e251</f>
        <v>0</v>
      </c>
      <c r="AG251">
        <f>vlookup("924-011808-200",B:AZ,column(af1),0)*e251</f>
        <v>0</v>
      </c>
      <c r="AH251">
        <f>vlookup("924-011808-200",B:AZ,column(ag1),0)*e251</f>
        <v>0</v>
      </c>
      <c r="AI251">
        <f>vlookup("924-011808-200",B:AZ,column(ah1),0)*e251</f>
        <v>0</v>
      </c>
      <c r="AJ251">
        <f>vlookup("924-011808-200",B:AZ,column(ai1),0)*e251</f>
        <v>0</v>
      </c>
      <c r="AK251">
        <f>vlookup("924-011808-200",B:AZ,column(aj1),0)*e251</f>
        <v>0</v>
      </c>
      <c r="AL251">
        <f>vlookup("924-011808-200",B:AZ,column(ak1),0)*e251</f>
        <v>0</v>
      </c>
      <c r="AM251">
        <f>vlookup("924-011808-200",B:AZ,column(al1),0)*e251</f>
        <v>0</v>
      </c>
      <c r="AN251">
        <f>vlookup("924-011808-200",B:AZ,column(am1),0)*e251</f>
        <v>0</v>
      </c>
      <c r="AO251">
        <f>vlookup("924-011808-200",B:AZ,column(an1),0)*e251</f>
        <v>0</v>
      </c>
    </row>
    <row r="252" spans="1:41">
      <c r="A252" t="s">
        <v>22</v>
      </c>
      <c r="B252" t="s">
        <v>276</v>
      </c>
      <c r="C252" t="s">
        <v>277</v>
      </c>
      <c r="E252">
        <v>1</v>
      </c>
      <c r="F252" t="s">
        <v>13</v>
      </c>
      <c r="I252" t="s">
        <v>15</v>
      </c>
      <c r="J252">
        <f>vlookup("924-011808-200",B:AZ,column(i1),0)*e252</f>
        <v>0</v>
      </c>
      <c r="K252">
        <f>vlookup("924-011808-200",B:AZ,column(j1),0)*e252</f>
        <v>0</v>
      </c>
      <c r="L252">
        <f>vlookup("924-011808-200",B:AZ,column(k1),0)*e252</f>
        <v>0</v>
      </c>
      <c r="M252">
        <f>vlookup("924-011808-200",B:AZ,column(l1),0)*e252</f>
        <v>0</v>
      </c>
      <c r="N252">
        <f>vlookup("924-011808-200",B:AZ,column(m1),0)*e252</f>
        <v>0</v>
      </c>
      <c r="O252">
        <f>vlookup("924-011808-200",B:AZ,column(n1),0)*e252</f>
        <v>0</v>
      </c>
      <c r="P252">
        <f>vlookup("924-011808-200",B:AZ,column(o1),0)*e252</f>
        <v>0</v>
      </c>
      <c r="Q252">
        <f>vlookup("924-011808-200",B:AZ,column(p1),0)*e252</f>
        <v>0</v>
      </c>
      <c r="R252">
        <f>vlookup("924-011808-200",B:AZ,column(q1),0)*e252</f>
        <v>0</v>
      </c>
      <c r="S252">
        <f>vlookup("924-011808-200",B:AZ,column(r1),0)*e252</f>
        <v>0</v>
      </c>
      <c r="T252">
        <f>vlookup("924-011808-200",B:AZ,column(s1),0)*e252</f>
        <v>0</v>
      </c>
      <c r="U252">
        <f>vlookup("924-011808-200",B:AZ,column(t1),0)*e252</f>
        <v>0</v>
      </c>
      <c r="V252">
        <f>vlookup("924-011808-200",B:AZ,column(u1),0)*e252</f>
        <v>0</v>
      </c>
      <c r="W252">
        <f>vlookup("924-011808-200",B:AZ,column(v1),0)*e252</f>
        <v>0</v>
      </c>
      <c r="X252">
        <f>vlookup("924-011808-200",B:AZ,column(w1),0)*e252</f>
        <v>0</v>
      </c>
      <c r="Y252">
        <f>vlookup("924-011808-200",B:AZ,column(x1),0)*e252</f>
        <v>0</v>
      </c>
      <c r="Z252">
        <f>vlookup("924-011808-200",B:AZ,column(y1),0)*e252</f>
        <v>0</v>
      </c>
      <c r="AA252">
        <f>vlookup("924-011808-200",B:AZ,column(z1),0)*e252</f>
        <v>0</v>
      </c>
      <c r="AB252">
        <f>vlookup("924-011808-200",B:AZ,column(aa1),0)*e252</f>
        <v>0</v>
      </c>
      <c r="AC252">
        <f>vlookup("924-011808-200",B:AZ,column(ab1),0)*e252</f>
        <v>0</v>
      </c>
      <c r="AD252">
        <f>vlookup("924-011808-200",B:AZ,column(ac1),0)*e252</f>
        <v>0</v>
      </c>
      <c r="AE252">
        <f>vlookup("924-011808-200",B:AZ,column(ad1),0)*e252</f>
        <v>0</v>
      </c>
      <c r="AF252">
        <f>vlookup("924-011808-200",B:AZ,column(ae1),0)*e252</f>
        <v>0</v>
      </c>
      <c r="AG252">
        <f>vlookup("924-011808-200",B:AZ,column(af1),0)*e252</f>
        <v>0</v>
      </c>
      <c r="AH252">
        <f>vlookup("924-011808-200",B:AZ,column(ag1),0)*e252</f>
        <v>0</v>
      </c>
      <c r="AI252">
        <f>vlookup("924-011808-200",B:AZ,column(ah1),0)*e252</f>
        <v>0</v>
      </c>
      <c r="AJ252">
        <f>vlookup("924-011808-200",B:AZ,column(ai1),0)*e252</f>
        <v>0</v>
      </c>
      <c r="AK252">
        <f>vlookup("924-011808-200",B:AZ,column(aj1),0)*e252</f>
        <v>0</v>
      </c>
      <c r="AL252">
        <f>vlookup("924-011808-200",B:AZ,column(ak1),0)*e252</f>
        <v>0</v>
      </c>
      <c r="AM252">
        <f>vlookup("924-011808-200",B:AZ,column(al1),0)*e252</f>
        <v>0</v>
      </c>
      <c r="AN252">
        <f>vlookup("924-011808-200",B:AZ,column(am1),0)*e252</f>
        <v>0</v>
      </c>
      <c r="AO252">
        <f>vlookup("924-011808-200",B:AZ,column(an1),0)*e252</f>
        <v>0</v>
      </c>
    </row>
    <row r="253" spans="1:41">
      <c r="A253" t="s">
        <v>278</v>
      </c>
      <c r="B253" t="s">
        <v>283</v>
      </c>
      <c r="C253" t="s">
        <v>284</v>
      </c>
      <c r="E253">
        <v>0.1</v>
      </c>
      <c r="F253" t="s">
        <v>13</v>
      </c>
      <c r="I253" t="s">
        <v>15</v>
      </c>
      <c r="J253">
        <f>vlookup("924-011808-200",B:AZ,column(i1),0)*e253</f>
        <v>0</v>
      </c>
      <c r="K253">
        <f>vlookup("924-011808-200",B:AZ,column(j1),0)*e253</f>
        <v>0</v>
      </c>
      <c r="L253">
        <f>vlookup("924-011808-200",B:AZ,column(k1),0)*e253</f>
        <v>0</v>
      </c>
      <c r="M253">
        <f>vlookup("924-011808-200",B:AZ,column(l1),0)*e253</f>
        <v>0</v>
      </c>
      <c r="N253">
        <f>vlookup("924-011808-200",B:AZ,column(m1),0)*e253</f>
        <v>0</v>
      </c>
      <c r="O253">
        <f>vlookup("924-011808-200",B:AZ,column(n1),0)*e253</f>
        <v>0</v>
      </c>
      <c r="P253">
        <f>vlookup("924-011808-200",B:AZ,column(o1),0)*e253</f>
        <v>0</v>
      </c>
      <c r="Q253">
        <f>vlookup("924-011808-200",B:AZ,column(p1),0)*e253</f>
        <v>0</v>
      </c>
      <c r="R253">
        <f>vlookup("924-011808-200",B:AZ,column(q1),0)*e253</f>
        <v>0</v>
      </c>
      <c r="S253">
        <f>vlookup("924-011808-200",B:AZ,column(r1),0)*e253</f>
        <v>0</v>
      </c>
      <c r="T253">
        <f>vlookup("924-011808-200",B:AZ,column(s1),0)*e253</f>
        <v>0</v>
      </c>
      <c r="U253">
        <f>vlookup("924-011808-200",B:AZ,column(t1),0)*e253</f>
        <v>0</v>
      </c>
      <c r="V253">
        <f>vlookup("924-011808-200",B:AZ,column(u1),0)*e253</f>
        <v>0</v>
      </c>
      <c r="W253">
        <f>vlookup("924-011808-200",B:AZ,column(v1),0)*e253</f>
        <v>0</v>
      </c>
      <c r="X253">
        <f>vlookup("924-011808-200",B:AZ,column(w1),0)*e253</f>
        <v>0</v>
      </c>
      <c r="Y253">
        <f>vlookup("924-011808-200",B:AZ,column(x1),0)*e253</f>
        <v>0</v>
      </c>
      <c r="Z253">
        <f>vlookup("924-011808-200",B:AZ,column(y1),0)*e253</f>
        <v>0</v>
      </c>
      <c r="AA253">
        <f>vlookup("924-011808-200",B:AZ,column(z1),0)*e253</f>
        <v>0</v>
      </c>
      <c r="AB253">
        <f>vlookup("924-011808-200",B:AZ,column(aa1),0)*e253</f>
        <v>0</v>
      </c>
      <c r="AC253">
        <f>vlookup("924-011808-200",B:AZ,column(ab1),0)*e253</f>
        <v>0</v>
      </c>
      <c r="AD253">
        <f>vlookup("924-011808-200",B:AZ,column(ac1),0)*e253</f>
        <v>0</v>
      </c>
      <c r="AE253">
        <f>vlookup("924-011808-200",B:AZ,column(ad1),0)*e253</f>
        <v>0</v>
      </c>
      <c r="AF253">
        <f>vlookup("924-011808-200",B:AZ,column(ae1),0)*e253</f>
        <v>0</v>
      </c>
      <c r="AG253">
        <f>vlookup("924-011808-200",B:AZ,column(af1),0)*e253</f>
        <v>0</v>
      </c>
      <c r="AH253">
        <f>vlookup("924-011808-200",B:AZ,column(ag1),0)*e253</f>
        <v>0</v>
      </c>
      <c r="AI253">
        <f>vlookup("924-011808-200",B:AZ,column(ah1),0)*e253</f>
        <v>0</v>
      </c>
      <c r="AJ253">
        <f>vlookup("924-011808-200",B:AZ,column(ai1),0)*e253</f>
        <v>0</v>
      </c>
      <c r="AK253">
        <f>vlookup("924-011808-200",B:AZ,column(aj1),0)*e253</f>
        <v>0</v>
      </c>
      <c r="AL253">
        <f>vlookup("924-011808-200",B:AZ,column(ak1),0)*e253</f>
        <v>0</v>
      </c>
      <c r="AM253">
        <f>vlookup("924-011808-200",B:AZ,column(al1),0)*e253</f>
        <v>0</v>
      </c>
      <c r="AN253">
        <f>vlookup("924-011808-200",B:AZ,column(am1),0)*e253</f>
        <v>0</v>
      </c>
      <c r="AO253">
        <f>vlookup("924-011808-200",B:AZ,column(an1),0)*e253</f>
        <v>0</v>
      </c>
    </row>
    <row r="254" spans="1:41">
      <c r="A254" t="s">
        <v>10</v>
      </c>
      <c r="B254" t="s">
        <v>285</v>
      </c>
      <c r="C254" t="s">
        <v>286</v>
      </c>
      <c r="E254">
        <v>1</v>
      </c>
      <c r="F254" t="s">
        <v>13</v>
      </c>
      <c r="I254" t="s">
        <v>14</v>
      </c>
      <c r="AO254">
        <f>sum(j254:an254)</f>
        <v>0</v>
      </c>
    </row>
    <row r="255" spans="1:41">
      <c r="I255" t="s">
        <v>15</v>
      </c>
      <c r="J255">
        <f>vlookup("924-007000-100",Out!B:AZ,column(i1),0)</f>
        <v>0</v>
      </c>
      <c r="K255">
        <f>vlookup("924-007000-100",Out!B:AZ,column(j1),0)</f>
        <v>0</v>
      </c>
      <c r="L255">
        <f>vlookup("924-007000-100",Out!B:AZ,column(k1),0)</f>
        <v>0</v>
      </c>
      <c r="M255">
        <f>vlookup("924-007000-100",Out!B:AZ,column(l1),0)</f>
        <v>0</v>
      </c>
      <c r="N255">
        <f>vlookup("924-007000-100",Out!B:AZ,column(m1),0)</f>
        <v>0</v>
      </c>
      <c r="O255">
        <f>vlookup("924-007000-100",Out!B:AZ,column(n1),0)</f>
        <v>0</v>
      </c>
      <c r="P255">
        <f>vlookup("924-007000-100",Out!B:AZ,column(o1),0)</f>
        <v>0</v>
      </c>
      <c r="Q255">
        <f>vlookup("924-007000-100",Out!B:AZ,column(p1),0)</f>
        <v>0</v>
      </c>
      <c r="R255">
        <f>vlookup("924-007000-100",Out!B:AZ,column(q1),0)</f>
        <v>0</v>
      </c>
      <c r="S255">
        <f>vlookup("924-007000-100",Out!B:AZ,column(r1),0)</f>
        <v>0</v>
      </c>
      <c r="T255">
        <f>vlookup("924-007000-100",Out!B:AZ,column(s1),0)</f>
        <v>0</v>
      </c>
      <c r="U255">
        <f>vlookup("924-007000-100",Out!B:AZ,column(t1),0)</f>
        <v>0</v>
      </c>
      <c r="V255">
        <f>vlookup("924-007000-100",Out!B:AZ,column(u1),0)</f>
        <v>0</v>
      </c>
      <c r="W255">
        <f>vlookup("924-007000-100",Out!B:AZ,column(v1),0)</f>
        <v>0</v>
      </c>
      <c r="X255">
        <f>vlookup("924-007000-100",Out!B:AZ,column(w1),0)</f>
        <v>0</v>
      </c>
      <c r="Y255">
        <f>vlookup("924-007000-100",Out!B:AZ,column(x1),0)</f>
        <v>0</v>
      </c>
      <c r="Z255">
        <f>vlookup("924-007000-100",Out!B:AZ,column(y1),0)</f>
        <v>0</v>
      </c>
      <c r="AA255">
        <f>vlookup("924-007000-100",Out!B:AZ,column(z1),0)</f>
        <v>0</v>
      </c>
      <c r="AB255">
        <f>vlookup("924-007000-100",Out!B:AZ,column(aa1),0)</f>
        <v>0</v>
      </c>
      <c r="AC255">
        <f>vlookup("924-007000-100",Out!B:AZ,column(ab1),0)</f>
        <v>0</v>
      </c>
      <c r="AD255">
        <f>vlookup("924-007000-100",Out!B:AZ,column(ac1),0)</f>
        <v>0</v>
      </c>
      <c r="AE255">
        <f>vlookup("924-007000-100",Out!B:AZ,column(ad1),0)</f>
        <v>0</v>
      </c>
      <c r="AF255">
        <f>vlookup("924-007000-100",Out!B:AZ,column(ae1),0)</f>
        <v>0</v>
      </c>
      <c r="AG255">
        <f>vlookup("924-007000-100",Out!B:AZ,column(af1),0)</f>
        <v>0</v>
      </c>
      <c r="AH255">
        <f>vlookup("924-007000-100",Out!B:AZ,column(ag1),0)</f>
        <v>0</v>
      </c>
      <c r="AI255">
        <f>vlookup("924-007000-100",Out!B:AZ,column(ah1),0)</f>
        <v>0</v>
      </c>
      <c r="AJ255">
        <f>vlookup("924-007000-100",Out!B:AZ,column(ai1),0)</f>
        <v>0</v>
      </c>
      <c r="AK255">
        <f>vlookup("924-007000-100",Out!B:AZ,column(aj1),0)</f>
        <v>0</v>
      </c>
      <c r="AL255">
        <f>vlookup("924-007000-100",Out!B:AZ,column(ak1),0)</f>
        <v>0</v>
      </c>
      <c r="AM255">
        <f>vlookup("924-007000-100",Out!B:AZ,column(al1),0)</f>
        <v>0</v>
      </c>
      <c r="AN255">
        <f>vlookup("924-007000-100",Out!B:AZ,column(am1),0)</f>
        <v>0</v>
      </c>
      <c r="AO255">
        <f>vlookup("924-007000-100",Out!B:AZ,column(an1),0)</f>
        <v>0</v>
      </c>
    </row>
    <row r="256" spans="1:41">
      <c r="H256" t="s">
        <v>16</v>
      </c>
      <c r="J256">
        <f>indirect(address(256,9))+indirect(address(254,10))-indirect(address(255,10))</f>
        <v>0</v>
      </c>
      <c r="K256">
        <f>indirect(address(256,10))+indirect(address(254,11))-indirect(address(255,11))</f>
        <v>0</v>
      </c>
      <c r="L256">
        <f>indirect(address(256,11))+indirect(address(254,12))-indirect(address(255,12))</f>
        <v>0</v>
      </c>
      <c r="M256">
        <f>indirect(address(256,12))+indirect(address(254,13))-indirect(address(255,13))</f>
        <v>0</v>
      </c>
      <c r="N256">
        <f>indirect(address(256,13))+indirect(address(254,14))-indirect(address(255,14))</f>
        <v>0</v>
      </c>
      <c r="O256">
        <f>indirect(address(256,14))+indirect(address(254,15))-indirect(address(255,15))</f>
        <v>0</v>
      </c>
      <c r="P256">
        <f>indirect(address(256,15))+indirect(address(254,16))-indirect(address(255,16))</f>
        <v>0</v>
      </c>
      <c r="Q256">
        <f>indirect(address(256,16))+indirect(address(254,17))-indirect(address(255,17))</f>
        <v>0</v>
      </c>
      <c r="R256">
        <f>indirect(address(256,17))+indirect(address(254,18))-indirect(address(255,18))</f>
        <v>0</v>
      </c>
      <c r="S256">
        <f>indirect(address(256,18))+indirect(address(254,19))-indirect(address(255,19))</f>
        <v>0</v>
      </c>
      <c r="T256">
        <f>indirect(address(256,19))+indirect(address(254,20))-indirect(address(255,20))</f>
        <v>0</v>
      </c>
      <c r="U256">
        <f>indirect(address(256,20))+indirect(address(254,21))-indirect(address(255,21))</f>
        <v>0</v>
      </c>
      <c r="V256">
        <f>indirect(address(256,21))+indirect(address(254,22))-indirect(address(255,22))</f>
        <v>0</v>
      </c>
      <c r="W256">
        <f>indirect(address(256,22))+indirect(address(254,23))-indirect(address(255,23))</f>
        <v>0</v>
      </c>
      <c r="X256">
        <f>indirect(address(256,23))+indirect(address(254,24))-indirect(address(255,24))</f>
        <v>0</v>
      </c>
      <c r="Y256">
        <f>indirect(address(256,24))+indirect(address(254,25))-indirect(address(255,25))</f>
        <v>0</v>
      </c>
      <c r="Z256">
        <f>indirect(address(256,25))+indirect(address(254,26))-indirect(address(255,26))</f>
        <v>0</v>
      </c>
      <c r="AA256">
        <f>indirect(address(256,26))+indirect(address(254,27))-indirect(address(255,27))</f>
        <v>0</v>
      </c>
      <c r="AB256">
        <f>indirect(address(256,27))+indirect(address(254,28))-indirect(address(255,28))</f>
        <v>0</v>
      </c>
      <c r="AC256">
        <f>indirect(address(256,28))+indirect(address(254,29))-indirect(address(255,29))</f>
        <v>0</v>
      </c>
      <c r="AD256">
        <f>indirect(address(256,29))+indirect(address(254,30))-indirect(address(255,30))</f>
        <v>0</v>
      </c>
      <c r="AE256">
        <f>indirect(address(256,30))+indirect(address(254,31))-indirect(address(255,31))</f>
        <v>0</v>
      </c>
      <c r="AF256">
        <f>indirect(address(256,31))+indirect(address(254,32))-indirect(address(255,32))</f>
        <v>0</v>
      </c>
      <c r="AG256">
        <f>indirect(address(256,32))+indirect(address(254,33))-indirect(address(255,33))</f>
        <v>0</v>
      </c>
      <c r="AH256">
        <f>indirect(address(256,33))+indirect(address(254,34))-indirect(address(255,34))</f>
        <v>0</v>
      </c>
      <c r="AI256">
        <f>indirect(address(256,34))+indirect(address(254,35))-indirect(address(255,35))</f>
        <v>0</v>
      </c>
      <c r="AJ256">
        <f>indirect(address(256,35))+indirect(address(254,36))-indirect(address(255,36))</f>
        <v>0</v>
      </c>
      <c r="AK256">
        <f>indirect(address(256,36))+indirect(address(254,37))-indirect(address(255,37))</f>
        <v>0</v>
      </c>
      <c r="AL256">
        <f>indirect(address(256,37))+indirect(address(254,38))-indirect(address(255,38))</f>
        <v>0</v>
      </c>
      <c r="AM256">
        <f>indirect(address(256,38))+indirect(address(254,39))-indirect(address(255,39))</f>
        <v>0</v>
      </c>
      <c r="AN256">
        <f>indirect(address(256,39))+indirect(address(254,40))-indirect(address(255,40))</f>
        <v>0</v>
      </c>
      <c r="AO256">
        <f>indirect(address(256,40))</f>
        <v>0</v>
      </c>
    </row>
    <row r="257" spans="1:41">
      <c r="A257" t="s">
        <v>10</v>
      </c>
      <c r="B257" t="s">
        <v>287</v>
      </c>
      <c r="C257" t="s">
        <v>288</v>
      </c>
      <c r="E257">
        <v>1</v>
      </c>
      <c r="F257" t="s">
        <v>13</v>
      </c>
      <c r="I257" t="s">
        <v>14</v>
      </c>
      <c r="AO257">
        <f>sum(j257:an257)</f>
        <v>0</v>
      </c>
    </row>
    <row r="258" spans="1:41">
      <c r="I258" t="s">
        <v>15</v>
      </c>
      <c r="J258">
        <f>vlookup("924-007000-200",Out!B:AZ,column(i1),0)</f>
        <v>0</v>
      </c>
      <c r="K258">
        <f>vlookup("924-007000-200",Out!B:AZ,column(j1),0)</f>
        <v>0</v>
      </c>
      <c r="L258">
        <f>vlookup("924-007000-200",Out!B:AZ,column(k1),0)</f>
        <v>0</v>
      </c>
      <c r="M258">
        <f>vlookup("924-007000-200",Out!B:AZ,column(l1),0)</f>
        <v>0</v>
      </c>
      <c r="N258">
        <f>vlookup("924-007000-200",Out!B:AZ,column(m1),0)</f>
        <v>0</v>
      </c>
      <c r="O258">
        <f>vlookup("924-007000-200",Out!B:AZ,column(n1),0)</f>
        <v>0</v>
      </c>
      <c r="P258">
        <f>vlookup("924-007000-200",Out!B:AZ,column(o1),0)</f>
        <v>0</v>
      </c>
      <c r="Q258">
        <f>vlookup("924-007000-200",Out!B:AZ,column(p1),0)</f>
        <v>0</v>
      </c>
      <c r="R258">
        <f>vlookup("924-007000-200",Out!B:AZ,column(q1),0)</f>
        <v>0</v>
      </c>
      <c r="S258">
        <f>vlookup("924-007000-200",Out!B:AZ,column(r1),0)</f>
        <v>0</v>
      </c>
      <c r="T258">
        <f>vlookup("924-007000-200",Out!B:AZ,column(s1),0)</f>
        <v>0</v>
      </c>
      <c r="U258">
        <f>vlookup("924-007000-200",Out!B:AZ,column(t1),0)</f>
        <v>0</v>
      </c>
      <c r="V258">
        <f>vlookup("924-007000-200",Out!B:AZ,column(u1),0)</f>
        <v>0</v>
      </c>
      <c r="W258">
        <f>vlookup("924-007000-200",Out!B:AZ,column(v1),0)</f>
        <v>0</v>
      </c>
      <c r="X258">
        <f>vlookup("924-007000-200",Out!B:AZ,column(w1),0)</f>
        <v>0</v>
      </c>
      <c r="Y258">
        <f>vlookup("924-007000-200",Out!B:AZ,column(x1),0)</f>
        <v>0</v>
      </c>
      <c r="Z258">
        <f>vlookup("924-007000-200",Out!B:AZ,column(y1),0)</f>
        <v>0</v>
      </c>
      <c r="AA258">
        <f>vlookup("924-007000-200",Out!B:AZ,column(z1),0)</f>
        <v>0</v>
      </c>
      <c r="AB258">
        <f>vlookup("924-007000-200",Out!B:AZ,column(aa1),0)</f>
        <v>0</v>
      </c>
      <c r="AC258">
        <f>vlookup("924-007000-200",Out!B:AZ,column(ab1),0)</f>
        <v>0</v>
      </c>
      <c r="AD258">
        <f>vlookup("924-007000-200",Out!B:AZ,column(ac1),0)</f>
        <v>0</v>
      </c>
      <c r="AE258">
        <f>vlookup("924-007000-200",Out!B:AZ,column(ad1),0)</f>
        <v>0</v>
      </c>
      <c r="AF258">
        <f>vlookup("924-007000-200",Out!B:AZ,column(ae1),0)</f>
        <v>0</v>
      </c>
      <c r="AG258">
        <f>vlookup("924-007000-200",Out!B:AZ,column(af1),0)</f>
        <v>0</v>
      </c>
      <c r="AH258">
        <f>vlookup("924-007000-200",Out!B:AZ,column(ag1),0)</f>
        <v>0</v>
      </c>
      <c r="AI258">
        <f>vlookup("924-007000-200",Out!B:AZ,column(ah1),0)</f>
        <v>0</v>
      </c>
      <c r="AJ258">
        <f>vlookup("924-007000-200",Out!B:AZ,column(ai1),0)</f>
        <v>0</v>
      </c>
      <c r="AK258">
        <f>vlookup("924-007000-200",Out!B:AZ,column(aj1),0)</f>
        <v>0</v>
      </c>
      <c r="AL258">
        <f>vlookup("924-007000-200",Out!B:AZ,column(ak1),0)</f>
        <v>0</v>
      </c>
      <c r="AM258">
        <f>vlookup("924-007000-200",Out!B:AZ,column(al1),0)</f>
        <v>0</v>
      </c>
      <c r="AN258">
        <f>vlookup("924-007000-200",Out!B:AZ,column(am1),0)</f>
        <v>0</v>
      </c>
      <c r="AO258">
        <f>vlookup("924-007000-200",Out!B:AZ,column(an1),0)</f>
        <v>0</v>
      </c>
    </row>
    <row r="259" spans="1:41">
      <c r="H259" t="s">
        <v>16</v>
      </c>
      <c r="J259">
        <f>indirect(address(259,9))+indirect(address(257,10))-indirect(address(258,10))</f>
        <v>0</v>
      </c>
      <c r="K259">
        <f>indirect(address(259,10))+indirect(address(257,11))-indirect(address(258,11))</f>
        <v>0</v>
      </c>
      <c r="L259">
        <f>indirect(address(259,11))+indirect(address(257,12))-indirect(address(258,12))</f>
        <v>0</v>
      </c>
      <c r="M259">
        <f>indirect(address(259,12))+indirect(address(257,13))-indirect(address(258,13))</f>
        <v>0</v>
      </c>
      <c r="N259">
        <f>indirect(address(259,13))+indirect(address(257,14))-indirect(address(258,14))</f>
        <v>0</v>
      </c>
      <c r="O259">
        <f>indirect(address(259,14))+indirect(address(257,15))-indirect(address(258,15))</f>
        <v>0</v>
      </c>
      <c r="P259">
        <f>indirect(address(259,15))+indirect(address(257,16))-indirect(address(258,16))</f>
        <v>0</v>
      </c>
      <c r="Q259">
        <f>indirect(address(259,16))+indirect(address(257,17))-indirect(address(258,17))</f>
        <v>0</v>
      </c>
      <c r="R259">
        <f>indirect(address(259,17))+indirect(address(257,18))-indirect(address(258,18))</f>
        <v>0</v>
      </c>
      <c r="S259">
        <f>indirect(address(259,18))+indirect(address(257,19))-indirect(address(258,19))</f>
        <v>0</v>
      </c>
      <c r="T259">
        <f>indirect(address(259,19))+indirect(address(257,20))-indirect(address(258,20))</f>
        <v>0</v>
      </c>
      <c r="U259">
        <f>indirect(address(259,20))+indirect(address(257,21))-indirect(address(258,21))</f>
        <v>0</v>
      </c>
      <c r="V259">
        <f>indirect(address(259,21))+indirect(address(257,22))-indirect(address(258,22))</f>
        <v>0</v>
      </c>
      <c r="W259">
        <f>indirect(address(259,22))+indirect(address(257,23))-indirect(address(258,23))</f>
        <v>0</v>
      </c>
      <c r="X259">
        <f>indirect(address(259,23))+indirect(address(257,24))-indirect(address(258,24))</f>
        <v>0</v>
      </c>
      <c r="Y259">
        <f>indirect(address(259,24))+indirect(address(257,25))-indirect(address(258,25))</f>
        <v>0</v>
      </c>
      <c r="Z259">
        <f>indirect(address(259,25))+indirect(address(257,26))-indirect(address(258,26))</f>
        <v>0</v>
      </c>
      <c r="AA259">
        <f>indirect(address(259,26))+indirect(address(257,27))-indirect(address(258,27))</f>
        <v>0</v>
      </c>
      <c r="AB259">
        <f>indirect(address(259,27))+indirect(address(257,28))-indirect(address(258,28))</f>
        <v>0</v>
      </c>
      <c r="AC259">
        <f>indirect(address(259,28))+indirect(address(257,29))-indirect(address(258,29))</f>
        <v>0</v>
      </c>
      <c r="AD259">
        <f>indirect(address(259,29))+indirect(address(257,30))-indirect(address(258,30))</f>
        <v>0</v>
      </c>
      <c r="AE259">
        <f>indirect(address(259,30))+indirect(address(257,31))-indirect(address(258,31))</f>
        <v>0</v>
      </c>
      <c r="AF259">
        <f>indirect(address(259,31))+indirect(address(257,32))-indirect(address(258,32))</f>
        <v>0</v>
      </c>
      <c r="AG259">
        <f>indirect(address(259,32))+indirect(address(257,33))-indirect(address(258,33))</f>
        <v>0</v>
      </c>
      <c r="AH259">
        <f>indirect(address(259,33))+indirect(address(257,34))-indirect(address(258,34))</f>
        <v>0</v>
      </c>
      <c r="AI259">
        <f>indirect(address(259,34))+indirect(address(257,35))-indirect(address(258,35))</f>
        <v>0</v>
      </c>
      <c r="AJ259">
        <f>indirect(address(259,35))+indirect(address(257,36))-indirect(address(258,36))</f>
        <v>0</v>
      </c>
      <c r="AK259">
        <f>indirect(address(259,36))+indirect(address(257,37))-indirect(address(258,37))</f>
        <v>0</v>
      </c>
      <c r="AL259">
        <f>indirect(address(259,37))+indirect(address(257,38))-indirect(address(258,38))</f>
        <v>0</v>
      </c>
      <c r="AM259">
        <f>indirect(address(259,38))+indirect(address(257,39))-indirect(address(258,39))</f>
        <v>0</v>
      </c>
      <c r="AN259">
        <f>indirect(address(259,39))+indirect(address(257,40))-indirect(address(258,40))</f>
        <v>0</v>
      </c>
      <c r="AO259">
        <f>indirect(address(259,40))</f>
        <v>0</v>
      </c>
    </row>
    <row r="260" spans="1:41">
      <c r="A260" t="s">
        <v>10</v>
      </c>
      <c r="B260" t="s">
        <v>289</v>
      </c>
      <c r="C260" t="s">
        <v>290</v>
      </c>
      <c r="E260">
        <v>1</v>
      </c>
      <c r="F260" t="s">
        <v>13</v>
      </c>
      <c r="I260" t="s">
        <v>14</v>
      </c>
      <c r="AO260">
        <f>sum(j260:an260)</f>
        <v>0</v>
      </c>
    </row>
    <row r="261" spans="1:41">
      <c r="I261" t="s">
        <v>15</v>
      </c>
      <c r="J261">
        <f>vlookup("924-025056-100",Out!B:AZ,column(i1),0)</f>
        <v>0</v>
      </c>
      <c r="K261">
        <f>vlookup("924-025056-100",Out!B:AZ,column(j1),0)</f>
        <v>0</v>
      </c>
      <c r="L261">
        <f>vlookup("924-025056-100",Out!B:AZ,column(k1),0)</f>
        <v>0</v>
      </c>
      <c r="M261">
        <f>vlookup("924-025056-100",Out!B:AZ,column(l1),0)</f>
        <v>0</v>
      </c>
      <c r="N261">
        <f>vlookup("924-025056-100",Out!B:AZ,column(m1),0)</f>
        <v>0</v>
      </c>
      <c r="O261">
        <f>vlookup("924-025056-100",Out!B:AZ,column(n1),0)</f>
        <v>0</v>
      </c>
      <c r="P261">
        <f>vlookup("924-025056-100",Out!B:AZ,column(o1),0)</f>
        <v>0</v>
      </c>
      <c r="Q261">
        <f>vlookup("924-025056-100",Out!B:AZ,column(p1),0)</f>
        <v>0</v>
      </c>
      <c r="R261">
        <f>vlookup("924-025056-100",Out!B:AZ,column(q1),0)</f>
        <v>0</v>
      </c>
      <c r="S261">
        <f>vlookup("924-025056-100",Out!B:AZ,column(r1),0)</f>
        <v>0</v>
      </c>
      <c r="T261">
        <f>vlookup("924-025056-100",Out!B:AZ,column(s1),0)</f>
        <v>0</v>
      </c>
      <c r="U261">
        <f>vlookup("924-025056-100",Out!B:AZ,column(t1),0)</f>
        <v>0</v>
      </c>
      <c r="V261">
        <f>vlookup("924-025056-100",Out!B:AZ,column(u1),0)</f>
        <v>0</v>
      </c>
      <c r="W261">
        <f>vlookup("924-025056-100",Out!B:AZ,column(v1),0)</f>
        <v>0</v>
      </c>
      <c r="X261">
        <f>vlookup("924-025056-100",Out!B:AZ,column(w1),0)</f>
        <v>0</v>
      </c>
      <c r="Y261">
        <f>vlookup("924-025056-100",Out!B:AZ,column(x1),0)</f>
        <v>0</v>
      </c>
      <c r="Z261">
        <f>vlookup("924-025056-100",Out!B:AZ,column(y1),0)</f>
        <v>0</v>
      </c>
      <c r="AA261">
        <f>vlookup("924-025056-100",Out!B:AZ,column(z1),0)</f>
        <v>0</v>
      </c>
      <c r="AB261">
        <f>vlookup("924-025056-100",Out!B:AZ,column(aa1),0)</f>
        <v>0</v>
      </c>
      <c r="AC261">
        <f>vlookup("924-025056-100",Out!B:AZ,column(ab1),0)</f>
        <v>0</v>
      </c>
      <c r="AD261">
        <f>vlookup("924-025056-100",Out!B:AZ,column(ac1),0)</f>
        <v>0</v>
      </c>
      <c r="AE261">
        <f>vlookup("924-025056-100",Out!B:AZ,column(ad1),0)</f>
        <v>0</v>
      </c>
      <c r="AF261">
        <f>vlookup("924-025056-100",Out!B:AZ,column(ae1),0)</f>
        <v>0</v>
      </c>
      <c r="AG261">
        <f>vlookup("924-025056-100",Out!B:AZ,column(af1),0)</f>
        <v>0</v>
      </c>
      <c r="AH261">
        <f>vlookup("924-025056-100",Out!B:AZ,column(ag1),0)</f>
        <v>0</v>
      </c>
      <c r="AI261">
        <f>vlookup("924-025056-100",Out!B:AZ,column(ah1),0)</f>
        <v>0</v>
      </c>
      <c r="AJ261">
        <f>vlookup("924-025056-100",Out!B:AZ,column(ai1),0)</f>
        <v>0</v>
      </c>
      <c r="AK261">
        <f>vlookup("924-025056-100",Out!B:AZ,column(aj1),0)</f>
        <v>0</v>
      </c>
      <c r="AL261">
        <f>vlookup("924-025056-100",Out!B:AZ,column(ak1),0)</f>
        <v>0</v>
      </c>
      <c r="AM261">
        <f>vlookup("924-025056-100",Out!B:AZ,column(al1),0)</f>
        <v>0</v>
      </c>
      <c r="AN261">
        <f>vlookup("924-025056-100",Out!B:AZ,column(am1),0)</f>
        <v>0</v>
      </c>
      <c r="AO261">
        <f>vlookup("924-025056-100",Out!B:AZ,column(an1),0)</f>
        <v>0</v>
      </c>
    </row>
    <row r="262" spans="1:41">
      <c r="H262" t="s">
        <v>16</v>
      </c>
      <c r="J262">
        <f>indirect(address(262,9))+indirect(address(260,10))-indirect(address(261,10))</f>
        <v>0</v>
      </c>
      <c r="K262">
        <f>indirect(address(262,10))+indirect(address(260,11))-indirect(address(261,11))</f>
        <v>0</v>
      </c>
      <c r="L262">
        <f>indirect(address(262,11))+indirect(address(260,12))-indirect(address(261,12))</f>
        <v>0</v>
      </c>
      <c r="M262">
        <f>indirect(address(262,12))+indirect(address(260,13))-indirect(address(261,13))</f>
        <v>0</v>
      </c>
      <c r="N262">
        <f>indirect(address(262,13))+indirect(address(260,14))-indirect(address(261,14))</f>
        <v>0</v>
      </c>
      <c r="O262">
        <f>indirect(address(262,14))+indirect(address(260,15))-indirect(address(261,15))</f>
        <v>0</v>
      </c>
      <c r="P262">
        <f>indirect(address(262,15))+indirect(address(260,16))-indirect(address(261,16))</f>
        <v>0</v>
      </c>
      <c r="Q262">
        <f>indirect(address(262,16))+indirect(address(260,17))-indirect(address(261,17))</f>
        <v>0</v>
      </c>
      <c r="R262">
        <f>indirect(address(262,17))+indirect(address(260,18))-indirect(address(261,18))</f>
        <v>0</v>
      </c>
      <c r="S262">
        <f>indirect(address(262,18))+indirect(address(260,19))-indirect(address(261,19))</f>
        <v>0</v>
      </c>
      <c r="T262">
        <f>indirect(address(262,19))+indirect(address(260,20))-indirect(address(261,20))</f>
        <v>0</v>
      </c>
      <c r="U262">
        <f>indirect(address(262,20))+indirect(address(260,21))-indirect(address(261,21))</f>
        <v>0</v>
      </c>
      <c r="V262">
        <f>indirect(address(262,21))+indirect(address(260,22))-indirect(address(261,22))</f>
        <v>0</v>
      </c>
      <c r="W262">
        <f>indirect(address(262,22))+indirect(address(260,23))-indirect(address(261,23))</f>
        <v>0</v>
      </c>
      <c r="X262">
        <f>indirect(address(262,23))+indirect(address(260,24))-indirect(address(261,24))</f>
        <v>0</v>
      </c>
      <c r="Y262">
        <f>indirect(address(262,24))+indirect(address(260,25))-indirect(address(261,25))</f>
        <v>0</v>
      </c>
      <c r="Z262">
        <f>indirect(address(262,25))+indirect(address(260,26))-indirect(address(261,26))</f>
        <v>0</v>
      </c>
      <c r="AA262">
        <f>indirect(address(262,26))+indirect(address(260,27))-indirect(address(261,27))</f>
        <v>0</v>
      </c>
      <c r="AB262">
        <f>indirect(address(262,27))+indirect(address(260,28))-indirect(address(261,28))</f>
        <v>0</v>
      </c>
      <c r="AC262">
        <f>indirect(address(262,28))+indirect(address(260,29))-indirect(address(261,29))</f>
        <v>0</v>
      </c>
      <c r="AD262">
        <f>indirect(address(262,29))+indirect(address(260,30))-indirect(address(261,30))</f>
        <v>0</v>
      </c>
      <c r="AE262">
        <f>indirect(address(262,30))+indirect(address(260,31))-indirect(address(261,31))</f>
        <v>0</v>
      </c>
      <c r="AF262">
        <f>indirect(address(262,31))+indirect(address(260,32))-indirect(address(261,32))</f>
        <v>0</v>
      </c>
      <c r="AG262">
        <f>indirect(address(262,32))+indirect(address(260,33))-indirect(address(261,33))</f>
        <v>0</v>
      </c>
      <c r="AH262">
        <f>indirect(address(262,33))+indirect(address(260,34))-indirect(address(261,34))</f>
        <v>0</v>
      </c>
      <c r="AI262">
        <f>indirect(address(262,34))+indirect(address(260,35))-indirect(address(261,35))</f>
        <v>0</v>
      </c>
      <c r="AJ262">
        <f>indirect(address(262,35))+indirect(address(260,36))-indirect(address(261,36))</f>
        <v>0</v>
      </c>
      <c r="AK262">
        <f>indirect(address(262,36))+indirect(address(260,37))-indirect(address(261,37))</f>
        <v>0</v>
      </c>
      <c r="AL262">
        <f>indirect(address(262,37))+indirect(address(260,38))-indirect(address(261,38))</f>
        <v>0</v>
      </c>
      <c r="AM262">
        <f>indirect(address(262,38))+indirect(address(260,39))-indirect(address(261,39))</f>
        <v>0</v>
      </c>
      <c r="AN262">
        <f>indirect(address(262,39))+indirect(address(260,40))-indirect(address(261,40))</f>
        <v>0</v>
      </c>
      <c r="AO262">
        <f>indirect(address(262,40))</f>
        <v>0</v>
      </c>
    </row>
    <row r="263" spans="1:41">
      <c r="A263" t="s">
        <v>17</v>
      </c>
      <c r="B263" t="s">
        <v>289</v>
      </c>
      <c r="C263" t="s">
        <v>291</v>
      </c>
      <c r="E263">
        <v>1</v>
      </c>
      <c r="F263" t="s">
        <v>13</v>
      </c>
      <c r="I263" t="s">
        <v>15</v>
      </c>
      <c r="J263">
        <f>vlookup("924-025056-100",B:AZ,column(i1),0)*e263</f>
        <v>0</v>
      </c>
      <c r="K263">
        <f>vlookup("924-025056-100",B:AZ,column(j1),0)*e263</f>
        <v>0</v>
      </c>
      <c r="L263">
        <f>vlookup("924-025056-100",B:AZ,column(k1),0)*e263</f>
        <v>0</v>
      </c>
      <c r="M263">
        <f>vlookup("924-025056-100",B:AZ,column(l1),0)*e263</f>
        <v>0</v>
      </c>
      <c r="N263">
        <f>vlookup("924-025056-100",B:AZ,column(m1),0)*e263</f>
        <v>0</v>
      </c>
      <c r="O263">
        <f>vlookup("924-025056-100",B:AZ,column(n1),0)*e263</f>
        <v>0</v>
      </c>
      <c r="P263">
        <f>vlookup("924-025056-100",B:AZ,column(o1),0)*e263</f>
        <v>0</v>
      </c>
      <c r="Q263">
        <f>vlookup("924-025056-100",B:AZ,column(p1),0)*e263</f>
        <v>0</v>
      </c>
      <c r="R263">
        <f>vlookup("924-025056-100",B:AZ,column(q1),0)*e263</f>
        <v>0</v>
      </c>
      <c r="S263">
        <f>vlookup("924-025056-100",B:AZ,column(r1),0)*e263</f>
        <v>0</v>
      </c>
      <c r="T263">
        <f>vlookup("924-025056-100",B:AZ,column(s1),0)*e263</f>
        <v>0</v>
      </c>
      <c r="U263">
        <f>vlookup("924-025056-100",B:AZ,column(t1),0)*e263</f>
        <v>0</v>
      </c>
      <c r="V263">
        <f>vlookup("924-025056-100",B:AZ,column(u1),0)*e263</f>
        <v>0</v>
      </c>
      <c r="W263">
        <f>vlookup("924-025056-100",B:AZ,column(v1),0)*e263</f>
        <v>0</v>
      </c>
      <c r="X263">
        <f>vlookup("924-025056-100",B:AZ,column(w1),0)*e263</f>
        <v>0</v>
      </c>
      <c r="Y263">
        <f>vlookup("924-025056-100",B:AZ,column(x1),0)*e263</f>
        <v>0</v>
      </c>
      <c r="Z263">
        <f>vlookup("924-025056-100",B:AZ,column(y1),0)*e263</f>
        <v>0</v>
      </c>
      <c r="AA263">
        <f>vlookup("924-025056-100",B:AZ,column(z1),0)*e263</f>
        <v>0</v>
      </c>
      <c r="AB263">
        <f>vlookup("924-025056-100",B:AZ,column(aa1),0)*e263</f>
        <v>0</v>
      </c>
      <c r="AC263">
        <f>vlookup("924-025056-100",B:AZ,column(ab1),0)*e263</f>
        <v>0</v>
      </c>
      <c r="AD263">
        <f>vlookup("924-025056-100",B:AZ,column(ac1),0)*e263</f>
        <v>0</v>
      </c>
      <c r="AE263">
        <f>vlookup("924-025056-100",B:AZ,column(ad1),0)*e263</f>
        <v>0</v>
      </c>
      <c r="AF263">
        <f>vlookup("924-025056-100",B:AZ,column(ae1),0)*e263</f>
        <v>0</v>
      </c>
      <c r="AG263">
        <f>vlookup("924-025056-100",B:AZ,column(af1),0)*e263</f>
        <v>0</v>
      </c>
      <c r="AH263">
        <f>vlookup("924-025056-100",B:AZ,column(ag1),0)*e263</f>
        <v>0</v>
      </c>
      <c r="AI263">
        <f>vlookup("924-025056-100",B:AZ,column(ah1),0)*e263</f>
        <v>0</v>
      </c>
      <c r="AJ263">
        <f>vlookup("924-025056-100",B:AZ,column(ai1),0)*e263</f>
        <v>0</v>
      </c>
      <c r="AK263">
        <f>vlookup("924-025056-100",B:AZ,column(aj1),0)*e263</f>
        <v>0</v>
      </c>
      <c r="AL263">
        <f>vlookup("924-025056-100",B:AZ,column(ak1),0)*e263</f>
        <v>0</v>
      </c>
      <c r="AM263">
        <f>vlookup("924-025056-100",B:AZ,column(al1),0)*e263</f>
        <v>0</v>
      </c>
      <c r="AN263">
        <f>vlookup("924-025056-100",B:AZ,column(am1),0)*e263</f>
        <v>0</v>
      </c>
      <c r="AO263">
        <f>vlookup("924-025056-100",B:AZ,column(an1),0)*e263</f>
        <v>0</v>
      </c>
    </row>
    <row r="264" spans="1:41">
      <c r="A264" t="s">
        <v>22</v>
      </c>
      <c r="B264" t="s">
        <v>289</v>
      </c>
      <c r="C264" t="s">
        <v>292</v>
      </c>
      <c r="E264">
        <v>1</v>
      </c>
      <c r="F264" t="s">
        <v>13</v>
      </c>
      <c r="I264" t="s">
        <v>15</v>
      </c>
      <c r="J264">
        <f>vlookup("924-025056-100",B:AZ,column(i1),0)*e264</f>
        <v>0</v>
      </c>
      <c r="K264">
        <f>vlookup("924-025056-100",B:AZ,column(j1),0)*e264</f>
        <v>0</v>
      </c>
      <c r="L264">
        <f>vlookup("924-025056-100",B:AZ,column(k1),0)*e264</f>
        <v>0</v>
      </c>
      <c r="M264">
        <f>vlookup("924-025056-100",B:AZ,column(l1),0)*e264</f>
        <v>0</v>
      </c>
      <c r="N264">
        <f>vlookup("924-025056-100",B:AZ,column(m1),0)*e264</f>
        <v>0</v>
      </c>
      <c r="O264">
        <f>vlookup("924-025056-100",B:AZ,column(n1),0)*e264</f>
        <v>0</v>
      </c>
      <c r="P264">
        <f>vlookup("924-025056-100",B:AZ,column(o1),0)*e264</f>
        <v>0</v>
      </c>
      <c r="Q264">
        <f>vlookup("924-025056-100",B:AZ,column(p1),0)*e264</f>
        <v>0</v>
      </c>
      <c r="R264">
        <f>vlookup("924-025056-100",B:AZ,column(q1),0)*e264</f>
        <v>0</v>
      </c>
      <c r="S264">
        <f>vlookup("924-025056-100",B:AZ,column(r1),0)*e264</f>
        <v>0</v>
      </c>
      <c r="T264">
        <f>vlookup("924-025056-100",B:AZ,column(s1),0)*e264</f>
        <v>0</v>
      </c>
      <c r="U264">
        <f>vlookup("924-025056-100",B:AZ,column(t1),0)*e264</f>
        <v>0</v>
      </c>
      <c r="V264">
        <f>vlookup("924-025056-100",B:AZ,column(u1),0)*e264</f>
        <v>0</v>
      </c>
      <c r="W264">
        <f>vlookup("924-025056-100",B:AZ,column(v1),0)*e264</f>
        <v>0</v>
      </c>
      <c r="X264">
        <f>vlookup("924-025056-100",B:AZ,column(w1),0)*e264</f>
        <v>0</v>
      </c>
      <c r="Y264">
        <f>vlookup("924-025056-100",B:AZ,column(x1),0)*e264</f>
        <v>0</v>
      </c>
      <c r="Z264">
        <f>vlookup("924-025056-100",B:AZ,column(y1),0)*e264</f>
        <v>0</v>
      </c>
      <c r="AA264">
        <f>vlookup("924-025056-100",B:AZ,column(z1),0)*e264</f>
        <v>0</v>
      </c>
      <c r="AB264">
        <f>vlookup("924-025056-100",B:AZ,column(aa1),0)*e264</f>
        <v>0</v>
      </c>
      <c r="AC264">
        <f>vlookup("924-025056-100",B:AZ,column(ab1),0)*e264</f>
        <v>0</v>
      </c>
      <c r="AD264">
        <f>vlookup("924-025056-100",B:AZ,column(ac1),0)*e264</f>
        <v>0</v>
      </c>
      <c r="AE264">
        <f>vlookup("924-025056-100",B:AZ,column(ad1),0)*e264</f>
        <v>0</v>
      </c>
      <c r="AF264">
        <f>vlookup("924-025056-100",B:AZ,column(ae1),0)*e264</f>
        <v>0</v>
      </c>
      <c r="AG264">
        <f>vlookup("924-025056-100",B:AZ,column(af1),0)*e264</f>
        <v>0</v>
      </c>
      <c r="AH264">
        <f>vlookup("924-025056-100",B:AZ,column(ag1),0)*e264</f>
        <v>0</v>
      </c>
      <c r="AI264">
        <f>vlookup("924-025056-100",B:AZ,column(ah1),0)*e264</f>
        <v>0</v>
      </c>
      <c r="AJ264">
        <f>vlookup("924-025056-100",B:AZ,column(ai1),0)*e264</f>
        <v>0</v>
      </c>
      <c r="AK264">
        <f>vlookup("924-025056-100",B:AZ,column(aj1),0)*e264</f>
        <v>0</v>
      </c>
      <c r="AL264">
        <f>vlookup("924-025056-100",B:AZ,column(ak1),0)*e264</f>
        <v>0</v>
      </c>
      <c r="AM264">
        <f>vlookup("924-025056-100",B:AZ,column(al1),0)*e264</f>
        <v>0</v>
      </c>
      <c r="AN264">
        <f>vlookup("924-025056-100",B:AZ,column(am1),0)*e264</f>
        <v>0</v>
      </c>
      <c r="AO264">
        <f>vlookup("924-025056-100",B:AZ,column(an1),0)*e264</f>
        <v>0</v>
      </c>
    </row>
    <row r="265" spans="1:41">
      <c r="A265" t="s">
        <v>22</v>
      </c>
      <c r="B265" t="s">
        <v>289</v>
      </c>
      <c r="C265" t="s">
        <v>293</v>
      </c>
      <c r="E265">
        <v>4</v>
      </c>
      <c r="F265" t="s">
        <v>13</v>
      </c>
      <c r="I265" t="s">
        <v>15</v>
      </c>
      <c r="J265">
        <f>vlookup("924-025056-100",B:AZ,column(i1),0)*e265</f>
        <v>0</v>
      </c>
      <c r="K265">
        <f>vlookup("924-025056-100",B:AZ,column(j1),0)*e265</f>
        <v>0</v>
      </c>
      <c r="L265">
        <f>vlookup("924-025056-100",B:AZ,column(k1),0)*e265</f>
        <v>0</v>
      </c>
      <c r="M265">
        <f>vlookup("924-025056-100",B:AZ,column(l1),0)*e265</f>
        <v>0</v>
      </c>
      <c r="N265">
        <f>vlookup("924-025056-100",B:AZ,column(m1),0)*e265</f>
        <v>0</v>
      </c>
      <c r="O265">
        <f>vlookup("924-025056-100",B:AZ,column(n1),0)*e265</f>
        <v>0</v>
      </c>
      <c r="P265">
        <f>vlookup("924-025056-100",B:AZ,column(o1),0)*e265</f>
        <v>0</v>
      </c>
      <c r="Q265">
        <f>vlookup("924-025056-100",B:AZ,column(p1),0)*e265</f>
        <v>0</v>
      </c>
      <c r="R265">
        <f>vlookup("924-025056-100",B:AZ,column(q1),0)*e265</f>
        <v>0</v>
      </c>
      <c r="S265">
        <f>vlookup("924-025056-100",B:AZ,column(r1),0)*e265</f>
        <v>0</v>
      </c>
      <c r="T265">
        <f>vlookup("924-025056-100",B:AZ,column(s1),0)*e265</f>
        <v>0</v>
      </c>
      <c r="U265">
        <f>vlookup("924-025056-100",B:AZ,column(t1),0)*e265</f>
        <v>0</v>
      </c>
      <c r="V265">
        <f>vlookup("924-025056-100",B:AZ,column(u1),0)*e265</f>
        <v>0</v>
      </c>
      <c r="W265">
        <f>vlookup("924-025056-100",B:AZ,column(v1),0)*e265</f>
        <v>0</v>
      </c>
      <c r="X265">
        <f>vlookup("924-025056-100",B:AZ,column(w1),0)*e265</f>
        <v>0</v>
      </c>
      <c r="Y265">
        <f>vlookup("924-025056-100",B:AZ,column(x1),0)*e265</f>
        <v>0</v>
      </c>
      <c r="Z265">
        <f>vlookup("924-025056-100",B:AZ,column(y1),0)*e265</f>
        <v>0</v>
      </c>
      <c r="AA265">
        <f>vlookup("924-025056-100",B:AZ,column(z1),0)*e265</f>
        <v>0</v>
      </c>
      <c r="AB265">
        <f>vlookup("924-025056-100",B:AZ,column(aa1),0)*e265</f>
        <v>0</v>
      </c>
      <c r="AC265">
        <f>vlookup("924-025056-100",B:AZ,column(ab1),0)*e265</f>
        <v>0</v>
      </c>
      <c r="AD265">
        <f>vlookup("924-025056-100",B:AZ,column(ac1),0)*e265</f>
        <v>0</v>
      </c>
      <c r="AE265">
        <f>vlookup("924-025056-100",B:AZ,column(ad1),0)*e265</f>
        <v>0</v>
      </c>
      <c r="AF265">
        <f>vlookup("924-025056-100",B:AZ,column(ae1),0)*e265</f>
        <v>0</v>
      </c>
      <c r="AG265">
        <f>vlookup("924-025056-100",B:AZ,column(af1),0)*e265</f>
        <v>0</v>
      </c>
      <c r="AH265">
        <f>vlookup("924-025056-100",B:AZ,column(ag1),0)*e265</f>
        <v>0</v>
      </c>
      <c r="AI265">
        <f>vlookup("924-025056-100",B:AZ,column(ah1),0)*e265</f>
        <v>0</v>
      </c>
      <c r="AJ265">
        <f>vlookup("924-025056-100",B:AZ,column(ai1),0)*e265</f>
        <v>0</v>
      </c>
      <c r="AK265">
        <f>vlookup("924-025056-100",B:AZ,column(aj1),0)*e265</f>
        <v>0</v>
      </c>
      <c r="AL265">
        <f>vlookup("924-025056-100",B:AZ,column(ak1),0)*e265</f>
        <v>0</v>
      </c>
      <c r="AM265">
        <f>vlookup("924-025056-100",B:AZ,column(al1),0)*e265</f>
        <v>0</v>
      </c>
      <c r="AN265">
        <f>vlookup("924-025056-100",B:AZ,column(am1),0)*e265</f>
        <v>0</v>
      </c>
      <c r="AO265">
        <f>vlookup("924-025056-100",B:AZ,column(an1),0)*e265</f>
        <v>0</v>
      </c>
    </row>
    <row r="266" spans="1:41">
      <c r="A266" t="s">
        <v>22</v>
      </c>
      <c r="B266" t="s">
        <v>289</v>
      </c>
      <c r="C266" t="s">
        <v>294</v>
      </c>
      <c r="E266">
        <v>1</v>
      </c>
      <c r="F266" t="s">
        <v>13</v>
      </c>
      <c r="I266" t="s">
        <v>15</v>
      </c>
      <c r="J266">
        <f>vlookup("924-025056-100",B:AZ,column(i1),0)*e266</f>
        <v>0</v>
      </c>
      <c r="K266">
        <f>vlookup("924-025056-100",B:AZ,column(j1),0)*e266</f>
        <v>0</v>
      </c>
      <c r="L266">
        <f>vlookup("924-025056-100",B:AZ,column(k1),0)*e266</f>
        <v>0</v>
      </c>
      <c r="M266">
        <f>vlookup("924-025056-100",B:AZ,column(l1),0)*e266</f>
        <v>0</v>
      </c>
      <c r="N266">
        <f>vlookup("924-025056-100",B:AZ,column(m1),0)*e266</f>
        <v>0</v>
      </c>
      <c r="O266">
        <f>vlookup("924-025056-100",B:AZ,column(n1),0)*e266</f>
        <v>0</v>
      </c>
      <c r="P266">
        <f>vlookup("924-025056-100",B:AZ,column(o1),0)*e266</f>
        <v>0</v>
      </c>
      <c r="Q266">
        <f>vlookup("924-025056-100",B:AZ,column(p1),0)*e266</f>
        <v>0</v>
      </c>
      <c r="R266">
        <f>vlookup("924-025056-100",B:AZ,column(q1),0)*e266</f>
        <v>0</v>
      </c>
      <c r="S266">
        <f>vlookup("924-025056-100",B:AZ,column(r1),0)*e266</f>
        <v>0</v>
      </c>
      <c r="T266">
        <f>vlookup("924-025056-100",B:AZ,column(s1),0)*e266</f>
        <v>0</v>
      </c>
      <c r="U266">
        <f>vlookup("924-025056-100",B:AZ,column(t1),0)*e266</f>
        <v>0</v>
      </c>
      <c r="V266">
        <f>vlookup("924-025056-100",B:AZ,column(u1),0)*e266</f>
        <v>0</v>
      </c>
      <c r="W266">
        <f>vlookup("924-025056-100",B:AZ,column(v1),0)*e266</f>
        <v>0</v>
      </c>
      <c r="X266">
        <f>vlookup("924-025056-100",B:AZ,column(w1),0)*e266</f>
        <v>0</v>
      </c>
      <c r="Y266">
        <f>vlookup("924-025056-100",B:AZ,column(x1),0)*e266</f>
        <v>0</v>
      </c>
      <c r="Z266">
        <f>vlookup("924-025056-100",B:AZ,column(y1),0)*e266</f>
        <v>0</v>
      </c>
      <c r="AA266">
        <f>vlookup("924-025056-100",B:AZ,column(z1),0)*e266</f>
        <v>0</v>
      </c>
      <c r="AB266">
        <f>vlookup("924-025056-100",B:AZ,column(aa1),0)*e266</f>
        <v>0</v>
      </c>
      <c r="AC266">
        <f>vlookup("924-025056-100",B:AZ,column(ab1),0)*e266</f>
        <v>0</v>
      </c>
      <c r="AD266">
        <f>vlookup("924-025056-100",B:AZ,column(ac1),0)*e266</f>
        <v>0</v>
      </c>
      <c r="AE266">
        <f>vlookup("924-025056-100",B:AZ,column(ad1),0)*e266</f>
        <v>0</v>
      </c>
      <c r="AF266">
        <f>vlookup("924-025056-100",B:AZ,column(ae1),0)*e266</f>
        <v>0</v>
      </c>
      <c r="AG266">
        <f>vlookup("924-025056-100",B:AZ,column(af1),0)*e266</f>
        <v>0</v>
      </c>
      <c r="AH266">
        <f>vlookup("924-025056-100",B:AZ,column(ag1),0)*e266</f>
        <v>0</v>
      </c>
      <c r="AI266">
        <f>vlookup("924-025056-100",B:AZ,column(ah1),0)*e266</f>
        <v>0</v>
      </c>
      <c r="AJ266">
        <f>vlookup("924-025056-100",B:AZ,column(ai1),0)*e266</f>
        <v>0</v>
      </c>
      <c r="AK266">
        <f>vlookup("924-025056-100",B:AZ,column(aj1),0)*e266</f>
        <v>0</v>
      </c>
      <c r="AL266">
        <f>vlookup("924-025056-100",B:AZ,column(ak1),0)*e266</f>
        <v>0</v>
      </c>
      <c r="AM266">
        <f>vlookup("924-025056-100",B:AZ,column(al1),0)*e266</f>
        <v>0</v>
      </c>
      <c r="AN266">
        <f>vlookup("924-025056-100",B:AZ,column(am1),0)*e266</f>
        <v>0</v>
      </c>
      <c r="AO266">
        <f>vlookup("924-025056-100",B:AZ,column(an1),0)*e266</f>
        <v>0</v>
      </c>
    </row>
    <row r="267" spans="1:41">
      <c r="A267" t="s">
        <v>78</v>
      </c>
      <c r="B267" t="s">
        <v>289</v>
      </c>
      <c r="C267" t="s">
        <v>295</v>
      </c>
      <c r="E267">
        <v>0.05</v>
      </c>
      <c r="F267" t="s">
        <v>13</v>
      </c>
      <c r="I267" t="s">
        <v>15</v>
      </c>
      <c r="J267">
        <f>vlookup("924-025056-100",B:AZ,column(i1),0)*e267</f>
        <v>0</v>
      </c>
      <c r="K267">
        <f>vlookup("924-025056-100",B:AZ,column(j1),0)*e267</f>
        <v>0</v>
      </c>
      <c r="L267">
        <f>vlookup("924-025056-100",B:AZ,column(k1),0)*e267</f>
        <v>0</v>
      </c>
      <c r="M267">
        <f>vlookup("924-025056-100",B:AZ,column(l1),0)*e267</f>
        <v>0</v>
      </c>
      <c r="N267">
        <f>vlookup("924-025056-100",B:AZ,column(m1),0)*e267</f>
        <v>0</v>
      </c>
      <c r="O267">
        <f>vlookup("924-025056-100",B:AZ,column(n1),0)*e267</f>
        <v>0</v>
      </c>
      <c r="P267">
        <f>vlookup("924-025056-100",B:AZ,column(o1),0)*e267</f>
        <v>0</v>
      </c>
      <c r="Q267">
        <f>vlookup("924-025056-100",B:AZ,column(p1),0)*e267</f>
        <v>0</v>
      </c>
      <c r="R267">
        <f>vlookup("924-025056-100",B:AZ,column(q1),0)*e267</f>
        <v>0</v>
      </c>
      <c r="S267">
        <f>vlookup("924-025056-100",B:AZ,column(r1),0)*e267</f>
        <v>0</v>
      </c>
      <c r="T267">
        <f>vlookup("924-025056-100",B:AZ,column(s1),0)*e267</f>
        <v>0</v>
      </c>
      <c r="U267">
        <f>vlookup("924-025056-100",B:AZ,column(t1),0)*e267</f>
        <v>0</v>
      </c>
      <c r="V267">
        <f>vlookup("924-025056-100",B:AZ,column(u1),0)*e267</f>
        <v>0</v>
      </c>
      <c r="W267">
        <f>vlookup("924-025056-100",B:AZ,column(v1),0)*e267</f>
        <v>0</v>
      </c>
      <c r="X267">
        <f>vlookup("924-025056-100",B:AZ,column(w1),0)*e267</f>
        <v>0</v>
      </c>
      <c r="Y267">
        <f>vlookup("924-025056-100",B:AZ,column(x1),0)*e267</f>
        <v>0</v>
      </c>
      <c r="Z267">
        <f>vlookup("924-025056-100",B:AZ,column(y1),0)*e267</f>
        <v>0</v>
      </c>
      <c r="AA267">
        <f>vlookup("924-025056-100",B:AZ,column(z1),0)*e267</f>
        <v>0</v>
      </c>
      <c r="AB267">
        <f>vlookup("924-025056-100",B:AZ,column(aa1),0)*e267</f>
        <v>0</v>
      </c>
      <c r="AC267">
        <f>vlookup("924-025056-100",B:AZ,column(ab1),0)*e267</f>
        <v>0</v>
      </c>
      <c r="AD267">
        <f>vlookup("924-025056-100",B:AZ,column(ac1),0)*e267</f>
        <v>0</v>
      </c>
      <c r="AE267">
        <f>vlookup("924-025056-100",B:AZ,column(ad1),0)*e267</f>
        <v>0</v>
      </c>
      <c r="AF267">
        <f>vlookup("924-025056-100",B:AZ,column(ae1),0)*e267</f>
        <v>0</v>
      </c>
      <c r="AG267">
        <f>vlookup("924-025056-100",B:AZ,column(af1),0)*e267</f>
        <v>0</v>
      </c>
      <c r="AH267">
        <f>vlookup("924-025056-100",B:AZ,column(ag1),0)*e267</f>
        <v>0</v>
      </c>
      <c r="AI267">
        <f>vlookup("924-025056-100",B:AZ,column(ah1),0)*e267</f>
        <v>0</v>
      </c>
      <c r="AJ267">
        <f>vlookup("924-025056-100",B:AZ,column(ai1),0)*e267</f>
        <v>0</v>
      </c>
      <c r="AK267">
        <f>vlookup("924-025056-100",B:AZ,column(aj1),0)*e267</f>
        <v>0</v>
      </c>
      <c r="AL267">
        <f>vlookup("924-025056-100",B:AZ,column(ak1),0)*e267</f>
        <v>0</v>
      </c>
      <c r="AM267">
        <f>vlookup("924-025056-100",B:AZ,column(al1),0)*e267</f>
        <v>0</v>
      </c>
      <c r="AN267">
        <f>vlookup("924-025056-100",B:AZ,column(am1),0)*e267</f>
        <v>0</v>
      </c>
      <c r="AO267">
        <f>vlookup("924-025056-100",B:AZ,column(an1),0)*e267</f>
        <v>0</v>
      </c>
    </row>
    <row r="268" spans="1:41">
      <c r="A268" t="s">
        <v>43</v>
      </c>
      <c r="B268" t="s">
        <v>289</v>
      </c>
      <c r="C268" t="s">
        <v>296</v>
      </c>
      <c r="E268">
        <v>0.05</v>
      </c>
      <c r="F268" t="s">
        <v>13</v>
      </c>
      <c r="I268" t="s">
        <v>15</v>
      </c>
      <c r="J268">
        <f>vlookup("924-025056-100",B:AZ,column(i1),0)*e268</f>
        <v>0</v>
      </c>
      <c r="K268">
        <f>vlookup("924-025056-100",B:AZ,column(j1),0)*e268</f>
        <v>0</v>
      </c>
      <c r="L268">
        <f>vlookup("924-025056-100",B:AZ,column(k1),0)*e268</f>
        <v>0</v>
      </c>
      <c r="M268">
        <f>vlookup("924-025056-100",B:AZ,column(l1),0)*e268</f>
        <v>0</v>
      </c>
      <c r="N268">
        <f>vlookup("924-025056-100",B:AZ,column(m1),0)*e268</f>
        <v>0</v>
      </c>
      <c r="O268">
        <f>vlookup("924-025056-100",B:AZ,column(n1),0)*e268</f>
        <v>0</v>
      </c>
      <c r="P268">
        <f>vlookup("924-025056-100",B:AZ,column(o1),0)*e268</f>
        <v>0</v>
      </c>
      <c r="Q268">
        <f>vlookup("924-025056-100",B:AZ,column(p1),0)*e268</f>
        <v>0</v>
      </c>
      <c r="R268">
        <f>vlookup("924-025056-100",B:AZ,column(q1),0)*e268</f>
        <v>0</v>
      </c>
      <c r="S268">
        <f>vlookup("924-025056-100",B:AZ,column(r1),0)*e268</f>
        <v>0</v>
      </c>
      <c r="T268">
        <f>vlookup("924-025056-100",B:AZ,column(s1),0)*e268</f>
        <v>0</v>
      </c>
      <c r="U268">
        <f>vlookup("924-025056-100",B:AZ,column(t1),0)*e268</f>
        <v>0</v>
      </c>
      <c r="V268">
        <f>vlookup("924-025056-100",B:AZ,column(u1),0)*e268</f>
        <v>0</v>
      </c>
      <c r="W268">
        <f>vlookup("924-025056-100",B:AZ,column(v1),0)*e268</f>
        <v>0</v>
      </c>
      <c r="X268">
        <f>vlookup("924-025056-100",B:AZ,column(w1),0)*e268</f>
        <v>0</v>
      </c>
      <c r="Y268">
        <f>vlookup("924-025056-100",B:AZ,column(x1),0)*e268</f>
        <v>0</v>
      </c>
      <c r="Z268">
        <f>vlookup("924-025056-100",B:AZ,column(y1),0)*e268</f>
        <v>0</v>
      </c>
      <c r="AA268">
        <f>vlookup("924-025056-100",B:AZ,column(z1),0)*e268</f>
        <v>0</v>
      </c>
      <c r="AB268">
        <f>vlookup("924-025056-100",B:AZ,column(aa1),0)*e268</f>
        <v>0</v>
      </c>
      <c r="AC268">
        <f>vlookup("924-025056-100",B:AZ,column(ab1),0)*e268</f>
        <v>0</v>
      </c>
      <c r="AD268">
        <f>vlookup("924-025056-100",B:AZ,column(ac1),0)*e268</f>
        <v>0</v>
      </c>
      <c r="AE268">
        <f>vlookup("924-025056-100",B:AZ,column(ad1),0)*e268</f>
        <v>0</v>
      </c>
      <c r="AF268">
        <f>vlookup("924-025056-100",B:AZ,column(ae1),0)*e268</f>
        <v>0</v>
      </c>
      <c r="AG268">
        <f>vlookup("924-025056-100",B:AZ,column(af1),0)*e268</f>
        <v>0</v>
      </c>
      <c r="AH268">
        <f>vlookup("924-025056-100",B:AZ,column(ag1),0)*e268</f>
        <v>0</v>
      </c>
      <c r="AI268">
        <f>vlookup("924-025056-100",B:AZ,column(ah1),0)*e268</f>
        <v>0</v>
      </c>
      <c r="AJ268">
        <f>vlookup("924-025056-100",B:AZ,column(ai1),0)*e268</f>
        <v>0</v>
      </c>
      <c r="AK268">
        <f>vlookup("924-025056-100",B:AZ,column(aj1),0)*e268</f>
        <v>0</v>
      </c>
      <c r="AL268">
        <f>vlookup("924-025056-100",B:AZ,column(ak1),0)*e268</f>
        <v>0</v>
      </c>
      <c r="AM268">
        <f>vlookup("924-025056-100",B:AZ,column(al1),0)*e268</f>
        <v>0</v>
      </c>
      <c r="AN268">
        <f>vlookup("924-025056-100",B:AZ,column(am1),0)*e268</f>
        <v>0</v>
      </c>
      <c r="AO268">
        <f>vlookup("924-025056-100",B:AZ,column(an1),0)*e268</f>
        <v>0</v>
      </c>
    </row>
    <row r="269" spans="1:41">
      <c r="A269" t="s">
        <v>10</v>
      </c>
      <c r="B269" t="s">
        <v>297</v>
      </c>
      <c r="C269" t="s">
        <v>298</v>
      </c>
      <c r="E269">
        <v>1</v>
      </c>
      <c r="F269" t="s">
        <v>13</v>
      </c>
      <c r="I269" t="s">
        <v>14</v>
      </c>
      <c r="AO269">
        <f>sum(j269:an269)</f>
        <v>0</v>
      </c>
    </row>
    <row r="270" spans="1:41">
      <c r="I270" t="s">
        <v>15</v>
      </c>
      <c r="J270">
        <f>vlookup("924-025056-200",Out!B:AZ,column(i1),0)</f>
        <v>0</v>
      </c>
      <c r="K270">
        <f>vlookup("924-025056-200",Out!B:AZ,column(j1),0)</f>
        <v>0</v>
      </c>
      <c r="L270">
        <f>vlookup("924-025056-200",Out!B:AZ,column(k1),0)</f>
        <v>0</v>
      </c>
      <c r="M270">
        <f>vlookup("924-025056-200",Out!B:AZ,column(l1),0)</f>
        <v>0</v>
      </c>
      <c r="N270">
        <f>vlookup("924-025056-200",Out!B:AZ,column(m1),0)</f>
        <v>0</v>
      </c>
      <c r="O270">
        <f>vlookup("924-025056-200",Out!B:AZ,column(n1),0)</f>
        <v>0</v>
      </c>
      <c r="P270">
        <f>vlookup("924-025056-200",Out!B:AZ,column(o1),0)</f>
        <v>0</v>
      </c>
      <c r="Q270">
        <f>vlookup("924-025056-200",Out!B:AZ,column(p1),0)</f>
        <v>0</v>
      </c>
      <c r="R270">
        <f>vlookup("924-025056-200",Out!B:AZ,column(q1),0)</f>
        <v>0</v>
      </c>
      <c r="S270">
        <f>vlookup("924-025056-200",Out!B:AZ,column(r1),0)</f>
        <v>0</v>
      </c>
      <c r="T270">
        <f>vlookup("924-025056-200",Out!B:AZ,column(s1),0)</f>
        <v>0</v>
      </c>
      <c r="U270">
        <f>vlookup("924-025056-200",Out!B:AZ,column(t1),0)</f>
        <v>0</v>
      </c>
      <c r="V270">
        <f>vlookup("924-025056-200",Out!B:AZ,column(u1),0)</f>
        <v>0</v>
      </c>
      <c r="W270">
        <f>vlookup("924-025056-200",Out!B:AZ,column(v1),0)</f>
        <v>0</v>
      </c>
      <c r="X270">
        <f>vlookup("924-025056-200",Out!B:AZ,column(w1),0)</f>
        <v>0</v>
      </c>
      <c r="Y270">
        <f>vlookup("924-025056-200",Out!B:AZ,column(x1),0)</f>
        <v>0</v>
      </c>
      <c r="Z270">
        <f>vlookup("924-025056-200",Out!B:AZ,column(y1),0)</f>
        <v>0</v>
      </c>
      <c r="AA270">
        <f>vlookup("924-025056-200",Out!B:AZ,column(z1),0)</f>
        <v>0</v>
      </c>
      <c r="AB270">
        <f>vlookup("924-025056-200",Out!B:AZ,column(aa1),0)</f>
        <v>0</v>
      </c>
      <c r="AC270">
        <f>vlookup("924-025056-200",Out!B:AZ,column(ab1),0)</f>
        <v>0</v>
      </c>
      <c r="AD270">
        <f>vlookup("924-025056-200",Out!B:AZ,column(ac1),0)</f>
        <v>0</v>
      </c>
      <c r="AE270">
        <f>vlookup("924-025056-200",Out!B:AZ,column(ad1),0)</f>
        <v>0</v>
      </c>
      <c r="AF270">
        <f>vlookup("924-025056-200",Out!B:AZ,column(ae1),0)</f>
        <v>0</v>
      </c>
      <c r="AG270">
        <f>vlookup("924-025056-200",Out!B:AZ,column(af1),0)</f>
        <v>0</v>
      </c>
      <c r="AH270">
        <f>vlookup("924-025056-200",Out!B:AZ,column(ag1),0)</f>
        <v>0</v>
      </c>
      <c r="AI270">
        <f>vlookup("924-025056-200",Out!B:AZ,column(ah1),0)</f>
        <v>0</v>
      </c>
      <c r="AJ270">
        <f>vlookup("924-025056-200",Out!B:AZ,column(ai1),0)</f>
        <v>0</v>
      </c>
      <c r="AK270">
        <f>vlookup("924-025056-200",Out!B:AZ,column(aj1),0)</f>
        <v>0</v>
      </c>
      <c r="AL270">
        <f>vlookup("924-025056-200",Out!B:AZ,column(ak1),0)</f>
        <v>0</v>
      </c>
      <c r="AM270">
        <f>vlookup("924-025056-200",Out!B:AZ,column(al1),0)</f>
        <v>0</v>
      </c>
      <c r="AN270">
        <f>vlookup("924-025056-200",Out!B:AZ,column(am1),0)</f>
        <v>0</v>
      </c>
      <c r="AO270">
        <f>vlookup("924-025056-200",Out!B:AZ,column(an1),0)</f>
        <v>0</v>
      </c>
    </row>
    <row r="271" spans="1:41">
      <c r="H271" t="s">
        <v>16</v>
      </c>
      <c r="J271">
        <f>indirect(address(271,9))+indirect(address(269,10))-indirect(address(270,10))</f>
        <v>0</v>
      </c>
      <c r="K271">
        <f>indirect(address(271,10))+indirect(address(269,11))-indirect(address(270,11))</f>
        <v>0</v>
      </c>
      <c r="L271">
        <f>indirect(address(271,11))+indirect(address(269,12))-indirect(address(270,12))</f>
        <v>0</v>
      </c>
      <c r="M271">
        <f>indirect(address(271,12))+indirect(address(269,13))-indirect(address(270,13))</f>
        <v>0</v>
      </c>
      <c r="N271">
        <f>indirect(address(271,13))+indirect(address(269,14))-indirect(address(270,14))</f>
        <v>0</v>
      </c>
      <c r="O271">
        <f>indirect(address(271,14))+indirect(address(269,15))-indirect(address(270,15))</f>
        <v>0</v>
      </c>
      <c r="P271">
        <f>indirect(address(271,15))+indirect(address(269,16))-indirect(address(270,16))</f>
        <v>0</v>
      </c>
      <c r="Q271">
        <f>indirect(address(271,16))+indirect(address(269,17))-indirect(address(270,17))</f>
        <v>0</v>
      </c>
      <c r="R271">
        <f>indirect(address(271,17))+indirect(address(269,18))-indirect(address(270,18))</f>
        <v>0</v>
      </c>
      <c r="S271">
        <f>indirect(address(271,18))+indirect(address(269,19))-indirect(address(270,19))</f>
        <v>0</v>
      </c>
      <c r="T271">
        <f>indirect(address(271,19))+indirect(address(269,20))-indirect(address(270,20))</f>
        <v>0</v>
      </c>
      <c r="U271">
        <f>indirect(address(271,20))+indirect(address(269,21))-indirect(address(270,21))</f>
        <v>0</v>
      </c>
      <c r="V271">
        <f>indirect(address(271,21))+indirect(address(269,22))-indirect(address(270,22))</f>
        <v>0</v>
      </c>
      <c r="W271">
        <f>indirect(address(271,22))+indirect(address(269,23))-indirect(address(270,23))</f>
        <v>0</v>
      </c>
      <c r="X271">
        <f>indirect(address(271,23))+indirect(address(269,24))-indirect(address(270,24))</f>
        <v>0</v>
      </c>
      <c r="Y271">
        <f>indirect(address(271,24))+indirect(address(269,25))-indirect(address(270,25))</f>
        <v>0</v>
      </c>
      <c r="Z271">
        <f>indirect(address(271,25))+indirect(address(269,26))-indirect(address(270,26))</f>
        <v>0</v>
      </c>
      <c r="AA271">
        <f>indirect(address(271,26))+indirect(address(269,27))-indirect(address(270,27))</f>
        <v>0</v>
      </c>
      <c r="AB271">
        <f>indirect(address(271,27))+indirect(address(269,28))-indirect(address(270,28))</f>
        <v>0</v>
      </c>
      <c r="AC271">
        <f>indirect(address(271,28))+indirect(address(269,29))-indirect(address(270,29))</f>
        <v>0</v>
      </c>
      <c r="AD271">
        <f>indirect(address(271,29))+indirect(address(269,30))-indirect(address(270,30))</f>
        <v>0</v>
      </c>
      <c r="AE271">
        <f>indirect(address(271,30))+indirect(address(269,31))-indirect(address(270,31))</f>
        <v>0</v>
      </c>
      <c r="AF271">
        <f>indirect(address(271,31))+indirect(address(269,32))-indirect(address(270,32))</f>
        <v>0</v>
      </c>
      <c r="AG271">
        <f>indirect(address(271,32))+indirect(address(269,33))-indirect(address(270,33))</f>
        <v>0</v>
      </c>
      <c r="AH271">
        <f>indirect(address(271,33))+indirect(address(269,34))-indirect(address(270,34))</f>
        <v>0</v>
      </c>
      <c r="AI271">
        <f>indirect(address(271,34))+indirect(address(269,35))-indirect(address(270,35))</f>
        <v>0</v>
      </c>
      <c r="AJ271">
        <f>indirect(address(271,35))+indirect(address(269,36))-indirect(address(270,36))</f>
        <v>0</v>
      </c>
      <c r="AK271">
        <f>indirect(address(271,36))+indirect(address(269,37))-indirect(address(270,37))</f>
        <v>0</v>
      </c>
      <c r="AL271">
        <f>indirect(address(271,37))+indirect(address(269,38))-indirect(address(270,38))</f>
        <v>0</v>
      </c>
      <c r="AM271">
        <f>indirect(address(271,38))+indirect(address(269,39))-indirect(address(270,39))</f>
        <v>0</v>
      </c>
      <c r="AN271">
        <f>indirect(address(271,39))+indirect(address(269,40))-indirect(address(270,40))</f>
        <v>0</v>
      </c>
      <c r="AO271">
        <f>indirect(address(271,40))</f>
        <v>0</v>
      </c>
    </row>
    <row r="272" spans="1:41">
      <c r="A272" t="s">
        <v>17</v>
      </c>
      <c r="B272" t="s">
        <v>297</v>
      </c>
      <c r="C272" t="s">
        <v>299</v>
      </c>
      <c r="E272">
        <v>1</v>
      </c>
      <c r="F272" t="s">
        <v>13</v>
      </c>
      <c r="I272" t="s">
        <v>15</v>
      </c>
      <c r="J272">
        <f>vlookup("924-025056-200",B:AZ,column(i1),0)*e272</f>
        <v>0</v>
      </c>
      <c r="K272">
        <f>vlookup("924-025056-200",B:AZ,column(j1),0)*e272</f>
        <v>0</v>
      </c>
      <c r="L272">
        <f>vlookup("924-025056-200",B:AZ,column(k1),0)*e272</f>
        <v>0</v>
      </c>
      <c r="M272">
        <f>vlookup("924-025056-200",B:AZ,column(l1),0)*e272</f>
        <v>0</v>
      </c>
      <c r="N272">
        <f>vlookup("924-025056-200",B:AZ,column(m1),0)*e272</f>
        <v>0</v>
      </c>
      <c r="O272">
        <f>vlookup("924-025056-200",B:AZ,column(n1),0)*e272</f>
        <v>0</v>
      </c>
      <c r="P272">
        <f>vlookup("924-025056-200",B:AZ,column(o1),0)*e272</f>
        <v>0</v>
      </c>
      <c r="Q272">
        <f>vlookup("924-025056-200",B:AZ,column(p1),0)*e272</f>
        <v>0</v>
      </c>
      <c r="R272">
        <f>vlookup("924-025056-200",B:AZ,column(q1),0)*e272</f>
        <v>0</v>
      </c>
      <c r="S272">
        <f>vlookup("924-025056-200",B:AZ,column(r1),0)*e272</f>
        <v>0</v>
      </c>
      <c r="T272">
        <f>vlookup("924-025056-200",B:AZ,column(s1),0)*e272</f>
        <v>0</v>
      </c>
      <c r="U272">
        <f>vlookup("924-025056-200",B:AZ,column(t1),0)*e272</f>
        <v>0</v>
      </c>
      <c r="V272">
        <f>vlookup("924-025056-200",B:AZ,column(u1),0)*e272</f>
        <v>0</v>
      </c>
      <c r="W272">
        <f>vlookup("924-025056-200",B:AZ,column(v1),0)*e272</f>
        <v>0</v>
      </c>
      <c r="X272">
        <f>vlookup("924-025056-200",B:AZ,column(w1),0)*e272</f>
        <v>0</v>
      </c>
      <c r="Y272">
        <f>vlookup("924-025056-200",B:AZ,column(x1),0)*e272</f>
        <v>0</v>
      </c>
      <c r="Z272">
        <f>vlookup("924-025056-200",B:AZ,column(y1),0)*e272</f>
        <v>0</v>
      </c>
      <c r="AA272">
        <f>vlookup("924-025056-200",B:AZ,column(z1),0)*e272</f>
        <v>0</v>
      </c>
      <c r="AB272">
        <f>vlookup("924-025056-200",B:AZ,column(aa1),0)*e272</f>
        <v>0</v>
      </c>
      <c r="AC272">
        <f>vlookup("924-025056-200",B:AZ,column(ab1),0)*e272</f>
        <v>0</v>
      </c>
      <c r="AD272">
        <f>vlookup("924-025056-200",B:AZ,column(ac1),0)*e272</f>
        <v>0</v>
      </c>
      <c r="AE272">
        <f>vlookup("924-025056-200",B:AZ,column(ad1),0)*e272</f>
        <v>0</v>
      </c>
      <c r="AF272">
        <f>vlookup("924-025056-200",B:AZ,column(ae1),0)*e272</f>
        <v>0</v>
      </c>
      <c r="AG272">
        <f>vlookup("924-025056-200",B:AZ,column(af1),0)*e272</f>
        <v>0</v>
      </c>
      <c r="AH272">
        <f>vlookup("924-025056-200",B:AZ,column(ag1),0)*e272</f>
        <v>0</v>
      </c>
      <c r="AI272">
        <f>vlookup("924-025056-200",B:AZ,column(ah1),0)*e272</f>
        <v>0</v>
      </c>
      <c r="AJ272">
        <f>vlookup("924-025056-200",B:AZ,column(ai1),0)*e272</f>
        <v>0</v>
      </c>
      <c r="AK272">
        <f>vlookup("924-025056-200",B:AZ,column(aj1),0)*e272</f>
        <v>0</v>
      </c>
      <c r="AL272">
        <f>vlookup("924-025056-200",B:AZ,column(ak1),0)*e272</f>
        <v>0</v>
      </c>
      <c r="AM272">
        <f>vlookup("924-025056-200",B:AZ,column(al1),0)*e272</f>
        <v>0</v>
      </c>
      <c r="AN272">
        <f>vlookup("924-025056-200",B:AZ,column(am1),0)*e272</f>
        <v>0</v>
      </c>
      <c r="AO272">
        <f>vlookup("924-025056-200",B:AZ,column(an1),0)*e272</f>
        <v>0</v>
      </c>
    </row>
    <row r="273" spans="1:41">
      <c r="A273" t="s">
        <v>22</v>
      </c>
      <c r="B273" t="s">
        <v>297</v>
      </c>
      <c r="C273" t="s">
        <v>292</v>
      </c>
      <c r="E273">
        <v>1</v>
      </c>
      <c r="F273" t="s">
        <v>13</v>
      </c>
      <c r="I273" t="s">
        <v>15</v>
      </c>
      <c r="J273">
        <f>vlookup("924-025056-200",B:AZ,column(i1),0)*e273</f>
        <v>0</v>
      </c>
      <c r="K273">
        <f>vlookup("924-025056-200",B:AZ,column(j1),0)*e273</f>
        <v>0</v>
      </c>
      <c r="L273">
        <f>vlookup("924-025056-200",B:AZ,column(k1),0)*e273</f>
        <v>0</v>
      </c>
      <c r="M273">
        <f>vlookup("924-025056-200",B:AZ,column(l1),0)*e273</f>
        <v>0</v>
      </c>
      <c r="N273">
        <f>vlookup("924-025056-200",B:AZ,column(m1),0)*e273</f>
        <v>0</v>
      </c>
      <c r="O273">
        <f>vlookup("924-025056-200",B:AZ,column(n1),0)*e273</f>
        <v>0</v>
      </c>
      <c r="P273">
        <f>vlookup("924-025056-200",B:AZ,column(o1),0)*e273</f>
        <v>0</v>
      </c>
      <c r="Q273">
        <f>vlookup("924-025056-200",B:AZ,column(p1),0)*e273</f>
        <v>0</v>
      </c>
      <c r="R273">
        <f>vlookup("924-025056-200",B:AZ,column(q1),0)*e273</f>
        <v>0</v>
      </c>
      <c r="S273">
        <f>vlookup("924-025056-200",B:AZ,column(r1),0)*e273</f>
        <v>0</v>
      </c>
      <c r="T273">
        <f>vlookup("924-025056-200",B:AZ,column(s1),0)*e273</f>
        <v>0</v>
      </c>
      <c r="U273">
        <f>vlookup("924-025056-200",B:AZ,column(t1),0)*e273</f>
        <v>0</v>
      </c>
      <c r="V273">
        <f>vlookup("924-025056-200",B:AZ,column(u1),0)*e273</f>
        <v>0</v>
      </c>
      <c r="W273">
        <f>vlookup("924-025056-200",B:AZ,column(v1),0)*e273</f>
        <v>0</v>
      </c>
      <c r="X273">
        <f>vlookup("924-025056-200",B:AZ,column(w1),0)*e273</f>
        <v>0</v>
      </c>
      <c r="Y273">
        <f>vlookup("924-025056-200",B:AZ,column(x1),0)*e273</f>
        <v>0</v>
      </c>
      <c r="Z273">
        <f>vlookup("924-025056-200",B:AZ,column(y1),0)*e273</f>
        <v>0</v>
      </c>
      <c r="AA273">
        <f>vlookup("924-025056-200",B:AZ,column(z1),0)*e273</f>
        <v>0</v>
      </c>
      <c r="AB273">
        <f>vlookup("924-025056-200",B:AZ,column(aa1),0)*e273</f>
        <v>0</v>
      </c>
      <c r="AC273">
        <f>vlookup("924-025056-200",B:AZ,column(ab1),0)*e273</f>
        <v>0</v>
      </c>
      <c r="AD273">
        <f>vlookup("924-025056-200",B:AZ,column(ac1),0)*e273</f>
        <v>0</v>
      </c>
      <c r="AE273">
        <f>vlookup("924-025056-200",B:AZ,column(ad1),0)*e273</f>
        <v>0</v>
      </c>
      <c r="AF273">
        <f>vlookup("924-025056-200",B:AZ,column(ae1),0)*e273</f>
        <v>0</v>
      </c>
      <c r="AG273">
        <f>vlookup("924-025056-200",B:AZ,column(af1),0)*e273</f>
        <v>0</v>
      </c>
      <c r="AH273">
        <f>vlookup("924-025056-200",B:AZ,column(ag1),0)*e273</f>
        <v>0</v>
      </c>
      <c r="AI273">
        <f>vlookup("924-025056-200",B:AZ,column(ah1),0)*e273</f>
        <v>0</v>
      </c>
      <c r="AJ273">
        <f>vlookup("924-025056-200",B:AZ,column(ai1),0)*e273</f>
        <v>0</v>
      </c>
      <c r="AK273">
        <f>vlookup("924-025056-200",B:AZ,column(aj1),0)*e273</f>
        <v>0</v>
      </c>
      <c r="AL273">
        <f>vlookup("924-025056-200",B:AZ,column(ak1),0)*e273</f>
        <v>0</v>
      </c>
      <c r="AM273">
        <f>vlookup("924-025056-200",B:AZ,column(al1),0)*e273</f>
        <v>0</v>
      </c>
      <c r="AN273">
        <f>vlookup("924-025056-200",B:AZ,column(am1),0)*e273</f>
        <v>0</v>
      </c>
      <c r="AO273">
        <f>vlookup("924-025056-200",B:AZ,column(an1),0)*e273</f>
        <v>0</v>
      </c>
    </row>
    <row r="274" spans="1:41">
      <c r="A274" t="s">
        <v>22</v>
      </c>
      <c r="B274" t="s">
        <v>297</v>
      </c>
      <c r="C274" t="s">
        <v>293</v>
      </c>
      <c r="E274">
        <v>4</v>
      </c>
      <c r="F274" t="s">
        <v>13</v>
      </c>
      <c r="I274" t="s">
        <v>15</v>
      </c>
      <c r="J274">
        <f>vlookup("924-025056-200",B:AZ,column(i1),0)*e274</f>
        <v>0</v>
      </c>
      <c r="K274">
        <f>vlookup("924-025056-200",B:AZ,column(j1),0)*e274</f>
        <v>0</v>
      </c>
      <c r="L274">
        <f>vlookup("924-025056-200",B:AZ,column(k1),0)*e274</f>
        <v>0</v>
      </c>
      <c r="M274">
        <f>vlookup("924-025056-200",B:AZ,column(l1),0)*e274</f>
        <v>0</v>
      </c>
      <c r="N274">
        <f>vlookup("924-025056-200",B:AZ,column(m1),0)*e274</f>
        <v>0</v>
      </c>
      <c r="O274">
        <f>vlookup("924-025056-200",B:AZ,column(n1),0)*e274</f>
        <v>0</v>
      </c>
      <c r="P274">
        <f>vlookup("924-025056-200",B:AZ,column(o1),0)*e274</f>
        <v>0</v>
      </c>
      <c r="Q274">
        <f>vlookup("924-025056-200",B:AZ,column(p1),0)*e274</f>
        <v>0</v>
      </c>
      <c r="R274">
        <f>vlookup("924-025056-200",B:AZ,column(q1),0)*e274</f>
        <v>0</v>
      </c>
      <c r="S274">
        <f>vlookup("924-025056-200",B:AZ,column(r1),0)*e274</f>
        <v>0</v>
      </c>
      <c r="T274">
        <f>vlookup("924-025056-200",B:AZ,column(s1),0)*e274</f>
        <v>0</v>
      </c>
      <c r="U274">
        <f>vlookup("924-025056-200",B:AZ,column(t1),0)*e274</f>
        <v>0</v>
      </c>
      <c r="V274">
        <f>vlookup("924-025056-200",B:AZ,column(u1),0)*e274</f>
        <v>0</v>
      </c>
      <c r="W274">
        <f>vlookup("924-025056-200",B:AZ,column(v1),0)*e274</f>
        <v>0</v>
      </c>
      <c r="X274">
        <f>vlookup("924-025056-200",B:AZ,column(w1),0)*e274</f>
        <v>0</v>
      </c>
      <c r="Y274">
        <f>vlookup("924-025056-200",B:AZ,column(x1),0)*e274</f>
        <v>0</v>
      </c>
      <c r="Z274">
        <f>vlookup("924-025056-200",B:AZ,column(y1),0)*e274</f>
        <v>0</v>
      </c>
      <c r="AA274">
        <f>vlookup("924-025056-200",B:AZ,column(z1),0)*e274</f>
        <v>0</v>
      </c>
      <c r="AB274">
        <f>vlookup("924-025056-200",B:AZ,column(aa1),0)*e274</f>
        <v>0</v>
      </c>
      <c r="AC274">
        <f>vlookup("924-025056-200",B:AZ,column(ab1),0)*e274</f>
        <v>0</v>
      </c>
      <c r="AD274">
        <f>vlookup("924-025056-200",B:AZ,column(ac1),0)*e274</f>
        <v>0</v>
      </c>
      <c r="AE274">
        <f>vlookup("924-025056-200",B:AZ,column(ad1),0)*e274</f>
        <v>0</v>
      </c>
      <c r="AF274">
        <f>vlookup("924-025056-200",B:AZ,column(ae1),0)*e274</f>
        <v>0</v>
      </c>
      <c r="AG274">
        <f>vlookup("924-025056-200",B:AZ,column(af1),0)*e274</f>
        <v>0</v>
      </c>
      <c r="AH274">
        <f>vlookup("924-025056-200",B:AZ,column(ag1),0)*e274</f>
        <v>0</v>
      </c>
      <c r="AI274">
        <f>vlookup("924-025056-200",B:AZ,column(ah1),0)*e274</f>
        <v>0</v>
      </c>
      <c r="AJ274">
        <f>vlookup("924-025056-200",B:AZ,column(ai1),0)*e274</f>
        <v>0</v>
      </c>
      <c r="AK274">
        <f>vlookup("924-025056-200",B:AZ,column(aj1),0)*e274</f>
        <v>0</v>
      </c>
      <c r="AL274">
        <f>vlookup("924-025056-200",B:AZ,column(ak1),0)*e274</f>
        <v>0</v>
      </c>
      <c r="AM274">
        <f>vlookup("924-025056-200",B:AZ,column(al1),0)*e274</f>
        <v>0</v>
      </c>
      <c r="AN274">
        <f>vlookup("924-025056-200",B:AZ,column(am1),0)*e274</f>
        <v>0</v>
      </c>
      <c r="AO274">
        <f>vlookup("924-025056-200",B:AZ,column(an1),0)*e274</f>
        <v>0</v>
      </c>
    </row>
    <row r="275" spans="1:41">
      <c r="A275" t="s">
        <v>22</v>
      </c>
      <c r="B275" t="s">
        <v>297</v>
      </c>
      <c r="C275" t="s">
        <v>294</v>
      </c>
      <c r="E275">
        <v>1</v>
      </c>
      <c r="F275" t="s">
        <v>13</v>
      </c>
      <c r="I275" t="s">
        <v>15</v>
      </c>
      <c r="J275">
        <f>vlookup("924-025056-200",B:AZ,column(i1),0)*e275</f>
        <v>0</v>
      </c>
      <c r="K275">
        <f>vlookup("924-025056-200",B:AZ,column(j1),0)*e275</f>
        <v>0</v>
      </c>
      <c r="L275">
        <f>vlookup("924-025056-200",B:AZ,column(k1),0)*e275</f>
        <v>0</v>
      </c>
      <c r="M275">
        <f>vlookup("924-025056-200",B:AZ,column(l1),0)*e275</f>
        <v>0</v>
      </c>
      <c r="N275">
        <f>vlookup("924-025056-200",B:AZ,column(m1),0)*e275</f>
        <v>0</v>
      </c>
      <c r="O275">
        <f>vlookup("924-025056-200",B:AZ,column(n1),0)*e275</f>
        <v>0</v>
      </c>
      <c r="P275">
        <f>vlookup("924-025056-200",B:AZ,column(o1),0)*e275</f>
        <v>0</v>
      </c>
      <c r="Q275">
        <f>vlookup("924-025056-200",B:AZ,column(p1),0)*e275</f>
        <v>0</v>
      </c>
      <c r="R275">
        <f>vlookup("924-025056-200",B:AZ,column(q1),0)*e275</f>
        <v>0</v>
      </c>
      <c r="S275">
        <f>vlookup("924-025056-200",B:AZ,column(r1),0)*e275</f>
        <v>0</v>
      </c>
      <c r="T275">
        <f>vlookup("924-025056-200",B:AZ,column(s1),0)*e275</f>
        <v>0</v>
      </c>
      <c r="U275">
        <f>vlookup("924-025056-200",B:AZ,column(t1),0)*e275</f>
        <v>0</v>
      </c>
      <c r="V275">
        <f>vlookup("924-025056-200",B:AZ,column(u1),0)*e275</f>
        <v>0</v>
      </c>
      <c r="W275">
        <f>vlookup("924-025056-200",B:AZ,column(v1),0)*e275</f>
        <v>0</v>
      </c>
      <c r="X275">
        <f>vlookup("924-025056-200",B:AZ,column(w1),0)*e275</f>
        <v>0</v>
      </c>
      <c r="Y275">
        <f>vlookup("924-025056-200",B:AZ,column(x1),0)*e275</f>
        <v>0</v>
      </c>
      <c r="Z275">
        <f>vlookup("924-025056-200",B:AZ,column(y1),0)*e275</f>
        <v>0</v>
      </c>
      <c r="AA275">
        <f>vlookup("924-025056-200",B:AZ,column(z1),0)*e275</f>
        <v>0</v>
      </c>
      <c r="AB275">
        <f>vlookup("924-025056-200",B:AZ,column(aa1),0)*e275</f>
        <v>0</v>
      </c>
      <c r="AC275">
        <f>vlookup("924-025056-200",B:AZ,column(ab1),0)*e275</f>
        <v>0</v>
      </c>
      <c r="AD275">
        <f>vlookup("924-025056-200",B:AZ,column(ac1),0)*e275</f>
        <v>0</v>
      </c>
      <c r="AE275">
        <f>vlookup("924-025056-200",B:AZ,column(ad1),0)*e275</f>
        <v>0</v>
      </c>
      <c r="AF275">
        <f>vlookup("924-025056-200",B:AZ,column(ae1),0)*e275</f>
        <v>0</v>
      </c>
      <c r="AG275">
        <f>vlookup("924-025056-200",B:AZ,column(af1),0)*e275</f>
        <v>0</v>
      </c>
      <c r="AH275">
        <f>vlookup("924-025056-200",B:AZ,column(ag1),0)*e275</f>
        <v>0</v>
      </c>
      <c r="AI275">
        <f>vlookup("924-025056-200",B:AZ,column(ah1),0)*e275</f>
        <v>0</v>
      </c>
      <c r="AJ275">
        <f>vlookup("924-025056-200",B:AZ,column(ai1),0)*e275</f>
        <v>0</v>
      </c>
      <c r="AK275">
        <f>vlookup("924-025056-200",B:AZ,column(aj1),0)*e275</f>
        <v>0</v>
      </c>
      <c r="AL275">
        <f>vlookup("924-025056-200",B:AZ,column(ak1),0)*e275</f>
        <v>0</v>
      </c>
      <c r="AM275">
        <f>vlookup("924-025056-200",B:AZ,column(al1),0)*e275</f>
        <v>0</v>
      </c>
      <c r="AN275">
        <f>vlookup("924-025056-200",B:AZ,column(am1),0)*e275</f>
        <v>0</v>
      </c>
      <c r="AO275">
        <f>vlookup("924-025056-200",B:AZ,column(an1),0)*e275</f>
        <v>0</v>
      </c>
    </row>
    <row r="276" spans="1:41">
      <c r="A276" t="s">
        <v>78</v>
      </c>
      <c r="B276" t="s">
        <v>297</v>
      </c>
      <c r="C276" t="s">
        <v>300</v>
      </c>
      <c r="E276">
        <v>0.05</v>
      </c>
      <c r="F276" t="s">
        <v>13</v>
      </c>
      <c r="I276" t="s">
        <v>15</v>
      </c>
      <c r="J276">
        <f>vlookup("924-025056-200",B:AZ,column(i1),0)*e276</f>
        <v>0</v>
      </c>
      <c r="K276">
        <f>vlookup("924-025056-200",B:AZ,column(j1),0)*e276</f>
        <v>0</v>
      </c>
      <c r="L276">
        <f>vlookup("924-025056-200",B:AZ,column(k1),0)*e276</f>
        <v>0</v>
      </c>
      <c r="M276">
        <f>vlookup("924-025056-200",B:AZ,column(l1),0)*e276</f>
        <v>0</v>
      </c>
      <c r="N276">
        <f>vlookup("924-025056-200",B:AZ,column(m1),0)*e276</f>
        <v>0</v>
      </c>
      <c r="O276">
        <f>vlookup("924-025056-200",B:AZ,column(n1),0)*e276</f>
        <v>0</v>
      </c>
      <c r="P276">
        <f>vlookup("924-025056-200",B:AZ,column(o1),0)*e276</f>
        <v>0</v>
      </c>
      <c r="Q276">
        <f>vlookup("924-025056-200",B:AZ,column(p1),0)*e276</f>
        <v>0</v>
      </c>
      <c r="R276">
        <f>vlookup("924-025056-200",B:AZ,column(q1),0)*e276</f>
        <v>0</v>
      </c>
      <c r="S276">
        <f>vlookup("924-025056-200",B:AZ,column(r1),0)*e276</f>
        <v>0</v>
      </c>
      <c r="T276">
        <f>vlookup("924-025056-200",B:AZ,column(s1),0)*e276</f>
        <v>0</v>
      </c>
      <c r="U276">
        <f>vlookup("924-025056-200",B:AZ,column(t1),0)*e276</f>
        <v>0</v>
      </c>
      <c r="V276">
        <f>vlookup("924-025056-200",B:AZ,column(u1),0)*e276</f>
        <v>0</v>
      </c>
      <c r="W276">
        <f>vlookup("924-025056-200",B:AZ,column(v1),0)*e276</f>
        <v>0</v>
      </c>
      <c r="X276">
        <f>vlookup("924-025056-200",B:AZ,column(w1),0)*e276</f>
        <v>0</v>
      </c>
      <c r="Y276">
        <f>vlookup("924-025056-200",B:AZ,column(x1),0)*e276</f>
        <v>0</v>
      </c>
      <c r="Z276">
        <f>vlookup("924-025056-200",B:AZ,column(y1),0)*e276</f>
        <v>0</v>
      </c>
      <c r="AA276">
        <f>vlookup("924-025056-200",B:AZ,column(z1),0)*e276</f>
        <v>0</v>
      </c>
      <c r="AB276">
        <f>vlookup("924-025056-200",B:AZ,column(aa1),0)*e276</f>
        <v>0</v>
      </c>
      <c r="AC276">
        <f>vlookup("924-025056-200",B:AZ,column(ab1),0)*e276</f>
        <v>0</v>
      </c>
      <c r="AD276">
        <f>vlookup("924-025056-200",B:AZ,column(ac1),0)*e276</f>
        <v>0</v>
      </c>
      <c r="AE276">
        <f>vlookup("924-025056-200",B:AZ,column(ad1),0)*e276</f>
        <v>0</v>
      </c>
      <c r="AF276">
        <f>vlookup("924-025056-200",B:AZ,column(ae1),0)*e276</f>
        <v>0</v>
      </c>
      <c r="AG276">
        <f>vlookup("924-025056-200",B:AZ,column(af1),0)*e276</f>
        <v>0</v>
      </c>
      <c r="AH276">
        <f>vlookup("924-025056-200",B:AZ,column(ag1),0)*e276</f>
        <v>0</v>
      </c>
      <c r="AI276">
        <f>vlookup("924-025056-200",B:AZ,column(ah1),0)*e276</f>
        <v>0</v>
      </c>
      <c r="AJ276">
        <f>vlookup("924-025056-200",B:AZ,column(ai1),0)*e276</f>
        <v>0</v>
      </c>
      <c r="AK276">
        <f>vlookup("924-025056-200",B:AZ,column(aj1),0)*e276</f>
        <v>0</v>
      </c>
      <c r="AL276">
        <f>vlookup("924-025056-200",B:AZ,column(ak1),0)*e276</f>
        <v>0</v>
      </c>
      <c r="AM276">
        <f>vlookup("924-025056-200",B:AZ,column(al1),0)*e276</f>
        <v>0</v>
      </c>
      <c r="AN276">
        <f>vlookup("924-025056-200",B:AZ,column(am1),0)*e276</f>
        <v>0</v>
      </c>
      <c r="AO276">
        <f>vlookup("924-025056-200",B:AZ,column(an1),0)*e276</f>
        <v>0</v>
      </c>
    </row>
    <row r="277" spans="1:41">
      <c r="A277" t="s">
        <v>43</v>
      </c>
      <c r="B277" t="s">
        <v>297</v>
      </c>
      <c r="C277" t="s">
        <v>301</v>
      </c>
      <c r="E277">
        <v>0.05</v>
      </c>
      <c r="F277" t="s">
        <v>13</v>
      </c>
      <c r="I277" t="s">
        <v>15</v>
      </c>
      <c r="J277">
        <f>vlookup("924-025056-200",B:AZ,column(i1),0)*e277</f>
        <v>0</v>
      </c>
      <c r="K277">
        <f>vlookup("924-025056-200",B:AZ,column(j1),0)*e277</f>
        <v>0</v>
      </c>
      <c r="L277">
        <f>vlookup("924-025056-200",B:AZ,column(k1),0)*e277</f>
        <v>0</v>
      </c>
      <c r="M277">
        <f>vlookup("924-025056-200",B:AZ,column(l1),0)*e277</f>
        <v>0</v>
      </c>
      <c r="N277">
        <f>vlookup("924-025056-200",B:AZ,column(m1),0)*e277</f>
        <v>0</v>
      </c>
      <c r="O277">
        <f>vlookup("924-025056-200",B:AZ,column(n1),0)*e277</f>
        <v>0</v>
      </c>
      <c r="P277">
        <f>vlookup("924-025056-200",B:AZ,column(o1),0)*e277</f>
        <v>0</v>
      </c>
      <c r="Q277">
        <f>vlookup("924-025056-200",B:AZ,column(p1),0)*e277</f>
        <v>0</v>
      </c>
      <c r="R277">
        <f>vlookup("924-025056-200",B:AZ,column(q1),0)*e277</f>
        <v>0</v>
      </c>
      <c r="S277">
        <f>vlookup("924-025056-200",B:AZ,column(r1),0)*e277</f>
        <v>0</v>
      </c>
      <c r="T277">
        <f>vlookup("924-025056-200",B:AZ,column(s1),0)*e277</f>
        <v>0</v>
      </c>
      <c r="U277">
        <f>vlookup("924-025056-200",B:AZ,column(t1),0)*e277</f>
        <v>0</v>
      </c>
      <c r="V277">
        <f>vlookup("924-025056-200",B:AZ,column(u1),0)*e277</f>
        <v>0</v>
      </c>
      <c r="W277">
        <f>vlookup("924-025056-200",B:AZ,column(v1),0)*e277</f>
        <v>0</v>
      </c>
      <c r="X277">
        <f>vlookup("924-025056-200",B:AZ,column(w1),0)*e277</f>
        <v>0</v>
      </c>
      <c r="Y277">
        <f>vlookup("924-025056-200",B:AZ,column(x1),0)*e277</f>
        <v>0</v>
      </c>
      <c r="Z277">
        <f>vlookup("924-025056-200",B:AZ,column(y1),0)*e277</f>
        <v>0</v>
      </c>
      <c r="AA277">
        <f>vlookup("924-025056-200",B:AZ,column(z1),0)*e277</f>
        <v>0</v>
      </c>
      <c r="AB277">
        <f>vlookup("924-025056-200",B:AZ,column(aa1),0)*e277</f>
        <v>0</v>
      </c>
      <c r="AC277">
        <f>vlookup("924-025056-200",B:AZ,column(ab1),0)*e277</f>
        <v>0</v>
      </c>
      <c r="AD277">
        <f>vlookup("924-025056-200",B:AZ,column(ac1),0)*e277</f>
        <v>0</v>
      </c>
      <c r="AE277">
        <f>vlookup("924-025056-200",B:AZ,column(ad1),0)*e277</f>
        <v>0</v>
      </c>
      <c r="AF277">
        <f>vlookup("924-025056-200",B:AZ,column(ae1),0)*e277</f>
        <v>0</v>
      </c>
      <c r="AG277">
        <f>vlookup("924-025056-200",B:AZ,column(af1),0)*e277</f>
        <v>0</v>
      </c>
      <c r="AH277">
        <f>vlookup("924-025056-200",B:AZ,column(ag1),0)*e277</f>
        <v>0</v>
      </c>
      <c r="AI277">
        <f>vlookup("924-025056-200",B:AZ,column(ah1),0)*e277</f>
        <v>0</v>
      </c>
      <c r="AJ277">
        <f>vlookup("924-025056-200",B:AZ,column(ai1),0)*e277</f>
        <v>0</v>
      </c>
      <c r="AK277">
        <f>vlookup("924-025056-200",B:AZ,column(aj1),0)*e277</f>
        <v>0</v>
      </c>
      <c r="AL277">
        <f>vlookup("924-025056-200",B:AZ,column(ak1),0)*e277</f>
        <v>0</v>
      </c>
      <c r="AM277">
        <f>vlookup("924-025056-200",B:AZ,column(al1),0)*e277</f>
        <v>0</v>
      </c>
      <c r="AN277">
        <f>vlookup("924-025056-200",B:AZ,column(am1),0)*e277</f>
        <v>0</v>
      </c>
      <c r="AO277">
        <f>vlookup("924-025056-200",B:AZ,column(an1),0)*e277</f>
        <v>0</v>
      </c>
    </row>
    <row r="278" spans="1:41">
      <c r="A278" t="s">
        <v>10</v>
      </c>
      <c r="B278" t="s">
        <v>302</v>
      </c>
      <c r="C278" t="s">
        <v>290</v>
      </c>
      <c r="E278">
        <v>1</v>
      </c>
      <c r="F278" t="s">
        <v>13</v>
      </c>
      <c r="I278" t="s">
        <v>14</v>
      </c>
      <c r="AO278">
        <f>sum(j278:an278)</f>
        <v>0</v>
      </c>
    </row>
    <row r="279" spans="1:41">
      <c r="I279" t="s">
        <v>15</v>
      </c>
      <c r="J279">
        <f>vlookup("924-025056-300",Out!B:AZ,column(i1),0)</f>
        <v>0</v>
      </c>
      <c r="K279">
        <f>vlookup("924-025056-300",Out!B:AZ,column(j1),0)</f>
        <v>0</v>
      </c>
      <c r="L279">
        <f>vlookup("924-025056-300",Out!B:AZ,column(k1),0)</f>
        <v>0</v>
      </c>
      <c r="M279">
        <f>vlookup("924-025056-300",Out!B:AZ,column(l1),0)</f>
        <v>0</v>
      </c>
      <c r="N279">
        <f>vlookup("924-025056-300",Out!B:AZ,column(m1),0)</f>
        <v>0</v>
      </c>
      <c r="O279">
        <f>vlookup("924-025056-300",Out!B:AZ,column(n1),0)</f>
        <v>0</v>
      </c>
      <c r="P279">
        <f>vlookup("924-025056-300",Out!B:AZ,column(o1),0)</f>
        <v>0</v>
      </c>
      <c r="Q279">
        <f>vlookup("924-025056-300",Out!B:AZ,column(p1),0)</f>
        <v>0</v>
      </c>
      <c r="R279">
        <f>vlookup("924-025056-300",Out!B:AZ,column(q1),0)</f>
        <v>0</v>
      </c>
      <c r="S279">
        <f>vlookup("924-025056-300",Out!B:AZ,column(r1),0)</f>
        <v>0</v>
      </c>
      <c r="T279">
        <f>vlookup("924-025056-300",Out!B:AZ,column(s1),0)</f>
        <v>0</v>
      </c>
      <c r="U279">
        <f>vlookup("924-025056-300",Out!B:AZ,column(t1),0)</f>
        <v>0</v>
      </c>
      <c r="V279">
        <f>vlookup("924-025056-300",Out!B:AZ,column(u1),0)</f>
        <v>0</v>
      </c>
      <c r="W279">
        <f>vlookup("924-025056-300",Out!B:AZ,column(v1),0)</f>
        <v>0</v>
      </c>
      <c r="X279">
        <f>vlookup("924-025056-300",Out!B:AZ,column(w1),0)</f>
        <v>0</v>
      </c>
      <c r="Y279">
        <f>vlookup("924-025056-300",Out!B:AZ,column(x1),0)</f>
        <v>0</v>
      </c>
      <c r="Z279">
        <f>vlookup("924-025056-300",Out!B:AZ,column(y1),0)</f>
        <v>0</v>
      </c>
      <c r="AA279">
        <f>vlookup("924-025056-300",Out!B:AZ,column(z1),0)</f>
        <v>0</v>
      </c>
      <c r="AB279">
        <f>vlookup("924-025056-300",Out!B:AZ,column(aa1),0)</f>
        <v>0</v>
      </c>
      <c r="AC279">
        <f>vlookup("924-025056-300",Out!B:AZ,column(ab1),0)</f>
        <v>0</v>
      </c>
      <c r="AD279">
        <f>vlookup("924-025056-300",Out!B:AZ,column(ac1),0)</f>
        <v>0</v>
      </c>
      <c r="AE279">
        <f>vlookup("924-025056-300",Out!B:AZ,column(ad1),0)</f>
        <v>0</v>
      </c>
      <c r="AF279">
        <f>vlookup("924-025056-300",Out!B:AZ,column(ae1),0)</f>
        <v>0</v>
      </c>
      <c r="AG279">
        <f>vlookup("924-025056-300",Out!B:AZ,column(af1),0)</f>
        <v>0</v>
      </c>
      <c r="AH279">
        <f>vlookup("924-025056-300",Out!B:AZ,column(ag1),0)</f>
        <v>0</v>
      </c>
      <c r="AI279">
        <f>vlookup("924-025056-300",Out!B:AZ,column(ah1),0)</f>
        <v>0</v>
      </c>
      <c r="AJ279">
        <f>vlookup("924-025056-300",Out!B:AZ,column(ai1),0)</f>
        <v>0</v>
      </c>
      <c r="AK279">
        <f>vlookup("924-025056-300",Out!B:AZ,column(aj1),0)</f>
        <v>0</v>
      </c>
      <c r="AL279">
        <f>vlookup("924-025056-300",Out!B:AZ,column(ak1),0)</f>
        <v>0</v>
      </c>
      <c r="AM279">
        <f>vlookup("924-025056-300",Out!B:AZ,column(al1),0)</f>
        <v>0</v>
      </c>
      <c r="AN279">
        <f>vlookup("924-025056-300",Out!B:AZ,column(am1),0)</f>
        <v>0</v>
      </c>
      <c r="AO279">
        <f>vlookup("924-025056-300",Out!B:AZ,column(an1),0)</f>
        <v>0</v>
      </c>
    </row>
    <row r="280" spans="1:41">
      <c r="H280" t="s">
        <v>16</v>
      </c>
      <c r="J280">
        <f>indirect(address(280,9))+indirect(address(278,10))-indirect(address(279,10))</f>
        <v>0</v>
      </c>
      <c r="K280">
        <f>indirect(address(280,10))+indirect(address(278,11))-indirect(address(279,11))</f>
        <v>0</v>
      </c>
      <c r="L280">
        <f>indirect(address(280,11))+indirect(address(278,12))-indirect(address(279,12))</f>
        <v>0</v>
      </c>
      <c r="M280">
        <f>indirect(address(280,12))+indirect(address(278,13))-indirect(address(279,13))</f>
        <v>0</v>
      </c>
      <c r="N280">
        <f>indirect(address(280,13))+indirect(address(278,14))-indirect(address(279,14))</f>
        <v>0</v>
      </c>
      <c r="O280">
        <f>indirect(address(280,14))+indirect(address(278,15))-indirect(address(279,15))</f>
        <v>0</v>
      </c>
      <c r="P280">
        <f>indirect(address(280,15))+indirect(address(278,16))-indirect(address(279,16))</f>
        <v>0</v>
      </c>
      <c r="Q280">
        <f>indirect(address(280,16))+indirect(address(278,17))-indirect(address(279,17))</f>
        <v>0</v>
      </c>
      <c r="R280">
        <f>indirect(address(280,17))+indirect(address(278,18))-indirect(address(279,18))</f>
        <v>0</v>
      </c>
      <c r="S280">
        <f>indirect(address(280,18))+indirect(address(278,19))-indirect(address(279,19))</f>
        <v>0</v>
      </c>
      <c r="T280">
        <f>indirect(address(280,19))+indirect(address(278,20))-indirect(address(279,20))</f>
        <v>0</v>
      </c>
      <c r="U280">
        <f>indirect(address(280,20))+indirect(address(278,21))-indirect(address(279,21))</f>
        <v>0</v>
      </c>
      <c r="V280">
        <f>indirect(address(280,21))+indirect(address(278,22))-indirect(address(279,22))</f>
        <v>0</v>
      </c>
      <c r="W280">
        <f>indirect(address(280,22))+indirect(address(278,23))-indirect(address(279,23))</f>
        <v>0</v>
      </c>
      <c r="X280">
        <f>indirect(address(280,23))+indirect(address(278,24))-indirect(address(279,24))</f>
        <v>0</v>
      </c>
      <c r="Y280">
        <f>indirect(address(280,24))+indirect(address(278,25))-indirect(address(279,25))</f>
        <v>0</v>
      </c>
      <c r="Z280">
        <f>indirect(address(280,25))+indirect(address(278,26))-indirect(address(279,26))</f>
        <v>0</v>
      </c>
      <c r="AA280">
        <f>indirect(address(280,26))+indirect(address(278,27))-indirect(address(279,27))</f>
        <v>0</v>
      </c>
      <c r="AB280">
        <f>indirect(address(280,27))+indirect(address(278,28))-indirect(address(279,28))</f>
        <v>0</v>
      </c>
      <c r="AC280">
        <f>indirect(address(280,28))+indirect(address(278,29))-indirect(address(279,29))</f>
        <v>0</v>
      </c>
      <c r="AD280">
        <f>indirect(address(280,29))+indirect(address(278,30))-indirect(address(279,30))</f>
        <v>0</v>
      </c>
      <c r="AE280">
        <f>indirect(address(280,30))+indirect(address(278,31))-indirect(address(279,31))</f>
        <v>0</v>
      </c>
      <c r="AF280">
        <f>indirect(address(280,31))+indirect(address(278,32))-indirect(address(279,32))</f>
        <v>0</v>
      </c>
      <c r="AG280">
        <f>indirect(address(280,32))+indirect(address(278,33))-indirect(address(279,33))</f>
        <v>0</v>
      </c>
      <c r="AH280">
        <f>indirect(address(280,33))+indirect(address(278,34))-indirect(address(279,34))</f>
        <v>0</v>
      </c>
      <c r="AI280">
        <f>indirect(address(280,34))+indirect(address(278,35))-indirect(address(279,35))</f>
        <v>0</v>
      </c>
      <c r="AJ280">
        <f>indirect(address(280,35))+indirect(address(278,36))-indirect(address(279,36))</f>
        <v>0</v>
      </c>
      <c r="AK280">
        <f>indirect(address(280,36))+indirect(address(278,37))-indirect(address(279,37))</f>
        <v>0</v>
      </c>
      <c r="AL280">
        <f>indirect(address(280,37))+indirect(address(278,38))-indirect(address(279,38))</f>
        <v>0</v>
      </c>
      <c r="AM280">
        <f>indirect(address(280,38))+indirect(address(278,39))-indirect(address(279,39))</f>
        <v>0</v>
      </c>
      <c r="AN280">
        <f>indirect(address(280,39))+indirect(address(278,40))-indirect(address(279,40))</f>
        <v>0</v>
      </c>
      <c r="AO280">
        <f>indirect(address(280,40))</f>
        <v>0</v>
      </c>
    </row>
    <row r="281" spans="1:41">
      <c r="A281" t="s">
        <v>17</v>
      </c>
      <c r="B281" t="s">
        <v>302</v>
      </c>
      <c r="C281" t="s">
        <v>303</v>
      </c>
      <c r="E281">
        <v>1</v>
      </c>
      <c r="F281" t="s">
        <v>13</v>
      </c>
      <c r="I281" t="s">
        <v>15</v>
      </c>
      <c r="J281">
        <f>vlookup("924-025056-300",B:AZ,column(i1),0)*e281</f>
        <v>0</v>
      </c>
      <c r="K281">
        <f>vlookup("924-025056-300",B:AZ,column(j1),0)*e281</f>
        <v>0</v>
      </c>
      <c r="L281">
        <f>vlookup("924-025056-300",B:AZ,column(k1),0)*e281</f>
        <v>0</v>
      </c>
      <c r="M281">
        <f>vlookup("924-025056-300",B:AZ,column(l1),0)*e281</f>
        <v>0</v>
      </c>
      <c r="N281">
        <f>vlookup("924-025056-300",B:AZ,column(m1),0)*e281</f>
        <v>0</v>
      </c>
      <c r="O281">
        <f>vlookup("924-025056-300",B:AZ,column(n1),0)*e281</f>
        <v>0</v>
      </c>
      <c r="P281">
        <f>vlookup("924-025056-300",B:AZ,column(o1),0)*e281</f>
        <v>0</v>
      </c>
      <c r="Q281">
        <f>vlookup("924-025056-300",B:AZ,column(p1),0)*e281</f>
        <v>0</v>
      </c>
      <c r="R281">
        <f>vlookup("924-025056-300",B:AZ,column(q1),0)*e281</f>
        <v>0</v>
      </c>
      <c r="S281">
        <f>vlookup("924-025056-300",B:AZ,column(r1),0)*e281</f>
        <v>0</v>
      </c>
      <c r="T281">
        <f>vlookup("924-025056-300",B:AZ,column(s1),0)*e281</f>
        <v>0</v>
      </c>
      <c r="U281">
        <f>vlookup("924-025056-300",B:AZ,column(t1),0)*e281</f>
        <v>0</v>
      </c>
      <c r="V281">
        <f>vlookup("924-025056-300",B:AZ,column(u1),0)*e281</f>
        <v>0</v>
      </c>
      <c r="W281">
        <f>vlookup("924-025056-300",B:AZ,column(v1),0)*e281</f>
        <v>0</v>
      </c>
      <c r="X281">
        <f>vlookup("924-025056-300",B:AZ,column(w1),0)*e281</f>
        <v>0</v>
      </c>
      <c r="Y281">
        <f>vlookup("924-025056-300",B:AZ,column(x1),0)*e281</f>
        <v>0</v>
      </c>
      <c r="Z281">
        <f>vlookup("924-025056-300",B:AZ,column(y1),0)*e281</f>
        <v>0</v>
      </c>
      <c r="AA281">
        <f>vlookup("924-025056-300",B:AZ,column(z1),0)*e281</f>
        <v>0</v>
      </c>
      <c r="AB281">
        <f>vlookup("924-025056-300",B:AZ,column(aa1),0)*e281</f>
        <v>0</v>
      </c>
      <c r="AC281">
        <f>vlookup("924-025056-300",B:AZ,column(ab1),0)*e281</f>
        <v>0</v>
      </c>
      <c r="AD281">
        <f>vlookup("924-025056-300",B:AZ,column(ac1),0)*e281</f>
        <v>0</v>
      </c>
      <c r="AE281">
        <f>vlookup("924-025056-300",B:AZ,column(ad1),0)*e281</f>
        <v>0</v>
      </c>
      <c r="AF281">
        <f>vlookup("924-025056-300",B:AZ,column(ae1),0)*e281</f>
        <v>0</v>
      </c>
      <c r="AG281">
        <f>vlookup("924-025056-300",B:AZ,column(af1),0)*e281</f>
        <v>0</v>
      </c>
      <c r="AH281">
        <f>vlookup("924-025056-300",B:AZ,column(ag1),0)*e281</f>
        <v>0</v>
      </c>
      <c r="AI281">
        <f>vlookup("924-025056-300",B:AZ,column(ah1),0)*e281</f>
        <v>0</v>
      </c>
      <c r="AJ281">
        <f>vlookup("924-025056-300",B:AZ,column(ai1),0)*e281</f>
        <v>0</v>
      </c>
      <c r="AK281">
        <f>vlookup("924-025056-300",B:AZ,column(aj1),0)*e281</f>
        <v>0</v>
      </c>
      <c r="AL281">
        <f>vlookup("924-025056-300",B:AZ,column(ak1),0)*e281</f>
        <v>0</v>
      </c>
      <c r="AM281">
        <f>vlookup("924-025056-300",B:AZ,column(al1),0)*e281</f>
        <v>0</v>
      </c>
      <c r="AN281">
        <f>vlookup("924-025056-300",B:AZ,column(am1),0)*e281</f>
        <v>0</v>
      </c>
      <c r="AO281">
        <f>vlookup("924-025056-300",B:AZ,column(an1),0)*e281</f>
        <v>0</v>
      </c>
    </row>
    <row r="282" spans="1:41">
      <c r="A282" t="s">
        <v>22</v>
      </c>
      <c r="B282" t="s">
        <v>302</v>
      </c>
      <c r="C282" t="s">
        <v>292</v>
      </c>
      <c r="E282">
        <v>1</v>
      </c>
      <c r="F282" t="s">
        <v>13</v>
      </c>
      <c r="I282" t="s">
        <v>15</v>
      </c>
      <c r="J282">
        <f>vlookup("924-025056-300",B:AZ,column(i1),0)*e282</f>
        <v>0</v>
      </c>
      <c r="K282">
        <f>vlookup("924-025056-300",B:AZ,column(j1),0)*e282</f>
        <v>0</v>
      </c>
      <c r="L282">
        <f>vlookup("924-025056-300",B:AZ,column(k1),0)*e282</f>
        <v>0</v>
      </c>
      <c r="M282">
        <f>vlookup("924-025056-300",B:AZ,column(l1),0)*e282</f>
        <v>0</v>
      </c>
      <c r="N282">
        <f>vlookup("924-025056-300",B:AZ,column(m1),0)*e282</f>
        <v>0</v>
      </c>
      <c r="O282">
        <f>vlookup("924-025056-300",B:AZ,column(n1),0)*e282</f>
        <v>0</v>
      </c>
      <c r="P282">
        <f>vlookup("924-025056-300",B:AZ,column(o1),0)*e282</f>
        <v>0</v>
      </c>
      <c r="Q282">
        <f>vlookup("924-025056-300",B:AZ,column(p1),0)*e282</f>
        <v>0</v>
      </c>
      <c r="R282">
        <f>vlookup("924-025056-300",B:AZ,column(q1),0)*e282</f>
        <v>0</v>
      </c>
      <c r="S282">
        <f>vlookup("924-025056-300",B:AZ,column(r1),0)*e282</f>
        <v>0</v>
      </c>
      <c r="T282">
        <f>vlookup("924-025056-300",B:AZ,column(s1),0)*e282</f>
        <v>0</v>
      </c>
      <c r="U282">
        <f>vlookup("924-025056-300",B:AZ,column(t1),0)*e282</f>
        <v>0</v>
      </c>
      <c r="V282">
        <f>vlookup("924-025056-300",B:AZ,column(u1),0)*e282</f>
        <v>0</v>
      </c>
      <c r="W282">
        <f>vlookup("924-025056-300",B:AZ,column(v1),0)*e282</f>
        <v>0</v>
      </c>
      <c r="X282">
        <f>vlookup("924-025056-300",B:AZ,column(w1),0)*e282</f>
        <v>0</v>
      </c>
      <c r="Y282">
        <f>vlookup("924-025056-300",B:AZ,column(x1),0)*e282</f>
        <v>0</v>
      </c>
      <c r="Z282">
        <f>vlookup("924-025056-300",B:AZ,column(y1),0)*e282</f>
        <v>0</v>
      </c>
      <c r="AA282">
        <f>vlookup("924-025056-300",B:AZ,column(z1),0)*e282</f>
        <v>0</v>
      </c>
      <c r="AB282">
        <f>vlookup("924-025056-300",B:AZ,column(aa1),0)*e282</f>
        <v>0</v>
      </c>
      <c r="AC282">
        <f>vlookup("924-025056-300",B:AZ,column(ab1),0)*e282</f>
        <v>0</v>
      </c>
      <c r="AD282">
        <f>vlookup("924-025056-300",B:AZ,column(ac1),0)*e282</f>
        <v>0</v>
      </c>
      <c r="AE282">
        <f>vlookup("924-025056-300",B:AZ,column(ad1),0)*e282</f>
        <v>0</v>
      </c>
      <c r="AF282">
        <f>vlookup("924-025056-300",B:AZ,column(ae1),0)*e282</f>
        <v>0</v>
      </c>
      <c r="AG282">
        <f>vlookup("924-025056-300",B:AZ,column(af1),0)*e282</f>
        <v>0</v>
      </c>
      <c r="AH282">
        <f>vlookup("924-025056-300",B:AZ,column(ag1),0)*e282</f>
        <v>0</v>
      </c>
      <c r="AI282">
        <f>vlookup("924-025056-300",B:AZ,column(ah1),0)*e282</f>
        <v>0</v>
      </c>
      <c r="AJ282">
        <f>vlookup("924-025056-300",B:AZ,column(ai1),0)*e282</f>
        <v>0</v>
      </c>
      <c r="AK282">
        <f>vlookup("924-025056-300",B:AZ,column(aj1),0)*e282</f>
        <v>0</v>
      </c>
      <c r="AL282">
        <f>vlookup("924-025056-300",B:AZ,column(ak1),0)*e282</f>
        <v>0</v>
      </c>
      <c r="AM282">
        <f>vlookup("924-025056-300",B:AZ,column(al1),0)*e282</f>
        <v>0</v>
      </c>
      <c r="AN282">
        <f>vlookup("924-025056-300",B:AZ,column(am1),0)*e282</f>
        <v>0</v>
      </c>
      <c r="AO282">
        <f>vlookup("924-025056-300",B:AZ,column(an1),0)*e282</f>
        <v>0</v>
      </c>
    </row>
    <row r="283" spans="1:41">
      <c r="A283" t="s">
        <v>22</v>
      </c>
      <c r="B283" t="s">
        <v>302</v>
      </c>
      <c r="C283" t="s">
        <v>293</v>
      </c>
      <c r="E283">
        <v>4</v>
      </c>
      <c r="F283" t="s">
        <v>13</v>
      </c>
      <c r="I283" t="s">
        <v>15</v>
      </c>
      <c r="J283">
        <f>vlookup("924-025056-300",B:AZ,column(i1),0)*e283</f>
        <v>0</v>
      </c>
      <c r="K283">
        <f>vlookup("924-025056-300",B:AZ,column(j1),0)*e283</f>
        <v>0</v>
      </c>
      <c r="L283">
        <f>vlookup("924-025056-300",B:AZ,column(k1),0)*e283</f>
        <v>0</v>
      </c>
      <c r="M283">
        <f>vlookup("924-025056-300",B:AZ,column(l1),0)*e283</f>
        <v>0</v>
      </c>
      <c r="N283">
        <f>vlookup("924-025056-300",B:AZ,column(m1),0)*e283</f>
        <v>0</v>
      </c>
      <c r="O283">
        <f>vlookup("924-025056-300",B:AZ,column(n1),0)*e283</f>
        <v>0</v>
      </c>
      <c r="P283">
        <f>vlookup("924-025056-300",B:AZ,column(o1),0)*e283</f>
        <v>0</v>
      </c>
      <c r="Q283">
        <f>vlookup("924-025056-300",B:AZ,column(p1),0)*e283</f>
        <v>0</v>
      </c>
      <c r="R283">
        <f>vlookup("924-025056-300",B:AZ,column(q1),0)*e283</f>
        <v>0</v>
      </c>
      <c r="S283">
        <f>vlookup("924-025056-300",B:AZ,column(r1),0)*e283</f>
        <v>0</v>
      </c>
      <c r="T283">
        <f>vlookup("924-025056-300",B:AZ,column(s1),0)*e283</f>
        <v>0</v>
      </c>
      <c r="U283">
        <f>vlookup("924-025056-300",B:AZ,column(t1),0)*e283</f>
        <v>0</v>
      </c>
      <c r="V283">
        <f>vlookup("924-025056-300",B:AZ,column(u1),0)*e283</f>
        <v>0</v>
      </c>
      <c r="W283">
        <f>vlookup("924-025056-300",B:AZ,column(v1),0)*e283</f>
        <v>0</v>
      </c>
      <c r="X283">
        <f>vlookup("924-025056-300",B:AZ,column(w1),0)*e283</f>
        <v>0</v>
      </c>
      <c r="Y283">
        <f>vlookup("924-025056-300",B:AZ,column(x1),0)*e283</f>
        <v>0</v>
      </c>
      <c r="Z283">
        <f>vlookup("924-025056-300",B:AZ,column(y1),0)*e283</f>
        <v>0</v>
      </c>
      <c r="AA283">
        <f>vlookup("924-025056-300",B:AZ,column(z1),0)*e283</f>
        <v>0</v>
      </c>
      <c r="AB283">
        <f>vlookup("924-025056-300",B:AZ,column(aa1),0)*e283</f>
        <v>0</v>
      </c>
      <c r="AC283">
        <f>vlookup("924-025056-300",B:AZ,column(ab1),0)*e283</f>
        <v>0</v>
      </c>
      <c r="AD283">
        <f>vlookup("924-025056-300",B:AZ,column(ac1),0)*e283</f>
        <v>0</v>
      </c>
      <c r="AE283">
        <f>vlookup("924-025056-300",B:AZ,column(ad1),0)*e283</f>
        <v>0</v>
      </c>
      <c r="AF283">
        <f>vlookup("924-025056-300",B:AZ,column(ae1),0)*e283</f>
        <v>0</v>
      </c>
      <c r="AG283">
        <f>vlookup("924-025056-300",B:AZ,column(af1),0)*e283</f>
        <v>0</v>
      </c>
      <c r="AH283">
        <f>vlookup("924-025056-300",B:AZ,column(ag1),0)*e283</f>
        <v>0</v>
      </c>
      <c r="AI283">
        <f>vlookup("924-025056-300",B:AZ,column(ah1),0)*e283</f>
        <v>0</v>
      </c>
      <c r="AJ283">
        <f>vlookup("924-025056-300",B:AZ,column(ai1),0)*e283</f>
        <v>0</v>
      </c>
      <c r="AK283">
        <f>vlookup("924-025056-300",B:AZ,column(aj1),0)*e283</f>
        <v>0</v>
      </c>
      <c r="AL283">
        <f>vlookup("924-025056-300",B:AZ,column(ak1),0)*e283</f>
        <v>0</v>
      </c>
      <c r="AM283">
        <f>vlookup("924-025056-300",B:AZ,column(al1),0)*e283</f>
        <v>0</v>
      </c>
      <c r="AN283">
        <f>vlookup("924-025056-300",B:AZ,column(am1),0)*e283</f>
        <v>0</v>
      </c>
      <c r="AO283">
        <f>vlookup("924-025056-300",B:AZ,column(an1),0)*e283</f>
        <v>0</v>
      </c>
    </row>
    <row r="284" spans="1:41">
      <c r="A284" t="s">
        <v>22</v>
      </c>
      <c r="B284" t="s">
        <v>302</v>
      </c>
      <c r="C284" t="s">
        <v>294</v>
      </c>
      <c r="E284">
        <v>1</v>
      </c>
      <c r="F284" t="s">
        <v>13</v>
      </c>
      <c r="I284" t="s">
        <v>15</v>
      </c>
      <c r="J284">
        <f>vlookup("924-025056-300",B:AZ,column(i1),0)*e284</f>
        <v>0</v>
      </c>
      <c r="K284">
        <f>vlookup("924-025056-300",B:AZ,column(j1),0)*e284</f>
        <v>0</v>
      </c>
      <c r="L284">
        <f>vlookup("924-025056-300",B:AZ,column(k1),0)*e284</f>
        <v>0</v>
      </c>
      <c r="M284">
        <f>vlookup("924-025056-300",B:AZ,column(l1),0)*e284</f>
        <v>0</v>
      </c>
      <c r="N284">
        <f>vlookup("924-025056-300",B:AZ,column(m1),0)*e284</f>
        <v>0</v>
      </c>
      <c r="O284">
        <f>vlookup("924-025056-300",B:AZ,column(n1),0)*e284</f>
        <v>0</v>
      </c>
      <c r="P284">
        <f>vlookup("924-025056-300",B:AZ,column(o1),0)*e284</f>
        <v>0</v>
      </c>
      <c r="Q284">
        <f>vlookup("924-025056-300",B:AZ,column(p1),0)*e284</f>
        <v>0</v>
      </c>
      <c r="R284">
        <f>vlookup("924-025056-300",B:AZ,column(q1),0)*e284</f>
        <v>0</v>
      </c>
      <c r="S284">
        <f>vlookup("924-025056-300",B:AZ,column(r1),0)*e284</f>
        <v>0</v>
      </c>
      <c r="T284">
        <f>vlookup("924-025056-300",B:AZ,column(s1),0)*e284</f>
        <v>0</v>
      </c>
      <c r="U284">
        <f>vlookup("924-025056-300",B:AZ,column(t1),0)*e284</f>
        <v>0</v>
      </c>
      <c r="V284">
        <f>vlookup("924-025056-300",B:AZ,column(u1),0)*e284</f>
        <v>0</v>
      </c>
      <c r="W284">
        <f>vlookup("924-025056-300",B:AZ,column(v1),0)*e284</f>
        <v>0</v>
      </c>
      <c r="X284">
        <f>vlookup("924-025056-300",B:AZ,column(w1),0)*e284</f>
        <v>0</v>
      </c>
      <c r="Y284">
        <f>vlookup("924-025056-300",B:AZ,column(x1),0)*e284</f>
        <v>0</v>
      </c>
      <c r="Z284">
        <f>vlookup("924-025056-300",B:AZ,column(y1),0)*e284</f>
        <v>0</v>
      </c>
      <c r="AA284">
        <f>vlookup("924-025056-300",B:AZ,column(z1),0)*e284</f>
        <v>0</v>
      </c>
      <c r="AB284">
        <f>vlookup("924-025056-300",B:AZ,column(aa1),0)*e284</f>
        <v>0</v>
      </c>
      <c r="AC284">
        <f>vlookup("924-025056-300",B:AZ,column(ab1),0)*e284</f>
        <v>0</v>
      </c>
      <c r="AD284">
        <f>vlookup("924-025056-300",B:AZ,column(ac1),0)*e284</f>
        <v>0</v>
      </c>
      <c r="AE284">
        <f>vlookup("924-025056-300",B:AZ,column(ad1),0)*e284</f>
        <v>0</v>
      </c>
      <c r="AF284">
        <f>vlookup("924-025056-300",B:AZ,column(ae1),0)*e284</f>
        <v>0</v>
      </c>
      <c r="AG284">
        <f>vlookup("924-025056-300",B:AZ,column(af1),0)*e284</f>
        <v>0</v>
      </c>
      <c r="AH284">
        <f>vlookup("924-025056-300",B:AZ,column(ag1),0)*e284</f>
        <v>0</v>
      </c>
      <c r="AI284">
        <f>vlookup("924-025056-300",B:AZ,column(ah1),0)*e284</f>
        <v>0</v>
      </c>
      <c r="AJ284">
        <f>vlookup("924-025056-300",B:AZ,column(ai1),0)*e284</f>
        <v>0</v>
      </c>
      <c r="AK284">
        <f>vlookup("924-025056-300",B:AZ,column(aj1),0)*e284</f>
        <v>0</v>
      </c>
      <c r="AL284">
        <f>vlookup("924-025056-300",B:AZ,column(ak1),0)*e284</f>
        <v>0</v>
      </c>
      <c r="AM284">
        <f>vlookup("924-025056-300",B:AZ,column(al1),0)*e284</f>
        <v>0</v>
      </c>
      <c r="AN284">
        <f>vlookup("924-025056-300",B:AZ,column(am1),0)*e284</f>
        <v>0</v>
      </c>
      <c r="AO284">
        <f>vlookup("924-025056-300",B:AZ,column(an1),0)*e284</f>
        <v>0</v>
      </c>
    </row>
    <row r="285" spans="1:41">
      <c r="A285" t="s">
        <v>22</v>
      </c>
      <c r="B285" t="s">
        <v>302</v>
      </c>
      <c r="C285" t="s">
        <v>304</v>
      </c>
      <c r="E285">
        <v>1</v>
      </c>
      <c r="F285" t="s">
        <v>13</v>
      </c>
      <c r="I285" t="s">
        <v>15</v>
      </c>
      <c r="J285">
        <f>vlookup("924-025056-300",B:AZ,column(i1),0)*e285</f>
        <v>0</v>
      </c>
      <c r="K285">
        <f>vlookup("924-025056-300",B:AZ,column(j1),0)*e285</f>
        <v>0</v>
      </c>
      <c r="L285">
        <f>vlookup("924-025056-300",B:AZ,column(k1),0)*e285</f>
        <v>0</v>
      </c>
      <c r="M285">
        <f>vlookup("924-025056-300",B:AZ,column(l1),0)*e285</f>
        <v>0</v>
      </c>
      <c r="N285">
        <f>vlookup("924-025056-300",B:AZ,column(m1),0)*e285</f>
        <v>0</v>
      </c>
      <c r="O285">
        <f>vlookup("924-025056-300",B:AZ,column(n1),0)*e285</f>
        <v>0</v>
      </c>
      <c r="P285">
        <f>vlookup("924-025056-300",B:AZ,column(o1),0)*e285</f>
        <v>0</v>
      </c>
      <c r="Q285">
        <f>vlookup("924-025056-300",B:AZ,column(p1),0)*e285</f>
        <v>0</v>
      </c>
      <c r="R285">
        <f>vlookup("924-025056-300",B:AZ,column(q1),0)*e285</f>
        <v>0</v>
      </c>
      <c r="S285">
        <f>vlookup("924-025056-300",B:AZ,column(r1),0)*e285</f>
        <v>0</v>
      </c>
      <c r="T285">
        <f>vlookup("924-025056-300",B:AZ,column(s1),0)*e285</f>
        <v>0</v>
      </c>
      <c r="U285">
        <f>vlookup("924-025056-300",B:AZ,column(t1),0)*e285</f>
        <v>0</v>
      </c>
      <c r="V285">
        <f>vlookup("924-025056-300",B:AZ,column(u1),0)*e285</f>
        <v>0</v>
      </c>
      <c r="W285">
        <f>vlookup("924-025056-300",B:AZ,column(v1),0)*e285</f>
        <v>0</v>
      </c>
      <c r="X285">
        <f>vlookup("924-025056-300",B:AZ,column(w1),0)*e285</f>
        <v>0</v>
      </c>
      <c r="Y285">
        <f>vlookup("924-025056-300",B:AZ,column(x1),0)*e285</f>
        <v>0</v>
      </c>
      <c r="Z285">
        <f>vlookup("924-025056-300",B:AZ,column(y1),0)*e285</f>
        <v>0</v>
      </c>
      <c r="AA285">
        <f>vlookup("924-025056-300",B:AZ,column(z1),0)*e285</f>
        <v>0</v>
      </c>
      <c r="AB285">
        <f>vlookup("924-025056-300",B:AZ,column(aa1),0)*e285</f>
        <v>0</v>
      </c>
      <c r="AC285">
        <f>vlookup("924-025056-300",B:AZ,column(ab1),0)*e285</f>
        <v>0</v>
      </c>
      <c r="AD285">
        <f>vlookup("924-025056-300",B:AZ,column(ac1),0)*e285</f>
        <v>0</v>
      </c>
      <c r="AE285">
        <f>vlookup("924-025056-300",B:AZ,column(ad1),0)*e285</f>
        <v>0</v>
      </c>
      <c r="AF285">
        <f>vlookup("924-025056-300",B:AZ,column(ae1),0)*e285</f>
        <v>0</v>
      </c>
      <c r="AG285">
        <f>vlookup("924-025056-300",B:AZ,column(af1),0)*e285</f>
        <v>0</v>
      </c>
      <c r="AH285">
        <f>vlookup("924-025056-300",B:AZ,column(ag1),0)*e285</f>
        <v>0</v>
      </c>
      <c r="AI285">
        <f>vlookup("924-025056-300",B:AZ,column(ah1),0)*e285</f>
        <v>0</v>
      </c>
      <c r="AJ285">
        <f>vlookup("924-025056-300",B:AZ,column(ai1),0)*e285</f>
        <v>0</v>
      </c>
      <c r="AK285">
        <f>vlookup("924-025056-300",B:AZ,column(aj1),0)*e285</f>
        <v>0</v>
      </c>
      <c r="AL285">
        <f>vlookup("924-025056-300",B:AZ,column(ak1),0)*e285</f>
        <v>0</v>
      </c>
      <c r="AM285">
        <f>vlookup("924-025056-300",B:AZ,column(al1),0)*e285</f>
        <v>0</v>
      </c>
      <c r="AN285">
        <f>vlookup("924-025056-300",B:AZ,column(am1),0)*e285</f>
        <v>0</v>
      </c>
      <c r="AO285">
        <f>vlookup("924-025056-300",B:AZ,column(an1),0)*e285</f>
        <v>0</v>
      </c>
    </row>
    <row r="286" spans="1:41">
      <c r="A286" t="s">
        <v>22</v>
      </c>
      <c r="B286" t="s">
        <v>302</v>
      </c>
      <c r="C286" t="s">
        <v>305</v>
      </c>
      <c r="E286">
        <v>1</v>
      </c>
      <c r="F286" t="s">
        <v>13</v>
      </c>
      <c r="I286" t="s">
        <v>15</v>
      </c>
      <c r="J286">
        <f>vlookup("924-025056-300",B:AZ,column(i1),0)*e286</f>
        <v>0</v>
      </c>
      <c r="K286">
        <f>vlookup("924-025056-300",B:AZ,column(j1),0)*e286</f>
        <v>0</v>
      </c>
      <c r="L286">
        <f>vlookup("924-025056-300",B:AZ,column(k1),0)*e286</f>
        <v>0</v>
      </c>
      <c r="M286">
        <f>vlookup("924-025056-300",B:AZ,column(l1),0)*e286</f>
        <v>0</v>
      </c>
      <c r="N286">
        <f>vlookup("924-025056-300",B:AZ,column(m1),0)*e286</f>
        <v>0</v>
      </c>
      <c r="O286">
        <f>vlookup("924-025056-300",B:AZ,column(n1),0)*e286</f>
        <v>0</v>
      </c>
      <c r="P286">
        <f>vlookup("924-025056-300",B:AZ,column(o1),0)*e286</f>
        <v>0</v>
      </c>
      <c r="Q286">
        <f>vlookup("924-025056-300",B:AZ,column(p1),0)*e286</f>
        <v>0</v>
      </c>
      <c r="R286">
        <f>vlookup("924-025056-300",B:AZ,column(q1),0)*e286</f>
        <v>0</v>
      </c>
      <c r="S286">
        <f>vlookup("924-025056-300",B:AZ,column(r1),0)*e286</f>
        <v>0</v>
      </c>
      <c r="T286">
        <f>vlookup("924-025056-300",B:AZ,column(s1),0)*e286</f>
        <v>0</v>
      </c>
      <c r="U286">
        <f>vlookup("924-025056-300",B:AZ,column(t1),0)*e286</f>
        <v>0</v>
      </c>
      <c r="V286">
        <f>vlookup("924-025056-300",B:AZ,column(u1),0)*e286</f>
        <v>0</v>
      </c>
      <c r="W286">
        <f>vlookup("924-025056-300",B:AZ,column(v1),0)*e286</f>
        <v>0</v>
      </c>
      <c r="X286">
        <f>vlookup("924-025056-300",B:AZ,column(w1),0)*e286</f>
        <v>0</v>
      </c>
      <c r="Y286">
        <f>vlookup("924-025056-300",B:AZ,column(x1),0)*e286</f>
        <v>0</v>
      </c>
      <c r="Z286">
        <f>vlookup("924-025056-300",B:AZ,column(y1),0)*e286</f>
        <v>0</v>
      </c>
      <c r="AA286">
        <f>vlookup("924-025056-300",B:AZ,column(z1),0)*e286</f>
        <v>0</v>
      </c>
      <c r="AB286">
        <f>vlookup("924-025056-300",B:AZ,column(aa1),0)*e286</f>
        <v>0</v>
      </c>
      <c r="AC286">
        <f>vlookup("924-025056-300",B:AZ,column(ab1),0)*e286</f>
        <v>0</v>
      </c>
      <c r="AD286">
        <f>vlookup("924-025056-300",B:AZ,column(ac1),0)*e286</f>
        <v>0</v>
      </c>
      <c r="AE286">
        <f>vlookup("924-025056-300",B:AZ,column(ad1),0)*e286</f>
        <v>0</v>
      </c>
      <c r="AF286">
        <f>vlookup("924-025056-300",B:AZ,column(ae1),0)*e286</f>
        <v>0</v>
      </c>
      <c r="AG286">
        <f>vlookup("924-025056-300",B:AZ,column(af1),0)*e286</f>
        <v>0</v>
      </c>
      <c r="AH286">
        <f>vlookup("924-025056-300",B:AZ,column(ag1),0)*e286</f>
        <v>0</v>
      </c>
      <c r="AI286">
        <f>vlookup("924-025056-300",B:AZ,column(ah1),0)*e286</f>
        <v>0</v>
      </c>
      <c r="AJ286">
        <f>vlookup("924-025056-300",B:AZ,column(ai1),0)*e286</f>
        <v>0</v>
      </c>
      <c r="AK286">
        <f>vlookup("924-025056-300",B:AZ,column(aj1),0)*e286</f>
        <v>0</v>
      </c>
      <c r="AL286">
        <f>vlookup("924-025056-300",B:AZ,column(ak1),0)*e286</f>
        <v>0</v>
      </c>
      <c r="AM286">
        <f>vlookup("924-025056-300",B:AZ,column(al1),0)*e286</f>
        <v>0</v>
      </c>
      <c r="AN286">
        <f>vlookup("924-025056-300",B:AZ,column(am1),0)*e286</f>
        <v>0</v>
      </c>
      <c r="AO286">
        <f>vlookup("924-025056-300",B:AZ,column(an1),0)*e286</f>
        <v>0</v>
      </c>
    </row>
    <row r="287" spans="1:41">
      <c r="A287" t="s">
        <v>22</v>
      </c>
      <c r="B287" t="s">
        <v>302</v>
      </c>
      <c r="C287" t="s">
        <v>306</v>
      </c>
      <c r="E287">
        <v>1</v>
      </c>
      <c r="F287" t="s">
        <v>13</v>
      </c>
      <c r="I287" t="s">
        <v>15</v>
      </c>
      <c r="J287">
        <f>vlookup("924-025056-300",B:AZ,column(i1),0)*e287</f>
        <v>0</v>
      </c>
      <c r="K287">
        <f>vlookup("924-025056-300",B:AZ,column(j1),0)*e287</f>
        <v>0</v>
      </c>
      <c r="L287">
        <f>vlookup("924-025056-300",B:AZ,column(k1),0)*e287</f>
        <v>0</v>
      </c>
      <c r="M287">
        <f>vlookup("924-025056-300",B:AZ,column(l1),0)*e287</f>
        <v>0</v>
      </c>
      <c r="N287">
        <f>vlookup("924-025056-300",B:AZ,column(m1),0)*e287</f>
        <v>0</v>
      </c>
      <c r="O287">
        <f>vlookup("924-025056-300",B:AZ,column(n1),0)*e287</f>
        <v>0</v>
      </c>
      <c r="P287">
        <f>vlookup("924-025056-300",B:AZ,column(o1),0)*e287</f>
        <v>0</v>
      </c>
      <c r="Q287">
        <f>vlookup("924-025056-300",B:AZ,column(p1),0)*e287</f>
        <v>0</v>
      </c>
      <c r="R287">
        <f>vlookup("924-025056-300",B:AZ,column(q1),0)*e287</f>
        <v>0</v>
      </c>
      <c r="S287">
        <f>vlookup("924-025056-300",B:AZ,column(r1),0)*e287</f>
        <v>0</v>
      </c>
      <c r="T287">
        <f>vlookup("924-025056-300",B:AZ,column(s1),0)*e287</f>
        <v>0</v>
      </c>
      <c r="U287">
        <f>vlookup("924-025056-300",B:AZ,column(t1),0)*e287</f>
        <v>0</v>
      </c>
      <c r="V287">
        <f>vlookup("924-025056-300",B:AZ,column(u1),0)*e287</f>
        <v>0</v>
      </c>
      <c r="W287">
        <f>vlookup("924-025056-300",B:AZ,column(v1),0)*e287</f>
        <v>0</v>
      </c>
      <c r="X287">
        <f>vlookup("924-025056-300",B:AZ,column(w1),0)*e287</f>
        <v>0</v>
      </c>
      <c r="Y287">
        <f>vlookup("924-025056-300",B:AZ,column(x1),0)*e287</f>
        <v>0</v>
      </c>
      <c r="Z287">
        <f>vlookup("924-025056-300",B:AZ,column(y1),0)*e287</f>
        <v>0</v>
      </c>
      <c r="AA287">
        <f>vlookup("924-025056-300",B:AZ,column(z1),0)*e287</f>
        <v>0</v>
      </c>
      <c r="AB287">
        <f>vlookup("924-025056-300",B:AZ,column(aa1),0)*e287</f>
        <v>0</v>
      </c>
      <c r="AC287">
        <f>vlookup("924-025056-300",B:AZ,column(ab1),0)*e287</f>
        <v>0</v>
      </c>
      <c r="AD287">
        <f>vlookup("924-025056-300",B:AZ,column(ac1),0)*e287</f>
        <v>0</v>
      </c>
      <c r="AE287">
        <f>vlookup("924-025056-300",B:AZ,column(ad1),0)*e287</f>
        <v>0</v>
      </c>
      <c r="AF287">
        <f>vlookup("924-025056-300",B:AZ,column(ae1),0)*e287</f>
        <v>0</v>
      </c>
      <c r="AG287">
        <f>vlookup("924-025056-300",B:AZ,column(af1),0)*e287</f>
        <v>0</v>
      </c>
      <c r="AH287">
        <f>vlookup("924-025056-300",B:AZ,column(ag1),0)*e287</f>
        <v>0</v>
      </c>
      <c r="AI287">
        <f>vlookup("924-025056-300",B:AZ,column(ah1),0)*e287</f>
        <v>0</v>
      </c>
      <c r="AJ287">
        <f>vlookup("924-025056-300",B:AZ,column(ai1),0)*e287</f>
        <v>0</v>
      </c>
      <c r="AK287">
        <f>vlookup("924-025056-300",B:AZ,column(aj1),0)*e287</f>
        <v>0</v>
      </c>
      <c r="AL287">
        <f>vlookup("924-025056-300",B:AZ,column(ak1),0)*e287</f>
        <v>0</v>
      </c>
      <c r="AM287">
        <f>vlookup("924-025056-300",B:AZ,column(al1),0)*e287</f>
        <v>0</v>
      </c>
      <c r="AN287">
        <f>vlookup("924-025056-300",B:AZ,column(am1),0)*e287</f>
        <v>0</v>
      </c>
      <c r="AO287">
        <f>vlookup("924-025056-300",B:AZ,column(an1),0)*e287</f>
        <v>0</v>
      </c>
    </row>
    <row r="288" spans="1:41">
      <c r="A288" t="s">
        <v>78</v>
      </c>
      <c r="B288" t="s">
        <v>302</v>
      </c>
      <c r="C288" t="s">
        <v>295</v>
      </c>
      <c r="E288">
        <v>0.05</v>
      </c>
      <c r="F288" t="s">
        <v>13</v>
      </c>
      <c r="I288" t="s">
        <v>15</v>
      </c>
      <c r="J288">
        <f>vlookup("924-025056-300",B:AZ,column(i1),0)*e288</f>
        <v>0</v>
      </c>
      <c r="K288">
        <f>vlookup("924-025056-300",B:AZ,column(j1),0)*e288</f>
        <v>0</v>
      </c>
      <c r="L288">
        <f>vlookup("924-025056-300",B:AZ,column(k1),0)*e288</f>
        <v>0</v>
      </c>
      <c r="M288">
        <f>vlookup("924-025056-300",B:AZ,column(l1),0)*e288</f>
        <v>0</v>
      </c>
      <c r="N288">
        <f>vlookup("924-025056-300",B:AZ,column(m1),0)*e288</f>
        <v>0</v>
      </c>
      <c r="O288">
        <f>vlookup("924-025056-300",B:AZ,column(n1),0)*e288</f>
        <v>0</v>
      </c>
      <c r="P288">
        <f>vlookup("924-025056-300",B:AZ,column(o1),0)*e288</f>
        <v>0</v>
      </c>
      <c r="Q288">
        <f>vlookup("924-025056-300",B:AZ,column(p1),0)*e288</f>
        <v>0</v>
      </c>
      <c r="R288">
        <f>vlookup("924-025056-300",B:AZ,column(q1),0)*e288</f>
        <v>0</v>
      </c>
      <c r="S288">
        <f>vlookup("924-025056-300",B:AZ,column(r1),0)*e288</f>
        <v>0</v>
      </c>
      <c r="T288">
        <f>vlookup("924-025056-300",B:AZ,column(s1),0)*e288</f>
        <v>0</v>
      </c>
      <c r="U288">
        <f>vlookup("924-025056-300",B:AZ,column(t1),0)*e288</f>
        <v>0</v>
      </c>
      <c r="V288">
        <f>vlookup("924-025056-300",B:AZ,column(u1),0)*e288</f>
        <v>0</v>
      </c>
      <c r="W288">
        <f>vlookup("924-025056-300",B:AZ,column(v1),0)*e288</f>
        <v>0</v>
      </c>
      <c r="X288">
        <f>vlookup("924-025056-300",B:AZ,column(w1),0)*e288</f>
        <v>0</v>
      </c>
      <c r="Y288">
        <f>vlookup("924-025056-300",B:AZ,column(x1),0)*e288</f>
        <v>0</v>
      </c>
      <c r="Z288">
        <f>vlookup("924-025056-300",B:AZ,column(y1),0)*e288</f>
        <v>0</v>
      </c>
      <c r="AA288">
        <f>vlookup("924-025056-300",B:AZ,column(z1),0)*e288</f>
        <v>0</v>
      </c>
      <c r="AB288">
        <f>vlookup("924-025056-300",B:AZ,column(aa1),0)*e288</f>
        <v>0</v>
      </c>
      <c r="AC288">
        <f>vlookup("924-025056-300",B:AZ,column(ab1),0)*e288</f>
        <v>0</v>
      </c>
      <c r="AD288">
        <f>vlookup("924-025056-300",B:AZ,column(ac1),0)*e288</f>
        <v>0</v>
      </c>
      <c r="AE288">
        <f>vlookup("924-025056-300",B:AZ,column(ad1),0)*e288</f>
        <v>0</v>
      </c>
      <c r="AF288">
        <f>vlookup("924-025056-300",B:AZ,column(ae1),0)*e288</f>
        <v>0</v>
      </c>
      <c r="AG288">
        <f>vlookup("924-025056-300",B:AZ,column(af1),0)*e288</f>
        <v>0</v>
      </c>
      <c r="AH288">
        <f>vlookup("924-025056-300",B:AZ,column(ag1),0)*e288</f>
        <v>0</v>
      </c>
      <c r="AI288">
        <f>vlookup("924-025056-300",B:AZ,column(ah1),0)*e288</f>
        <v>0</v>
      </c>
      <c r="AJ288">
        <f>vlookup("924-025056-300",B:AZ,column(ai1),0)*e288</f>
        <v>0</v>
      </c>
      <c r="AK288">
        <f>vlookup("924-025056-300",B:AZ,column(aj1),0)*e288</f>
        <v>0</v>
      </c>
      <c r="AL288">
        <f>vlookup("924-025056-300",B:AZ,column(ak1),0)*e288</f>
        <v>0</v>
      </c>
      <c r="AM288">
        <f>vlookup("924-025056-300",B:AZ,column(al1),0)*e288</f>
        <v>0</v>
      </c>
      <c r="AN288">
        <f>vlookup("924-025056-300",B:AZ,column(am1),0)*e288</f>
        <v>0</v>
      </c>
      <c r="AO288">
        <f>vlookup("924-025056-300",B:AZ,column(an1),0)*e288</f>
        <v>0</v>
      </c>
    </row>
    <row r="289" spans="1:41">
      <c r="A289" t="s">
        <v>43</v>
      </c>
      <c r="B289" t="s">
        <v>302</v>
      </c>
      <c r="C289" t="s">
        <v>307</v>
      </c>
      <c r="E289">
        <v>0.05</v>
      </c>
      <c r="F289" t="s">
        <v>13</v>
      </c>
      <c r="I289" t="s">
        <v>15</v>
      </c>
      <c r="J289">
        <f>vlookup("924-025056-300",B:AZ,column(i1),0)*e289</f>
        <v>0</v>
      </c>
      <c r="K289">
        <f>vlookup("924-025056-300",B:AZ,column(j1),0)*e289</f>
        <v>0</v>
      </c>
      <c r="L289">
        <f>vlookup("924-025056-300",B:AZ,column(k1),0)*e289</f>
        <v>0</v>
      </c>
      <c r="M289">
        <f>vlookup("924-025056-300",B:AZ,column(l1),0)*e289</f>
        <v>0</v>
      </c>
      <c r="N289">
        <f>vlookup("924-025056-300",B:AZ,column(m1),0)*e289</f>
        <v>0</v>
      </c>
      <c r="O289">
        <f>vlookup("924-025056-300",B:AZ,column(n1),0)*e289</f>
        <v>0</v>
      </c>
      <c r="P289">
        <f>vlookup("924-025056-300",B:AZ,column(o1),0)*e289</f>
        <v>0</v>
      </c>
      <c r="Q289">
        <f>vlookup("924-025056-300",B:AZ,column(p1),0)*e289</f>
        <v>0</v>
      </c>
      <c r="R289">
        <f>vlookup("924-025056-300",B:AZ,column(q1),0)*e289</f>
        <v>0</v>
      </c>
      <c r="S289">
        <f>vlookup("924-025056-300",B:AZ,column(r1),0)*e289</f>
        <v>0</v>
      </c>
      <c r="T289">
        <f>vlookup("924-025056-300",B:AZ,column(s1),0)*e289</f>
        <v>0</v>
      </c>
      <c r="U289">
        <f>vlookup("924-025056-300",B:AZ,column(t1),0)*e289</f>
        <v>0</v>
      </c>
      <c r="V289">
        <f>vlookup("924-025056-300",B:AZ,column(u1),0)*e289</f>
        <v>0</v>
      </c>
      <c r="W289">
        <f>vlookup("924-025056-300",B:AZ,column(v1),0)*e289</f>
        <v>0</v>
      </c>
      <c r="X289">
        <f>vlookup("924-025056-300",B:AZ,column(w1),0)*e289</f>
        <v>0</v>
      </c>
      <c r="Y289">
        <f>vlookup("924-025056-300",B:AZ,column(x1),0)*e289</f>
        <v>0</v>
      </c>
      <c r="Z289">
        <f>vlookup("924-025056-300",B:AZ,column(y1),0)*e289</f>
        <v>0</v>
      </c>
      <c r="AA289">
        <f>vlookup("924-025056-300",B:AZ,column(z1),0)*e289</f>
        <v>0</v>
      </c>
      <c r="AB289">
        <f>vlookup("924-025056-300",B:AZ,column(aa1),0)*e289</f>
        <v>0</v>
      </c>
      <c r="AC289">
        <f>vlookup("924-025056-300",B:AZ,column(ab1),0)*e289</f>
        <v>0</v>
      </c>
      <c r="AD289">
        <f>vlookup("924-025056-300",B:AZ,column(ac1),0)*e289</f>
        <v>0</v>
      </c>
      <c r="AE289">
        <f>vlookup("924-025056-300",B:AZ,column(ad1),0)*e289</f>
        <v>0</v>
      </c>
      <c r="AF289">
        <f>vlookup("924-025056-300",B:AZ,column(ae1),0)*e289</f>
        <v>0</v>
      </c>
      <c r="AG289">
        <f>vlookup("924-025056-300",B:AZ,column(af1),0)*e289</f>
        <v>0</v>
      </c>
      <c r="AH289">
        <f>vlookup("924-025056-300",B:AZ,column(ag1),0)*e289</f>
        <v>0</v>
      </c>
      <c r="AI289">
        <f>vlookup("924-025056-300",B:AZ,column(ah1),0)*e289</f>
        <v>0</v>
      </c>
      <c r="AJ289">
        <f>vlookup("924-025056-300",B:AZ,column(ai1),0)*e289</f>
        <v>0</v>
      </c>
      <c r="AK289">
        <f>vlookup("924-025056-300",B:AZ,column(aj1),0)*e289</f>
        <v>0</v>
      </c>
      <c r="AL289">
        <f>vlookup("924-025056-300",B:AZ,column(ak1),0)*e289</f>
        <v>0</v>
      </c>
      <c r="AM289">
        <f>vlookup("924-025056-300",B:AZ,column(al1),0)*e289</f>
        <v>0</v>
      </c>
      <c r="AN289">
        <f>vlookup("924-025056-300",B:AZ,column(am1),0)*e289</f>
        <v>0</v>
      </c>
      <c r="AO289">
        <f>vlookup("924-025056-300",B:AZ,column(an1),0)*e289</f>
        <v>0</v>
      </c>
    </row>
    <row r="290" spans="1:41">
      <c r="A290" t="s">
        <v>10</v>
      </c>
      <c r="B290" t="s">
        <v>308</v>
      </c>
      <c r="C290" t="s">
        <v>298</v>
      </c>
      <c r="E290">
        <v>1</v>
      </c>
      <c r="F290" t="s">
        <v>13</v>
      </c>
      <c r="I290" t="s">
        <v>14</v>
      </c>
      <c r="AO290">
        <f>sum(j290:an290)</f>
        <v>0</v>
      </c>
    </row>
    <row r="291" spans="1:41">
      <c r="I291" t="s">
        <v>15</v>
      </c>
      <c r="J291">
        <f>vlookup("924-025056-400",Out!B:AZ,column(i1),0)</f>
        <v>0</v>
      </c>
      <c r="K291">
        <f>vlookup("924-025056-400",Out!B:AZ,column(j1),0)</f>
        <v>0</v>
      </c>
      <c r="L291">
        <f>vlookup("924-025056-400",Out!B:AZ,column(k1),0)</f>
        <v>0</v>
      </c>
      <c r="M291">
        <f>vlookup("924-025056-400",Out!B:AZ,column(l1),0)</f>
        <v>0</v>
      </c>
      <c r="N291">
        <f>vlookup("924-025056-400",Out!B:AZ,column(m1),0)</f>
        <v>0</v>
      </c>
      <c r="O291">
        <f>vlookup("924-025056-400",Out!B:AZ,column(n1),0)</f>
        <v>0</v>
      </c>
      <c r="P291">
        <f>vlookup("924-025056-400",Out!B:AZ,column(o1),0)</f>
        <v>0</v>
      </c>
      <c r="Q291">
        <f>vlookup("924-025056-400",Out!B:AZ,column(p1),0)</f>
        <v>0</v>
      </c>
      <c r="R291">
        <f>vlookup("924-025056-400",Out!B:AZ,column(q1),0)</f>
        <v>0</v>
      </c>
      <c r="S291">
        <f>vlookup("924-025056-400",Out!B:AZ,column(r1),0)</f>
        <v>0</v>
      </c>
      <c r="T291">
        <f>vlookup("924-025056-400",Out!B:AZ,column(s1),0)</f>
        <v>0</v>
      </c>
      <c r="U291">
        <f>vlookup("924-025056-400",Out!B:AZ,column(t1),0)</f>
        <v>0</v>
      </c>
      <c r="V291">
        <f>vlookup("924-025056-400",Out!B:AZ,column(u1),0)</f>
        <v>0</v>
      </c>
      <c r="W291">
        <f>vlookup("924-025056-400",Out!B:AZ,column(v1),0)</f>
        <v>0</v>
      </c>
      <c r="X291">
        <f>vlookup("924-025056-400",Out!B:AZ,column(w1),0)</f>
        <v>0</v>
      </c>
      <c r="Y291">
        <f>vlookup("924-025056-400",Out!B:AZ,column(x1),0)</f>
        <v>0</v>
      </c>
      <c r="Z291">
        <f>vlookup("924-025056-400",Out!B:AZ,column(y1),0)</f>
        <v>0</v>
      </c>
      <c r="AA291">
        <f>vlookup("924-025056-400",Out!B:AZ,column(z1),0)</f>
        <v>0</v>
      </c>
      <c r="AB291">
        <f>vlookup("924-025056-400",Out!B:AZ,column(aa1),0)</f>
        <v>0</v>
      </c>
      <c r="AC291">
        <f>vlookup("924-025056-400",Out!B:AZ,column(ab1),0)</f>
        <v>0</v>
      </c>
      <c r="AD291">
        <f>vlookup("924-025056-400",Out!B:AZ,column(ac1),0)</f>
        <v>0</v>
      </c>
      <c r="AE291">
        <f>vlookup("924-025056-400",Out!B:AZ,column(ad1),0)</f>
        <v>0</v>
      </c>
      <c r="AF291">
        <f>vlookup("924-025056-400",Out!B:AZ,column(ae1),0)</f>
        <v>0</v>
      </c>
      <c r="AG291">
        <f>vlookup("924-025056-400",Out!B:AZ,column(af1),0)</f>
        <v>0</v>
      </c>
      <c r="AH291">
        <f>vlookup("924-025056-400",Out!B:AZ,column(ag1),0)</f>
        <v>0</v>
      </c>
      <c r="AI291">
        <f>vlookup("924-025056-400",Out!B:AZ,column(ah1),0)</f>
        <v>0</v>
      </c>
      <c r="AJ291">
        <f>vlookup("924-025056-400",Out!B:AZ,column(ai1),0)</f>
        <v>0</v>
      </c>
      <c r="AK291">
        <f>vlookup("924-025056-400",Out!B:AZ,column(aj1),0)</f>
        <v>0</v>
      </c>
      <c r="AL291">
        <f>vlookup("924-025056-400",Out!B:AZ,column(ak1),0)</f>
        <v>0</v>
      </c>
      <c r="AM291">
        <f>vlookup("924-025056-400",Out!B:AZ,column(al1),0)</f>
        <v>0</v>
      </c>
      <c r="AN291">
        <f>vlookup("924-025056-400",Out!B:AZ,column(am1),0)</f>
        <v>0</v>
      </c>
      <c r="AO291">
        <f>vlookup("924-025056-400",Out!B:AZ,column(an1),0)</f>
        <v>0</v>
      </c>
    </row>
    <row r="292" spans="1:41">
      <c r="H292" t="s">
        <v>16</v>
      </c>
      <c r="J292">
        <f>indirect(address(292,9))+indirect(address(290,10))-indirect(address(291,10))</f>
        <v>0</v>
      </c>
      <c r="K292">
        <f>indirect(address(292,10))+indirect(address(290,11))-indirect(address(291,11))</f>
        <v>0</v>
      </c>
      <c r="L292">
        <f>indirect(address(292,11))+indirect(address(290,12))-indirect(address(291,12))</f>
        <v>0</v>
      </c>
      <c r="M292">
        <f>indirect(address(292,12))+indirect(address(290,13))-indirect(address(291,13))</f>
        <v>0</v>
      </c>
      <c r="N292">
        <f>indirect(address(292,13))+indirect(address(290,14))-indirect(address(291,14))</f>
        <v>0</v>
      </c>
      <c r="O292">
        <f>indirect(address(292,14))+indirect(address(290,15))-indirect(address(291,15))</f>
        <v>0</v>
      </c>
      <c r="P292">
        <f>indirect(address(292,15))+indirect(address(290,16))-indirect(address(291,16))</f>
        <v>0</v>
      </c>
      <c r="Q292">
        <f>indirect(address(292,16))+indirect(address(290,17))-indirect(address(291,17))</f>
        <v>0</v>
      </c>
      <c r="R292">
        <f>indirect(address(292,17))+indirect(address(290,18))-indirect(address(291,18))</f>
        <v>0</v>
      </c>
      <c r="S292">
        <f>indirect(address(292,18))+indirect(address(290,19))-indirect(address(291,19))</f>
        <v>0</v>
      </c>
      <c r="T292">
        <f>indirect(address(292,19))+indirect(address(290,20))-indirect(address(291,20))</f>
        <v>0</v>
      </c>
      <c r="U292">
        <f>indirect(address(292,20))+indirect(address(290,21))-indirect(address(291,21))</f>
        <v>0</v>
      </c>
      <c r="V292">
        <f>indirect(address(292,21))+indirect(address(290,22))-indirect(address(291,22))</f>
        <v>0</v>
      </c>
      <c r="W292">
        <f>indirect(address(292,22))+indirect(address(290,23))-indirect(address(291,23))</f>
        <v>0</v>
      </c>
      <c r="X292">
        <f>indirect(address(292,23))+indirect(address(290,24))-indirect(address(291,24))</f>
        <v>0</v>
      </c>
      <c r="Y292">
        <f>indirect(address(292,24))+indirect(address(290,25))-indirect(address(291,25))</f>
        <v>0</v>
      </c>
      <c r="Z292">
        <f>indirect(address(292,25))+indirect(address(290,26))-indirect(address(291,26))</f>
        <v>0</v>
      </c>
      <c r="AA292">
        <f>indirect(address(292,26))+indirect(address(290,27))-indirect(address(291,27))</f>
        <v>0</v>
      </c>
      <c r="AB292">
        <f>indirect(address(292,27))+indirect(address(290,28))-indirect(address(291,28))</f>
        <v>0</v>
      </c>
      <c r="AC292">
        <f>indirect(address(292,28))+indirect(address(290,29))-indirect(address(291,29))</f>
        <v>0</v>
      </c>
      <c r="AD292">
        <f>indirect(address(292,29))+indirect(address(290,30))-indirect(address(291,30))</f>
        <v>0</v>
      </c>
      <c r="AE292">
        <f>indirect(address(292,30))+indirect(address(290,31))-indirect(address(291,31))</f>
        <v>0</v>
      </c>
      <c r="AF292">
        <f>indirect(address(292,31))+indirect(address(290,32))-indirect(address(291,32))</f>
        <v>0</v>
      </c>
      <c r="AG292">
        <f>indirect(address(292,32))+indirect(address(290,33))-indirect(address(291,33))</f>
        <v>0</v>
      </c>
      <c r="AH292">
        <f>indirect(address(292,33))+indirect(address(290,34))-indirect(address(291,34))</f>
        <v>0</v>
      </c>
      <c r="AI292">
        <f>indirect(address(292,34))+indirect(address(290,35))-indirect(address(291,35))</f>
        <v>0</v>
      </c>
      <c r="AJ292">
        <f>indirect(address(292,35))+indirect(address(290,36))-indirect(address(291,36))</f>
        <v>0</v>
      </c>
      <c r="AK292">
        <f>indirect(address(292,36))+indirect(address(290,37))-indirect(address(291,37))</f>
        <v>0</v>
      </c>
      <c r="AL292">
        <f>indirect(address(292,37))+indirect(address(290,38))-indirect(address(291,38))</f>
        <v>0</v>
      </c>
      <c r="AM292">
        <f>indirect(address(292,38))+indirect(address(290,39))-indirect(address(291,39))</f>
        <v>0</v>
      </c>
      <c r="AN292">
        <f>indirect(address(292,39))+indirect(address(290,40))-indirect(address(291,40))</f>
        <v>0</v>
      </c>
      <c r="AO292">
        <f>indirect(address(292,40))</f>
        <v>0</v>
      </c>
    </row>
    <row r="293" spans="1:41">
      <c r="A293" t="s">
        <v>17</v>
      </c>
      <c r="B293" t="s">
        <v>308</v>
      </c>
      <c r="C293" t="s">
        <v>309</v>
      </c>
      <c r="E293">
        <v>1</v>
      </c>
      <c r="F293" t="s">
        <v>13</v>
      </c>
      <c r="I293" t="s">
        <v>15</v>
      </c>
      <c r="J293">
        <f>vlookup("924-025056-400",B:AZ,column(i1),0)*e293</f>
        <v>0</v>
      </c>
      <c r="K293">
        <f>vlookup("924-025056-400",B:AZ,column(j1),0)*e293</f>
        <v>0</v>
      </c>
      <c r="L293">
        <f>vlookup("924-025056-400",B:AZ,column(k1),0)*e293</f>
        <v>0</v>
      </c>
      <c r="M293">
        <f>vlookup("924-025056-400",B:AZ,column(l1),0)*e293</f>
        <v>0</v>
      </c>
      <c r="N293">
        <f>vlookup("924-025056-400",B:AZ,column(m1),0)*e293</f>
        <v>0</v>
      </c>
      <c r="O293">
        <f>vlookup("924-025056-400",B:AZ,column(n1),0)*e293</f>
        <v>0</v>
      </c>
      <c r="P293">
        <f>vlookup("924-025056-400",B:AZ,column(o1),0)*e293</f>
        <v>0</v>
      </c>
      <c r="Q293">
        <f>vlookup("924-025056-400",B:AZ,column(p1),0)*e293</f>
        <v>0</v>
      </c>
      <c r="R293">
        <f>vlookup("924-025056-400",B:AZ,column(q1),0)*e293</f>
        <v>0</v>
      </c>
      <c r="S293">
        <f>vlookup("924-025056-400",B:AZ,column(r1),0)*e293</f>
        <v>0</v>
      </c>
      <c r="T293">
        <f>vlookup("924-025056-400",B:AZ,column(s1),0)*e293</f>
        <v>0</v>
      </c>
      <c r="U293">
        <f>vlookup("924-025056-400",B:AZ,column(t1),0)*e293</f>
        <v>0</v>
      </c>
      <c r="V293">
        <f>vlookup("924-025056-400",B:AZ,column(u1),0)*e293</f>
        <v>0</v>
      </c>
      <c r="W293">
        <f>vlookup("924-025056-400",B:AZ,column(v1),0)*e293</f>
        <v>0</v>
      </c>
      <c r="X293">
        <f>vlookup("924-025056-400",B:AZ,column(w1),0)*e293</f>
        <v>0</v>
      </c>
      <c r="Y293">
        <f>vlookup("924-025056-400",B:AZ,column(x1),0)*e293</f>
        <v>0</v>
      </c>
      <c r="Z293">
        <f>vlookup("924-025056-400",B:AZ,column(y1),0)*e293</f>
        <v>0</v>
      </c>
      <c r="AA293">
        <f>vlookup("924-025056-400",B:AZ,column(z1),0)*e293</f>
        <v>0</v>
      </c>
      <c r="AB293">
        <f>vlookup("924-025056-400",B:AZ,column(aa1),0)*e293</f>
        <v>0</v>
      </c>
      <c r="AC293">
        <f>vlookup("924-025056-400",B:AZ,column(ab1),0)*e293</f>
        <v>0</v>
      </c>
      <c r="AD293">
        <f>vlookup("924-025056-400",B:AZ,column(ac1),0)*e293</f>
        <v>0</v>
      </c>
      <c r="AE293">
        <f>vlookup("924-025056-400",B:AZ,column(ad1),0)*e293</f>
        <v>0</v>
      </c>
      <c r="AF293">
        <f>vlookup("924-025056-400",B:AZ,column(ae1),0)*e293</f>
        <v>0</v>
      </c>
      <c r="AG293">
        <f>vlookup("924-025056-400",B:AZ,column(af1),0)*e293</f>
        <v>0</v>
      </c>
      <c r="AH293">
        <f>vlookup("924-025056-400",B:AZ,column(ag1),0)*e293</f>
        <v>0</v>
      </c>
      <c r="AI293">
        <f>vlookup("924-025056-400",B:AZ,column(ah1),0)*e293</f>
        <v>0</v>
      </c>
      <c r="AJ293">
        <f>vlookup("924-025056-400",B:AZ,column(ai1),0)*e293</f>
        <v>0</v>
      </c>
      <c r="AK293">
        <f>vlookup("924-025056-400",B:AZ,column(aj1),0)*e293</f>
        <v>0</v>
      </c>
      <c r="AL293">
        <f>vlookup("924-025056-400",B:AZ,column(ak1),0)*e293</f>
        <v>0</v>
      </c>
      <c r="AM293">
        <f>vlookup("924-025056-400",B:AZ,column(al1),0)*e293</f>
        <v>0</v>
      </c>
      <c r="AN293">
        <f>vlookup("924-025056-400",B:AZ,column(am1),0)*e293</f>
        <v>0</v>
      </c>
      <c r="AO293">
        <f>vlookup("924-025056-400",B:AZ,column(an1),0)*e293</f>
        <v>0</v>
      </c>
    </row>
    <row r="294" spans="1:41">
      <c r="A294" t="s">
        <v>22</v>
      </c>
      <c r="B294" t="s">
        <v>308</v>
      </c>
      <c r="C294" t="s">
        <v>292</v>
      </c>
      <c r="E294">
        <v>1</v>
      </c>
      <c r="F294" t="s">
        <v>13</v>
      </c>
      <c r="I294" t="s">
        <v>15</v>
      </c>
      <c r="J294">
        <f>vlookup("924-025056-400",B:AZ,column(i1),0)*e294</f>
        <v>0</v>
      </c>
      <c r="K294">
        <f>vlookup("924-025056-400",B:AZ,column(j1),0)*e294</f>
        <v>0</v>
      </c>
      <c r="L294">
        <f>vlookup("924-025056-400",B:AZ,column(k1),0)*e294</f>
        <v>0</v>
      </c>
      <c r="M294">
        <f>vlookup("924-025056-400",B:AZ,column(l1),0)*e294</f>
        <v>0</v>
      </c>
      <c r="N294">
        <f>vlookup("924-025056-400",B:AZ,column(m1),0)*e294</f>
        <v>0</v>
      </c>
      <c r="O294">
        <f>vlookup("924-025056-400",B:AZ,column(n1),0)*e294</f>
        <v>0</v>
      </c>
      <c r="P294">
        <f>vlookup("924-025056-400",B:AZ,column(o1),0)*e294</f>
        <v>0</v>
      </c>
      <c r="Q294">
        <f>vlookup("924-025056-400",B:AZ,column(p1),0)*e294</f>
        <v>0</v>
      </c>
      <c r="R294">
        <f>vlookup("924-025056-400",B:AZ,column(q1),0)*e294</f>
        <v>0</v>
      </c>
      <c r="S294">
        <f>vlookup("924-025056-400",B:AZ,column(r1),0)*e294</f>
        <v>0</v>
      </c>
      <c r="T294">
        <f>vlookup("924-025056-400",B:AZ,column(s1),0)*e294</f>
        <v>0</v>
      </c>
      <c r="U294">
        <f>vlookup("924-025056-400",B:AZ,column(t1),0)*e294</f>
        <v>0</v>
      </c>
      <c r="V294">
        <f>vlookup("924-025056-400",B:AZ,column(u1),0)*e294</f>
        <v>0</v>
      </c>
      <c r="W294">
        <f>vlookup("924-025056-400",B:AZ,column(v1),0)*e294</f>
        <v>0</v>
      </c>
      <c r="X294">
        <f>vlookup("924-025056-400",B:AZ,column(w1),0)*e294</f>
        <v>0</v>
      </c>
      <c r="Y294">
        <f>vlookup("924-025056-400",B:AZ,column(x1),0)*e294</f>
        <v>0</v>
      </c>
      <c r="Z294">
        <f>vlookup("924-025056-400",B:AZ,column(y1),0)*e294</f>
        <v>0</v>
      </c>
      <c r="AA294">
        <f>vlookup("924-025056-400",B:AZ,column(z1),0)*e294</f>
        <v>0</v>
      </c>
      <c r="AB294">
        <f>vlookup("924-025056-400",B:AZ,column(aa1),0)*e294</f>
        <v>0</v>
      </c>
      <c r="AC294">
        <f>vlookup("924-025056-400",B:AZ,column(ab1),0)*e294</f>
        <v>0</v>
      </c>
      <c r="AD294">
        <f>vlookup("924-025056-400",B:AZ,column(ac1),0)*e294</f>
        <v>0</v>
      </c>
      <c r="AE294">
        <f>vlookup("924-025056-400",B:AZ,column(ad1),0)*e294</f>
        <v>0</v>
      </c>
      <c r="AF294">
        <f>vlookup("924-025056-400",B:AZ,column(ae1),0)*e294</f>
        <v>0</v>
      </c>
      <c r="AG294">
        <f>vlookup("924-025056-400",B:AZ,column(af1),0)*e294</f>
        <v>0</v>
      </c>
      <c r="AH294">
        <f>vlookup("924-025056-400",B:AZ,column(ag1),0)*e294</f>
        <v>0</v>
      </c>
      <c r="AI294">
        <f>vlookup("924-025056-400",B:AZ,column(ah1),0)*e294</f>
        <v>0</v>
      </c>
      <c r="AJ294">
        <f>vlookup("924-025056-400",B:AZ,column(ai1),0)*e294</f>
        <v>0</v>
      </c>
      <c r="AK294">
        <f>vlookup("924-025056-400",B:AZ,column(aj1),0)*e294</f>
        <v>0</v>
      </c>
      <c r="AL294">
        <f>vlookup("924-025056-400",B:AZ,column(ak1),0)*e294</f>
        <v>0</v>
      </c>
      <c r="AM294">
        <f>vlookup("924-025056-400",B:AZ,column(al1),0)*e294</f>
        <v>0</v>
      </c>
      <c r="AN294">
        <f>vlookup("924-025056-400",B:AZ,column(am1),0)*e294</f>
        <v>0</v>
      </c>
      <c r="AO294">
        <f>vlookup("924-025056-400",B:AZ,column(an1),0)*e294</f>
        <v>0</v>
      </c>
    </row>
    <row r="295" spans="1:41">
      <c r="A295" t="s">
        <v>22</v>
      </c>
      <c r="B295" t="s">
        <v>308</v>
      </c>
      <c r="C295" t="s">
        <v>293</v>
      </c>
      <c r="E295">
        <v>4</v>
      </c>
      <c r="F295" t="s">
        <v>13</v>
      </c>
      <c r="I295" t="s">
        <v>15</v>
      </c>
      <c r="J295">
        <f>vlookup("924-025056-400",B:AZ,column(i1),0)*e295</f>
        <v>0</v>
      </c>
      <c r="K295">
        <f>vlookup("924-025056-400",B:AZ,column(j1),0)*e295</f>
        <v>0</v>
      </c>
      <c r="L295">
        <f>vlookup("924-025056-400",B:AZ,column(k1),0)*e295</f>
        <v>0</v>
      </c>
      <c r="M295">
        <f>vlookup("924-025056-400",B:AZ,column(l1),0)*e295</f>
        <v>0</v>
      </c>
      <c r="N295">
        <f>vlookup("924-025056-400",B:AZ,column(m1),0)*e295</f>
        <v>0</v>
      </c>
      <c r="O295">
        <f>vlookup("924-025056-400",B:AZ,column(n1),0)*e295</f>
        <v>0</v>
      </c>
      <c r="P295">
        <f>vlookup("924-025056-400",B:AZ,column(o1),0)*e295</f>
        <v>0</v>
      </c>
      <c r="Q295">
        <f>vlookup("924-025056-400",B:AZ,column(p1),0)*e295</f>
        <v>0</v>
      </c>
      <c r="R295">
        <f>vlookup("924-025056-400",B:AZ,column(q1),0)*e295</f>
        <v>0</v>
      </c>
      <c r="S295">
        <f>vlookup("924-025056-400",B:AZ,column(r1),0)*e295</f>
        <v>0</v>
      </c>
      <c r="T295">
        <f>vlookup("924-025056-400",B:AZ,column(s1),0)*e295</f>
        <v>0</v>
      </c>
      <c r="U295">
        <f>vlookup("924-025056-400",B:AZ,column(t1),0)*e295</f>
        <v>0</v>
      </c>
      <c r="V295">
        <f>vlookup("924-025056-400",B:AZ,column(u1),0)*e295</f>
        <v>0</v>
      </c>
      <c r="W295">
        <f>vlookup("924-025056-400",B:AZ,column(v1),0)*e295</f>
        <v>0</v>
      </c>
      <c r="X295">
        <f>vlookup("924-025056-400",B:AZ,column(w1),0)*e295</f>
        <v>0</v>
      </c>
      <c r="Y295">
        <f>vlookup("924-025056-400",B:AZ,column(x1),0)*e295</f>
        <v>0</v>
      </c>
      <c r="Z295">
        <f>vlookup("924-025056-400",B:AZ,column(y1),0)*e295</f>
        <v>0</v>
      </c>
      <c r="AA295">
        <f>vlookup("924-025056-400",B:AZ,column(z1),0)*e295</f>
        <v>0</v>
      </c>
      <c r="AB295">
        <f>vlookup("924-025056-400",B:AZ,column(aa1),0)*e295</f>
        <v>0</v>
      </c>
      <c r="AC295">
        <f>vlookup("924-025056-400",B:AZ,column(ab1),0)*e295</f>
        <v>0</v>
      </c>
      <c r="AD295">
        <f>vlookup("924-025056-400",B:AZ,column(ac1),0)*e295</f>
        <v>0</v>
      </c>
      <c r="AE295">
        <f>vlookup("924-025056-400",B:AZ,column(ad1),0)*e295</f>
        <v>0</v>
      </c>
      <c r="AF295">
        <f>vlookup("924-025056-400",B:AZ,column(ae1),0)*e295</f>
        <v>0</v>
      </c>
      <c r="AG295">
        <f>vlookup("924-025056-400",B:AZ,column(af1),0)*e295</f>
        <v>0</v>
      </c>
      <c r="AH295">
        <f>vlookup("924-025056-400",B:AZ,column(ag1),0)*e295</f>
        <v>0</v>
      </c>
      <c r="AI295">
        <f>vlookup("924-025056-400",B:AZ,column(ah1),0)*e295</f>
        <v>0</v>
      </c>
      <c r="AJ295">
        <f>vlookup("924-025056-400",B:AZ,column(ai1),0)*e295</f>
        <v>0</v>
      </c>
      <c r="AK295">
        <f>vlookup("924-025056-400",B:AZ,column(aj1),0)*e295</f>
        <v>0</v>
      </c>
      <c r="AL295">
        <f>vlookup("924-025056-400",B:AZ,column(ak1),0)*e295</f>
        <v>0</v>
      </c>
      <c r="AM295">
        <f>vlookup("924-025056-400",B:AZ,column(al1),0)*e295</f>
        <v>0</v>
      </c>
      <c r="AN295">
        <f>vlookup("924-025056-400",B:AZ,column(am1),0)*e295</f>
        <v>0</v>
      </c>
      <c r="AO295">
        <f>vlookup("924-025056-400",B:AZ,column(an1),0)*e295</f>
        <v>0</v>
      </c>
    </row>
    <row r="296" spans="1:41">
      <c r="A296" t="s">
        <v>22</v>
      </c>
      <c r="B296" t="s">
        <v>308</v>
      </c>
      <c r="C296" t="s">
        <v>294</v>
      </c>
      <c r="E296">
        <v>1</v>
      </c>
      <c r="F296" t="s">
        <v>13</v>
      </c>
      <c r="I296" t="s">
        <v>15</v>
      </c>
      <c r="J296">
        <f>vlookup("924-025056-400",B:AZ,column(i1),0)*e296</f>
        <v>0</v>
      </c>
      <c r="K296">
        <f>vlookup("924-025056-400",B:AZ,column(j1),0)*e296</f>
        <v>0</v>
      </c>
      <c r="L296">
        <f>vlookup("924-025056-400",B:AZ,column(k1),0)*e296</f>
        <v>0</v>
      </c>
      <c r="M296">
        <f>vlookup("924-025056-400",B:AZ,column(l1),0)*e296</f>
        <v>0</v>
      </c>
      <c r="N296">
        <f>vlookup("924-025056-400",B:AZ,column(m1),0)*e296</f>
        <v>0</v>
      </c>
      <c r="O296">
        <f>vlookup("924-025056-400",B:AZ,column(n1),0)*e296</f>
        <v>0</v>
      </c>
      <c r="P296">
        <f>vlookup("924-025056-400",B:AZ,column(o1),0)*e296</f>
        <v>0</v>
      </c>
      <c r="Q296">
        <f>vlookup("924-025056-400",B:AZ,column(p1),0)*e296</f>
        <v>0</v>
      </c>
      <c r="R296">
        <f>vlookup("924-025056-400",B:AZ,column(q1),0)*e296</f>
        <v>0</v>
      </c>
      <c r="S296">
        <f>vlookup("924-025056-400",B:AZ,column(r1),0)*e296</f>
        <v>0</v>
      </c>
      <c r="T296">
        <f>vlookup("924-025056-400",B:AZ,column(s1),0)*e296</f>
        <v>0</v>
      </c>
      <c r="U296">
        <f>vlookup("924-025056-400",B:AZ,column(t1),0)*e296</f>
        <v>0</v>
      </c>
      <c r="V296">
        <f>vlookup("924-025056-400",B:AZ,column(u1),0)*e296</f>
        <v>0</v>
      </c>
      <c r="W296">
        <f>vlookup("924-025056-400",B:AZ,column(v1),0)*e296</f>
        <v>0</v>
      </c>
      <c r="X296">
        <f>vlookup("924-025056-400",B:AZ,column(w1),0)*e296</f>
        <v>0</v>
      </c>
      <c r="Y296">
        <f>vlookup("924-025056-400",B:AZ,column(x1),0)*e296</f>
        <v>0</v>
      </c>
      <c r="Z296">
        <f>vlookup("924-025056-400",B:AZ,column(y1),0)*e296</f>
        <v>0</v>
      </c>
      <c r="AA296">
        <f>vlookup("924-025056-400",B:AZ,column(z1),0)*e296</f>
        <v>0</v>
      </c>
      <c r="AB296">
        <f>vlookup("924-025056-400",B:AZ,column(aa1),0)*e296</f>
        <v>0</v>
      </c>
      <c r="AC296">
        <f>vlookup("924-025056-400",B:AZ,column(ab1),0)*e296</f>
        <v>0</v>
      </c>
      <c r="AD296">
        <f>vlookup("924-025056-400",B:AZ,column(ac1),0)*e296</f>
        <v>0</v>
      </c>
      <c r="AE296">
        <f>vlookup("924-025056-400",B:AZ,column(ad1),0)*e296</f>
        <v>0</v>
      </c>
      <c r="AF296">
        <f>vlookup("924-025056-400",B:AZ,column(ae1),0)*e296</f>
        <v>0</v>
      </c>
      <c r="AG296">
        <f>vlookup("924-025056-400",B:AZ,column(af1),0)*e296</f>
        <v>0</v>
      </c>
      <c r="AH296">
        <f>vlookup("924-025056-400",B:AZ,column(ag1),0)*e296</f>
        <v>0</v>
      </c>
      <c r="AI296">
        <f>vlookup("924-025056-400",B:AZ,column(ah1),0)*e296</f>
        <v>0</v>
      </c>
      <c r="AJ296">
        <f>vlookup("924-025056-400",B:AZ,column(ai1),0)*e296</f>
        <v>0</v>
      </c>
      <c r="AK296">
        <f>vlookup("924-025056-400",B:AZ,column(aj1),0)*e296</f>
        <v>0</v>
      </c>
      <c r="AL296">
        <f>vlookup("924-025056-400",B:AZ,column(ak1),0)*e296</f>
        <v>0</v>
      </c>
      <c r="AM296">
        <f>vlookup("924-025056-400",B:AZ,column(al1),0)*e296</f>
        <v>0</v>
      </c>
      <c r="AN296">
        <f>vlookup("924-025056-400",B:AZ,column(am1),0)*e296</f>
        <v>0</v>
      </c>
      <c r="AO296">
        <f>vlookup("924-025056-400",B:AZ,column(an1),0)*e296</f>
        <v>0</v>
      </c>
    </row>
    <row r="297" spans="1:41">
      <c r="A297" t="s">
        <v>22</v>
      </c>
      <c r="B297" t="s">
        <v>308</v>
      </c>
      <c r="C297" t="s">
        <v>304</v>
      </c>
      <c r="E297">
        <v>1</v>
      </c>
      <c r="F297" t="s">
        <v>13</v>
      </c>
      <c r="I297" t="s">
        <v>15</v>
      </c>
      <c r="J297">
        <f>vlookup("924-025056-400",B:AZ,column(i1),0)*e297</f>
        <v>0</v>
      </c>
      <c r="K297">
        <f>vlookup("924-025056-400",B:AZ,column(j1),0)*e297</f>
        <v>0</v>
      </c>
      <c r="L297">
        <f>vlookup("924-025056-400",B:AZ,column(k1),0)*e297</f>
        <v>0</v>
      </c>
      <c r="M297">
        <f>vlookup("924-025056-400",B:AZ,column(l1),0)*e297</f>
        <v>0</v>
      </c>
      <c r="N297">
        <f>vlookup("924-025056-400",B:AZ,column(m1),0)*e297</f>
        <v>0</v>
      </c>
      <c r="O297">
        <f>vlookup("924-025056-400",B:AZ,column(n1),0)*e297</f>
        <v>0</v>
      </c>
      <c r="P297">
        <f>vlookup("924-025056-400",B:AZ,column(o1),0)*e297</f>
        <v>0</v>
      </c>
      <c r="Q297">
        <f>vlookup("924-025056-400",B:AZ,column(p1),0)*e297</f>
        <v>0</v>
      </c>
      <c r="R297">
        <f>vlookup("924-025056-400",B:AZ,column(q1),0)*e297</f>
        <v>0</v>
      </c>
      <c r="S297">
        <f>vlookup("924-025056-400",B:AZ,column(r1),0)*e297</f>
        <v>0</v>
      </c>
      <c r="T297">
        <f>vlookup("924-025056-400",B:AZ,column(s1),0)*e297</f>
        <v>0</v>
      </c>
      <c r="U297">
        <f>vlookup("924-025056-400",B:AZ,column(t1),0)*e297</f>
        <v>0</v>
      </c>
      <c r="V297">
        <f>vlookup("924-025056-400",B:AZ,column(u1),0)*e297</f>
        <v>0</v>
      </c>
      <c r="W297">
        <f>vlookup("924-025056-400",B:AZ,column(v1),0)*e297</f>
        <v>0</v>
      </c>
      <c r="X297">
        <f>vlookup("924-025056-400",B:AZ,column(w1),0)*e297</f>
        <v>0</v>
      </c>
      <c r="Y297">
        <f>vlookup("924-025056-400",B:AZ,column(x1),0)*e297</f>
        <v>0</v>
      </c>
      <c r="Z297">
        <f>vlookup("924-025056-400",B:AZ,column(y1),0)*e297</f>
        <v>0</v>
      </c>
      <c r="AA297">
        <f>vlookup("924-025056-400",B:AZ,column(z1),0)*e297</f>
        <v>0</v>
      </c>
      <c r="AB297">
        <f>vlookup("924-025056-400",B:AZ,column(aa1),0)*e297</f>
        <v>0</v>
      </c>
      <c r="AC297">
        <f>vlookup("924-025056-400",B:AZ,column(ab1),0)*e297</f>
        <v>0</v>
      </c>
      <c r="AD297">
        <f>vlookup("924-025056-400",B:AZ,column(ac1),0)*e297</f>
        <v>0</v>
      </c>
      <c r="AE297">
        <f>vlookup("924-025056-400",B:AZ,column(ad1),0)*e297</f>
        <v>0</v>
      </c>
      <c r="AF297">
        <f>vlookup("924-025056-400",B:AZ,column(ae1),0)*e297</f>
        <v>0</v>
      </c>
      <c r="AG297">
        <f>vlookup("924-025056-400",B:AZ,column(af1),0)*e297</f>
        <v>0</v>
      </c>
      <c r="AH297">
        <f>vlookup("924-025056-400",B:AZ,column(ag1),0)*e297</f>
        <v>0</v>
      </c>
      <c r="AI297">
        <f>vlookup("924-025056-400",B:AZ,column(ah1),0)*e297</f>
        <v>0</v>
      </c>
      <c r="AJ297">
        <f>vlookup("924-025056-400",B:AZ,column(ai1),0)*e297</f>
        <v>0</v>
      </c>
      <c r="AK297">
        <f>vlookup("924-025056-400",B:AZ,column(aj1),0)*e297</f>
        <v>0</v>
      </c>
      <c r="AL297">
        <f>vlookup("924-025056-400",B:AZ,column(ak1),0)*e297</f>
        <v>0</v>
      </c>
      <c r="AM297">
        <f>vlookup("924-025056-400",B:AZ,column(al1),0)*e297</f>
        <v>0</v>
      </c>
      <c r="AN297">
        <f>vlookup("924-025056-400",B:AZ,column(am1),0)*e297</f>
        <v>0</v>
      </c>
      <c r="AO297">
        <f>vlookup("924-025056-400",B:AZ,column(an1),0)*e297</f>
        <v>0</v>
      </c>
    </row>
    <row r="298" spans="1:41">
      <c r="A298" t="s">
        <v>22</v>
      </c>
      <c r="B298" t="s">
        <v>308</v>
      </c>
      <c r="C298" t="s">
        <v>305</v>
      </c>
      <c r="E298">
        <v>1</v>
      </c>
      <c r="F298" t="s">
        <v>13</v>
      </c>
      <c r="I298" t="s">
        <v>15</v>
      </c>
      <c r="J298">
        <f>vlookup("924-025056-400",B:AZ,column(i1),0)*e298</f>
        <v>0</v>
      </c>
      <c r="K298">
        <f>vlookup("924-025056-400",B:AZ,column(j1),0)*e298</f>
        <v>0</v>
      </c>
      <c r="L298">
        <f>vlookup("924-025056-400",B:AZ,column(k1),0)*e298</f>
        <v>0</v>
      </c>
      <c r="M298">
        <f>vlookup("924-025056-400",B:AZ,column(l1),0)*e298</f>
        <v>0</v>
      </c>
      <c r="N298">
        <f>vlookup("924-025056-400",B:AZ,column(m1),0)*e298</f>
        <v>0</v>
      </c>
      <c r="O298">
        <f>vlookup("924-025056-400",B:AZ,column(n1),0)*e298</f>
        <v>0</v>
      </c>
      <c r="P298">
        <f>vlookup("924-025056-400",B:AZ,column(o1),0)*e298</f>
        <v>0</v>
      </c>
      <c r="Q298">
        <f>vlookup("924-025056-400",B:AZ,column(p1),0)*e298</f>
        <v>0</v>
      </c>
      <c r="R298">
        <f>vlookup("924-025056-400",B:AZ,column(q1),0)*e298</f>
        <v>0</v>
      </c>
      <c r="S298">
        <f>vlookup("924-025056-400",B:AZ,column(r1),0)*e298</f>
        <v>0</v>
      </c>
      <c r="T298">
        <f>vlookup("924-025056-400",B:AZ,column(s1),0)*e298</f>
        <v>0</v>
      </c>
      <c r="U298">
        <f>vlookup("924-025056-400",B:AZ,column(t1),0)*e298</f>
        <v>0</v>
      </c>
      <c r="V298">
        <f>vlookup("924-025056-400",B:AZ,column(u1),0)*e298</f>
        <v>0</v>
      </c>
      <c r="W298">
        <f>vlookup("924-025056-400",B:AZ,column(v1),0)*e298</f>
        <v>0</v>
      </c>
      <c r="X298">
        <f>vlookup("924-025056-400",B:AZ,column(w1),0)*e298</f>
        <v>0</v>
      </c>
      <c r="Y298">
        <f>vlookup("924-025056-400",B:AZ,column(x1),0)*e298</f>
        <v>0</v>
      </c>
      <c r="Z298">
        <f>vlookup("924-025056-400",B:AZ,column(y1),0)*e298</f>
        <v>0</v>
      </c>
      <c r="AA298">
        <f>vlookup("924-025056-400",B:AZ,column(z1),0)*e298</f>
        <v>0</v>
      </c>
      <c r="AB298">
        <f>vlookup("924-025056-400",B:AZ,column(aa1),0)*e298</f>
        <v>0</v>
      </c>
      <c r="AC298">
        <f>vlookup("924-025056-400",B:AZ,column(ab1),0)*e298</f>
        <v>0</v>
      </c>
      <c r="AD298">
        <f>vlookup("924-025056-400",B:AZ,column(ac1),0)*e298</f>
        <v>0</v>
      </c>
      <c r="AE298">
        <f>vlookup("924-025056-400",B:AZ,column(ad1),0)*e298</f>
        <v>0</v>
      </c>
      <c r="AF298">
        <f>vlookup("924-025056-400",B:AZ,column(ae1),0)*e298</f>
        <v>0</v>
      </c>
      <c r="AG298">
        <f>vlookup("924-025056-400",B:AZ,column(af1),0)*e298</f>
        <v>0</v>
      </c>
      <c r="AH298">
        <f>vlookup("924-025056-400",B:AZ,column(ag1),0)*e298</f>
        <v>0</v>
      </c>
      <c r="AI298">
        <f>vlookup("924-025056-400",B:AZ,column(ah1),0)*e298</f>
        <v>0</v>
      </c>
      <c r="AJ298">
        <f>vlookup("924-025056-400",B:AZ,column(ai1),0)*e298</f>
        <v>0</v>
      </c>
      <c r="AK298">
        <f>vlookup("924-025056-400",B:AZ,column(aj1),0)*e298</f>
        <v>0</v>
      </c>
      <c r="AL298">
        <f>vlookup("924-025056-400",B:AZ,column(ak1),0)*e298</f>
        <v>0</v>
      </c>
      <c r="AM298">
        <f>vlookup("924-025056-400",B:AZ,column(al1),0)*e298</f>
        <v>0</v>
      </c>
      <c r="AN298">
        <f>vlookup("924-025056-400",B:AZ,column(am1),0)*e298</f>
        <v>0</v>
      </c>
      <c r="AO298">
        <f>vlookup("924-025056-400",B:AZ,column(an1),0)*e298</f>
        <v>0</v>
      </c>
    </row>
    <row r="299" spans="1:41">
      <c r="A299" t="s">
        <v>22</v>
      </c>
      <c r="B299" t="s">
        <v>308</v>
      </c>
      <c r="C299" t="s">
        <v>306</v>
      </c>
      <c r="E299">
        <v>1</v>
      </c>
      <c r="F299" t="s">
        <v>13</v>
      </c>
      <c r="I299" t="s">
        <v>15</v>
      </c>
      <c r="J299">
        <f>vlookup("924-025056-400",B:AZ,column(i1),0)*e299</f>
        <v>0</v>
      </c>
      <c r="K299">
        <f>vlookup("924-025056-400",B:AZ,column(j1),0)*e299</f>
        <v>0</v>
      </c>
      <c r="L299">
        <f>vlookup("924-025056-400",B:AZ,column(k1),0)*e299</f>
        <v>0</v>
      </c>
      <c r="M299">
        <f>vlookup("924-025056-400",B:AZ,column(l1),0)*e299</f>
        <v>0</v>
      </c>
      <c r="N299">
        <f>vlookup("924-025056-400",B:AZ,column(m1),0)*e299</f>
        <v>0</v>
      </c>
      <c r="O299">
        <f>vlookup("924-025056-400",B:AZ,column(n1),0)*e299</f>
        <v>0</v>
      </c>
      <c r="P299">
        <f>vlookup("924-025056-400",B:AZ,column(o1),0)*e299</f>
        <v>0</v>
      </c>
      <c r="Q299">
        <f>vlookup("924-025056-400",B:AZ,column(p1),0)*e299</f>
        <v>0</v>
      </c>
      <c r="R299">
        <f>vlookup("924-025056-400",B:AZ,column(q1),0)*e299</f>
        <v>0</v>
      </c>
      <c r="S299">
        <f>vlookup("924-025056-400",B:AZ,column(r1),0)*e299</f>
        <v>0</v>
      </c>
      <c r="T299">
        <f>vlookup("924-025056-400",B:AZ,column(s1),0)*e299</f>
        <v>0</v>
      </c>
      <c r="U299">
        <f>vlookup("924-025056-400",B:AZ,column(t1),0)*e299</f>
        <v>0</v>
      </c>
      <c r="V299">
        <f>vlookup("924-025056-400",B:AZ,column(u1),0)*e299</f>
        <v>0</v>
      </c>
      <c r="W299">
        <f>vlookup("924-025056-400",B:AZ,column(v1),0)*e299</f>
        <v>0</v>
      </c>
      <c r="X299">
        <f>vlookup("924-025056-400",B:AZ,column(w1),0)*e299</f>
        <v>0</v>
      </c>
      <c r="Y299">
        <f>vlookup("924-025056-400",B:AZ,column(x1),0)*e299</f>
        <v>0</v>
      </c>
      <c r="Z299">
        <f>vlookup("924-025056-400",B:AZ,column(y1),0)*e299</f>
        <v>0</v>
      </c>
      <c r="AA299">
        <f>vlookup("924-025056-400",B:AZ,column(z1),0)*e299</f>
        <v>0</v>
      </c>
      <c r="AB299">
        <f>vlookup("924-025056-400",B:AZ,column(aa1),0)*e299</f>
        <v>0</v>
      </c>
      <c r="AC299">
        <f>vlookup("924-025056-400",B:AZ,column(ab1),0)*e299</f>
        <v>0</v>
      </c>
      <c r="AD299">
        <f>vlookup("924-025056-400",B:AZ,column(ac1),0)*e299</f>
        <v>0</v>
      </c>
      <c r="AE299">
        <f>vlookup("924-025056-400",B:AZ,column(ad1),0)*e299</f>
        <v>0</v>
      </c>
      <c r="AF299">
        <f>vlookup("924-025056-400",B:AZ,column(ae1),0)*e299</f>
        <v>0</v>
      </c>
      <c r="AG299">
        <f>vlookup("924-025056-400",B:AZ,column(af1),0)*e299</f>
        <v>0</v>
      </c>
      <c r="AH299">
        <f>vlookup("924-025056-400",B:AZ,column(ag1),0)*e299</f>
        <v>0</v>
      </c>
      <c r="AI299">
        <f>vlookup("924-025056-400",B:AZ,column(ah1),0)*e299</f>
        <v>0</v>
      </c>
      <c r="AJ299">
        <f>vlookup("924-025056-400",B:AZ,column(ai1),0)*e299</f>
        <v>0</v>
      </c>
      <c r="AK299">
        <f>vlookup("924-025056-400",B:AZ,column(aj1),0)*e299</f>
        <v>0</v>
      </c>
      <c r="AL299">
        <f>vlookup("924-025056-400",B:AZ,column(ak1),0)*e299</f>
        <v>0</v>
      </c>
      <c r="AM299">
        <f>vlookup("924-025056-400",B:AZ,column(al1),0)*e299</f>
        <v>0</v>
      </c>
      <c r="AN299">
        <f>vlookup("924-025056-400",B:AZ,column(am1),0)*e299</f>
        <v>0</v>
      </c>
      <c r="AO299">
        <f>vlookup("924-025056-400",B:AZ,column(an1),0)*e299</f>
        <v>0</v>
      </c>
    </row>
    <row r="300" spans="1:41">
      <c r="A300" t="s">
        <v>78</v>
      </c>
      <c r="B300" t="s">
        <v>308</v>
      </c>
      <c r="C300" t="s">
        <v>300</v>
      </c>
      <c r="E300">
        <v>0.05</v>
      </c>
      <c r="F300" t="s">
        <v>13</v>
      </c>
      <c r="I300" t="s">
        <v>15</v>
      </c>
      <c r="J300">
        <f>vlookup("924-025056-400",B:AZ,column(i1),0)*e300</f>
        <v>0</v>
      </c>
      <c r="K300">
        <f>vlookup("924-025056-400",B:AZ,column(j1),0)*e300</f>
        <v>0</v>
      </c>
      <c r="L300">
        <f>vlookup("924-025056-400",B:AZ,column(k1),0)*e300</f>
        <v>0</v>
      </c>
      <c r="M300">
        <f>vlookup("924-025056-400",B:AZ,column(l1),0)*e300</f>
        <v>0</v>
      </c>
      <c r="N300">
        <f>vlookup("924-025056-400",B:AZ,column(m1),0)*e300</f>
        <v>0</v>
      </c>
      <c r="O300">
        <f>vlookup("924-025056-400",B:AZ,column(n1),0)*e300</f>
        <v>0</v>
      </c>
      <c r="P300">
        <f>vlookup("924-025056-400",B:AZ,column(o1),0)*e300</f>
        <v>0</v>
      </c>
      <c r="Q300">
        <f>vlookup("924-025056-400",B:AZ,column(p1),0)*e300</f>
        <v>0</v>
      </c>
      <c r="R300">
        <f>vlookup("924-025056-400",B:AZ,column(q1),0)*e300</f>
        <v>0</v>
      </c>
      <c r="S300">
        <f>vlookup("924-025056-400",B:AZ,column(r1),0)*e300</f>
        <v>0</v>
      </c>
      <c r="T300">
        <f>vlookup("924-025056-400",B:AZ,column(s1),0)*e300</f>
        <v>0</v>
      </c>
      <c r="U300">
        <f>vlookup("924-025056-400",B:AZ,column(t1),0)*e300</f>
        <v>0</v>
      </c>
      <c r="V300">
        <f>vlookup("924-025056-400",B:AZ,column(u1),0)*e300</f>
        <v>0</v>
      </c>
      <c r="W300">
        <f>vlookup("924-025056-400",B:AZ,column(v1),0)*e300</f>
        <v>0</v>
      </c>
      <c r="X300">
        <f>vlookup("924-025056-400",B:AZ,column(w1),0)*e300</f>
        <v>0</v>
      </c>
      <c r="Y300">
        <f>vlookup("924-025056-400",B:AZ,column(x1),0)*e300</f>
        <v>0</v>
      </c>
      <c r="Z300">
        <f>vlookup("924-025056-400",B:AZ,column(y1),0)*e300</f>
        <v>0</v>
      </c>
      <c r="AA300">
        <f>vlookup("924-025056-400",B:AZ,column(z1),0)*e300</f>
        <v>0</v>
      </c>
      <c r="AB300">
        <f>vlookup("924-025056-400",B:AZ,column(aa1),0)*e300</f>
        <v>0</v>
      </c>
      <c r="AC300">
        <f>vlookup("924-025056-400",B:AZ,column(ab1),0)*e300</f>
        <v>0</v>
      </c>
      <c r="AD300">
        <f>vlookup("924-025056-400",B:AZ,column(ac1),0)*e300</f>
        <v>0</v>
      </c>
      <c r="AE300">
        <f>vlookup("924-025056-400",B:AZ,column(ad1),0)*e300</f>
        <v>0</v>
      </c>
      <c r="AF300">
        <f>vlookup("924-025056-400",B:AZ,column(ae1),0)*e300</f>
        <v>0</v>
      </c>
      <c r="AG300">
        <f>vlookup("924-025056-400",B:AZ,column(af1),0)*e300</f>
        <v>0</v>
      </c>
      <c r="AH300">
        <f>vlookup("924-025056-400",B:AZ,column(ag1),0)*e300</f>
        <v>0</v>
      </c>
      <c r="AI300">
        <f>vlookup("924-025056-400",B:AZ,column(ah1),0)*e300</f>
        <v>0</v>
      </c>
      <c r="AJ300">
        <f>vlookup("924-025056-400",B:AZ,column(ai1),0)*e300</f>
        <v>0</v>
      </c>
      <c r="AK300">
        <f>vlookup("924-025056-400",B:AZ,column(aj1),0)*e300</f>
        <v>0</v>
      </c>
      <c r="AL300">
        <f>vlookup("924-025056-400",B:AZ,column(ak1),0)*e300</f>
        <v>0</v>
      </c>
      <c r="AM300">
        <f>vlookup("924-025056-400",B:AZ,column(al1),0)*e300</f>
        <v>0</v>
      </c>
      <c r="AN300">
        <f>vlookup("924-025056-400",B:AZ,column(am1),0)*e300</f>
        <v>0</v>
      </c>
      <c r="AO300">
        <f>vlookup("924-025056-400",B:AZ,column(an1),0)*e300</f>
        <v>0</v>
      </c>
    </row>
    <row r="301" spans="1:41">
      <c r="A301" t="s">
        <v>43</v>
      </c>
      <c r="B301" t="s">
        <v>308</v>
      </c>
      <c r="C301" t="s">
        <v>310</v>
      </c>
      <c r="E301">
        <v>0.05</v>
      </c>
      <c r="F301" t="s">
        <v>13</v>
      </c>
      <c r="I301" t="s">
        <v>15</v>
      </c>
      <c r="J301">
        <f>vlookup("924-025056-400",B:AZ,column(i1),0)*e301</f>
        <v>0</v>
      </c>
      <c r="K301">
        <f>vlookup("924-025056-400",B:AZ,column(j1),0)*e301</f>
        <v>0</v>
      </c>
      <c r="L301">
        <f>vlookup("924-025056-400",B:AZ,column(k1),0)*e301</f>
        <v>0</v>
      </c>
      <c r="M301">
        <f>vlookup("924-025056-400",B:AZ,column(l1),0)*e301</f>
        <v>0</v>
      </c>
      <c r="N301">
        <f>vlookup("924-025056-400",B:AZ,column(m1),0)*e301</f>
        <v>0</v>
      </c>
      <c r="O301">
        <f>vlookup("924-025056-400",B:AZ,column(n1),0)*e301</f>
        <v>0</v>
      </c>
      <c r="P301">
        <f>vlookup("924-025056-400",B:AZ,column(o1),0)*e301</f>
        <v>0</v>
      </c>
      <c r="Q301">
        <f>vlookup("924-025056-400",B:AZ,column(p1),0)*e301</f>
        <v>0</v>
      </c>
      <c r="R301">
        <f>vlookup("924-025056-400",B:AZ,column(q1),0)*e301</f>
        <v>0</v>
      </c>
      <c r="S301">
        <f>vlookup("924-025056-400",B:AZ,column(r1),0)*e301</f>
        <v>0</v>
      </c>
      <c r="T301">
        <f>vlookup("924-025056-400",B:AZ,column(s1),0)*e301</f>
        <v>0</v>
      </c>
      <c r="U301">
        <f>vlookup("924-025056-400",B:AZ,column(t1),0)*e301</f>
        <v>0</v>
      </c>
      <c r="V301">
        <f>vlookup("924-025056-400",B:AZ,column(u1),0)*e301</f>
        <v>0</v>
      </c>
      <c r="W301">
        <f>vlookup("924-025056-400",B:AZ,column(v1),0)*e301</f>
        <v>0</v>
      </c>
      <c r="X301">
        <f>vlookup("924-025056-400",B:AZ,column(w1),0)*e301</f>
        <v>0</v>
      </c>
      <c r="Y301">
        <f>vlookup("924-025056-400",B:AZ,column(x1),0)*e301</f>
        <v>0</v>
      </c>
      <c r="Z301">
        <f>vlookup("924-025056-400",B:AZ,column(y1),0)*e301</f>
        <v>0</v>
      </c>
      <c r="AA301">
        <f>vlookup("924-025056-400",B:AZ,column(z1),0)*e301</f>
        <v>0</v>
      </c>
      <c r="AB301">
        <f>vlookup("924-025056-400",B:AZ,column(aa1),0)*e301</f>
        <v>0</v>
      </c>
      <c r="AC301">
        <f>vlookup("924-025056-400",B:AZ,column(ab1),0)*e301</f>
        <v>0</v>
      </c>
      <c r="AD301">
        <f>vlookup("924-025056-400",B:AZ,column(ac1),0)*e301</f>
        <v>0</v>
      </c>
      <c r="AE301">
        <f>vlookup("924-025056-400",B:AZ,column(ad1),0)*e301</f>
        <v>0</v>
      </c>
      <c r="AF301">
        <f>vlookup("924-025056-400",B:AZ,column(ae1),0)*e301</f>
        <v>0</v>
      </c>
      <c r="AG301">
        <f>vlookup("924-025056-400",B:AZ,column(af1),0)*e301</f>
        <v>0</v>
      </c>
      <c r="AH301">
        <f>vlookup("924-025056-400",B:AZ,column(ag1),0)*e301</f>
        <v>0</v>
      </c>
      <c r="AI301">
        <f>vlookup("924-025056-400",B:AZ,column(ah1),0)*e301</f>
        <v>0</v>
      </c>
      <c r="AJ301">
        <f>vlookup("924-025056-400",B:AZ,column(ai1),0)*e301</f>
        <v>0</v>
      </c>
      <c r="AK301">
        <f>vlookup("924-025056-400",B:AZ,column(aj1),0)*e301</f>
        <v>0</v>
      </c>
      <c r="AL301">
        <f>vlookup("924-025056-400",B:AZ,column(ak1),0)*e301</f>
        <v>0</v>
      </c>
      <c r="AM301">
        <f>vlookup("924-025056-400",B:AZ,column(al1),0)*e301</f>
        <v>0</v>
      </c>
      <c r="AN301">
        <f>vlookup("924-025056-400",B:AZ,column(am1),0)*e301</f>
        <v>0</v>
      </c>
      <c r="AO301">
        <f>vlookup("924-025056-400",B:AZ,column(an1),0)*e301</f>
        <v>0</v>
      </c>
    </row>
    <row r="302" spans="1:41">
      <c r="A302" t="s">
        <v>10</v>
      </c>
      <c r="B302" t="s">
        <v>311</v>
      </c>
      <c r="C302" t="s">
        <v>312</v>
      </c>
      <c r="E302">
        <v>1</v>
      </c>
      <c r="F302" t="s">
        <v>13</v>
      </c>
      <c r="I302" t="s">
        <v>14</v>
      </c>
      <c r="AO302">
        <f>sum(j302:an302)</f>
        <v>0</v>
      </c>
    </row>
    <row r="303" spans="1:41">
      <c r="I303" t="s">
        <v>15</v>
      </c>
      <c r="J303">
        <f>vlookup("261-000000-083",Out!B:AZ,column(i1),0)</f>
        <v>0</v>
      </c>
      <c r="K303">
        <f>vlookup("261-000000-083",Out!B:AZ,column(j1),0)</f>
        <v>0</v>
      </c>
      <c r="L303">
        <f>vlookup("261-000000-083",Out!B:AZ,column(k1),0)</f>
        <v>0</v>
      </c>
      <c r="M303">
        <f>vlookup("261-000000-083",Out!B:AZ,column(l1),0)</f>
        <v>0</v>
      </c>
      <c r="N303">
        <f>vlookup("261-000000-083",Out!B:AZ,column(m1),0)</f>
        <v>0</v>
      </c>
      <c r="O303">
        <f>vlookup("261-000000-083",Out!B:AZ,column(n1),0)</f>
        <v>0</v>
      </c>
      <c r="P303">
        <f>vlookup("261-000000-083",Out!B:AZ,column(o1),0)</f>
        <v>0</v>
      </c>
      <c r="Q303">
        <f>vlookup("261-000000-083",Out!B:AZ,column(p1),0)</f>
        <v>0</v>
      </c>
      <c r="R303">
        <f>vlookup("261-000000-083",Out!B:AZ,column(q1),0)</f>
        <v>0</v>
      </c>
      <c r="S303">
        <f>vlookup("261-000000-083",Out!B:AZ,column(r1),0)</f>
        <v>0</v>
      </c>
      <c r="T303">
        <f>vlookup("261-000000-083",Out!B:AZ,column(s1),0)</f>
        <v>0</v>
      </c>
      <c r="U303">
        <f>vlookup("261-000000-083",Out!B:AZ,column(t1),0)</f>
        <v>0</v>
      </c>
      <c r="V303">
        <f>vlookup("261-000000-083",Out!B:AZ,column(u1),0)</f>
        <v>0</v>
      </c>
      <c r="W303">
        <f>vlookup("261-000000-083",Out!B:AZ,column(v1),0)</f>
        <v>0</v>
      </c>
      <c r="X303">
        <f>vlookup("261-000000-083",Out!B:AZ,column(w1),0)</f>
        <v>0</v>
      </c>
      <c r="Y303">
        <f>vlookup("261-000000-083",Out!B:AZ,column(x1),0)</f>
        <v>0</v>
      </c>
      <c r="Z303">
        <f>vlookup("261-000000-083",Out!B:AZ,column(y1),0)</f>
        <v>0</v>
      </c>
      <c r="AA303">
        <f>vlookup("261-000000-083",Out!B:AZ,column(z1),0)</f>
        <v>0</v>
      </c>
      <c r="AB303">
        <f>vlookup("261-000000-083",Out!B:AZ,column(aa1),0)</f>
        <v>0</v>
      </c>
      <c r="AC303">
        <f>vlookup("261-000000-083",Out!B:AZ,column(ab1),0)</f>
        <v>0</v>
      </c>
      <c r="AD303">
        <f>vlookup("261-000000-083",Out!B:AZ,column(ac1),0)</f>
        <v>0</v>
      </c>
      <c r="AE303">
        <f>vlookup("261-000000-083",Out!B:AZ,column(ad1),0)</f>
        <v>0</v>
      </c>
      <c r="AF303">
        <f>vlookup("261-000000-083",Out!B:AZ,column(ae1),0)</f>
        <v>0</v>
      </c>
      <c r="AG303">
        <f>vlookup("261-000000-083",Out!B:AZ,column(af1),0)</f>
        <v>0</v>
      </c>
      <c r="AH303">
        <f>vlookup("261-000000-083",Out!B:AZ,column(ag1),0)</f>
        <v>0</v>
      </c>
      <c r="AI303">
        <f>vlookup("261-000000-083",Out!B:AZ,column(ah1),0)</f>
        <v>0</v>
      </c>
      <c r="AJ303">
        <f>vlookup("261-000000-083",Out!B:AZ,column(ai1),0)</f>
        <v>0</v>
      </c>
      <c r="AK303">
        <f>vlookup("261-000000-083",Out!B:AZ,column(aj1),0)</f>
        <v>0</v>
      </c>
      <c r="AL303">
        <f>vlookup("261-000000-083",Out!B:AZ,column(ak1),0)</f>
        <v>0</v>
      </c>
      <c r="AM303">
        <f>vlookup("261-000000-083",Out!B:AZ,column(al1),0)</f>
        <v>0</v>
      </c>
      <c r="AN303">
        <f>vlookup("261-000000-083",Out!B:AZ,column(am1),0)</f>
        <v>0</v>
      </c>
      <c r="AO303">
        <f>vlookup("261-000000-083",Out!B:AZ,column(an1),0)</f>
        <v>0</v>
      </c>
    </row>
    <row r="304" spans="1:41">
      <c r="H304" t="s">
        <v>16</v>
      </c>
      <c r="J304">
        <f>indirect(address(304,9))+indirect(address(302,10))-indirect(address(303,10))</f>
        <v>0</v>
      </c>
      <c r="K304">
        <f>indirect(address(304,10))+indirect(address(302,11))-indirect(address(303,11))</f>
        <v>0</v>
      </c>
      <c r="L304">
        <f>indirect(address(304,11))+indirect(address(302,12))-indirect(address(303,12))</f>
        <v>0</v>
      </c>
      <c r="M304">
        <f>indirect(address(304,12))+indirect(address(302,13))-indirect(address(303,13))</f>
        <v>0</v>
      </c>
      <c r="N304">
        <f>indirect(address(304,13))+indirect(address(302,14))-indirect(address(303,14))</f>
        <v>0</v>
      </c>
      <c r="O304">
        <f>indirect(address(304,14))+indirect(address(302,15))-indirect(address(303,15))</f>
        <v>0</v>
      </c>
      <c r="P304">
        <f>indirect(address(304,15))+indirect(address(302,16))-indirect(address(303,16))</f>
        <v>0</v>
      </c>
      <c r="Q304">
        <f>indirect(address(304,16))+indirect(address(302,17))-indirect(address(303,17))</f>
        <v>0</v>
      </c>
      <c r="R304">
        <f>indirect(address(304,17))+indirect(address(302,18))-indirect(address(303,18))</f>
        <v>0</v>
      </c>
      <c r="S304">
        <f>indirect(address(304,18))+indirect(address(302,19))-indirect(address(303,19))</f>
        <v>0</v>
      </c>
      <c r="T304">
        <f>indirect(address(304,19))+indirect(address(302,20))-indirect(address(303,20))</f>
        <v>0</v>
      </c>
      <c r="U304">
        <f>indirect(address(304,20))+indirect(address(302,21))-indirect(address(303,21))</f>
        <v>0</v>
      </c>
      <c r="V304">
        <f>indirect(address(304,21))+indirect(address(302,22))-indirect(address(303,22))</f>
        <v>0</v>
      </c>
      <c r="W304">
        <f>indirect(address(304,22))+indirect(address(302,23))-indirect(address(303,23))</f>
        <v>0</v>
      </c>
      <c r="X304">
        <f>indirect(address(304,23))+indirect(address(302,24))-indirect(address(303,24))</f>
        <v>0</v>
      </c>
      <c r="Y304">
        <f>indirect(address(304,24))+indirect(address(302,25))-indirect(address(303,25))</f>
        <v>0</v>
      </c>
      <c r="Z304">
        <f>indirect(address(304,25))+indirect(address(302,26))-indirect(address(303,26))</f>
        <v>0</v>
      </c>
      <c r="AA304">
        <f>indirect(address(304,26))+indirect(address(302,27))-indirect(address(303,27))</f>
        <v>0</v>
      </c>
      <c r="AB304">
        <f>indirect(address(304,27))+indirect(address(302,28))-indirect(address(303,28))</f>
        <v>0</v>
      </c>
      <c r="AC304">
        <f>indirect(address(304,28))+indirect(address(302,29))-indirect(address(303,29))</f>
        <v>0</v>
      </c>
      <c r="AD304">
        <f>indirect(address(304,29))+indirect(address(302,30))-indirect(address(303,30))</f>
        <v>0</v>
      </c>
      <c r="AE304">
        <f>indirect(address(304,30))+indirect(address(302,31))-indirect(address(303,31))</f>
        <v>0</v>
      </c>
      <c r="AF304">
        <f>indirect(address(304,31))+indirect(address(302,32))-indirect(address(303,32))</f>
        <v>0</v>
      </c>
      <c r="AG304">
        <f>indirect(address(304,32))+indirect(address(302,33))-indirect(address(303,33))</f>
        <v>0</v>
      </c>
      <c r="AH304">
        <f>indirect(address(304,33))+indirect(address(302,34))-indirect(address(303,34))</f>
        <v>0</v>
      </c>
      <c r="AI304">
        <f>indirect(address(304,34))+indirect(address(302,35))-indirect(address(303,35))</f>
        <v>0</v>
      </c>
      <c r="AJ304">
        <f>indirect(address(304,35))+indirect(address(302,36))-indirect(address(303,36))</f>
        <v>0</v>
      </c>
      <c r="AK304">
        <f>indirect(address(304,36))+indirect(address(302,37))-indirect(address(303,37))</f>
        <v>0</v>
      </c>
      <c r="AL304">
        <f>indirect(address(304,37))+indirect(address(302,38))-indirect(address(303,38))</f>
        <v>0</v>
      </c>
      <c r="AM304">
        <f>indirect(address(304,38))+indirect(address(302,39))-indirect(address(303,39))</f>
        <v>0</v>
      </c>
      <c r="AN304">
        <f>indirect(address(304,39))+indirect(address(302,40))-indirect(address(303,40))</f>
        <v>0</v>
      </c>
      <c r="AO304">
        <f>indirect(address(304,40))</f>
        <v>0</v>
      </c>
    </row>
    <row r="305" spans="1:41">
      <c r="A305" t="s">
        <v>10</v>
      </c>
      <c r="B305" t="s">
        <v>313</v>
      </c>
      <c r="C305" t="s">
        <v>314</v>
      </c>
      <c r="E305">
        <v>1</v>
      </c>
      <c r="F305" t="s">
        <v>13</v>
      </c>
      <c r="I305" t="s">
        <v>14</v>
      </c>
      <c r="AO305">
        <f>sum(j305:an305)</f>
        <v>0</v>
      </c>
    </row>
    <row r="306" spans="1:41">
      <c r="I306" t="s">
        <v>15</v>
      </c>
      <c r="J306">
        <f>vlookup("934-024000-200",Out!B:AZ,column(i1),0)</f>
        <v>0</v>
      </c>
      <c r="K306">
        <f>vlookup("934-024000-200",Out!B:AZ,column(j1),0)</f>
        <v>0</v>
      </c>
      <c r="L306">
        <f>vlookup("934-024000-200",Out!B:AZ,column(k1),0)</f>
        <v>0</v>
      </c>
      <c r="M306">
        <f>vlookup("934-024000-200",Out!B:AZ,column(l1),0)</f>
        <v>0</v>
      </c>
      <c r="N306">
        <f>vlookup("934-024000-200",Out!B:AZ,column(m1),0)</f>
        <v>0</v>
      </c>
      <c r="O306">
        <f>vlookup("934-024000-200",Out!B:AZ,column(n1),0)</f>
        <v>0</v>
      </c>
      <c r="P306">
        <f>vlookup("934-024000-200",Out!B:AZ,column(o1),0)</f>
        <v>0</v>
      </c>
      <c r="Q306">
        <f>vlookup("934-024000-200",Out!B:AZ,column(p1),0)</f>
        <v>0</v>
      </c>
      <c r="R306">
        <f>vlookup("934-024000-200",Out!B:AZ,column(q1),0)</f>
        <v>0</v>
      </c>
      <c r="S306">
        <f>vlookup("934-024000-200",Out!B:AZ,column(r1),0)</f>
        <v>0</v>
      </c>
      <c r="T306">
        <f>vlookup("934-024000-200",Out!B:AZ,column(s1),0)</f>
        <v>0</v>
      </c>
      <c r="U306">
        <f>vlookup("934-024000-200",Out!B:AZ,column(t1),0)</f>
        <v>0</v>
      </c>
      <c r="V306">
        <f>vlookup("934-024000-200",Out!B:AZ,column(u1),0)</f>
        <v>0</v>
      </c>
      <c r="W306">
        <f>vlookup("934-024000-200",Out!B:AZ,column(v1),0)</f>
        <v>0</v>
      </c>
      <c r="X306">
        <f>vlookup("934-024000-200",Out!B:AZ,column(w1),0)</f>
        <v>0</v>
      </c>
      <c r="Y306">
        <f>vlookup("934-024000-200",Out!B:AZ,column(x1),0)</f>
        <v>0</v>
      </c>
      <c r="Z306">
        <f>vlookup("934-024000-200",Out!B:AZ,column(y1),0)</f>
        <v>0</v>
      </c>
      <c r="AA306">
        <f>vlookup("934-024000-200",Out!B:AZ,column(z1),0)</f>
        <v>0</v>
      </c>
      <c r="AB306">
        <f>vlookup("934-024000-200",Out!B:AZ,column(aa1),0)</f>
        <v>0</v>
      </c>
      <c r="AC306">
        <f>vlookup("934-024000-200",Out!B:AZ,column(ab1),0)</f>
        <v>0</v>
      </c>
      <c r="AD306">
        <f>vlookup("934-024000-200",Out!B:AZ,column(ac1),0)</f>
        <v>0</v>
      </c>
      <c r="AE306">
        <f>vlookup("934-024000-200",Out!B:AZ,column(ad1),0)</f>
        <v>0</v>
      </c>
      <c r="AF306">
        <f>vlookup("934-024000-200",Out!B:AZ,column(ae1),0)</f>
        <v>0</v>
      </c>
      <c r="AG306">
        <f>vlookup("934-024000-200",Out!B:AZ,column(af1),0)</f>
        <v>0</v>
      </c>
      <c r="AH306">
        <f>vlookup("934-024000-200",Out!B:AZ,column(ag1),0)</f>
        <v>0</v>
      </c>
      <c r="AI306">
        <f>vlookup("934-024000-200",Out!B:AZ,column(ah1),0)</f>
        <v>0</v>
      </c>
      <c r="AJ306">
        <f>vlookup("934-024000-200",Out!B:AZ,column(ai1),0)</f>
        <v>0</v>
      </c>
      <c r="AK306">
        <f>vlookup("934-024000-200",Out!B:AZ,column(aj1),0)</f>
        <v>0</v>
      </c>
      <c r="AL306">
        <f>vlookup("934-024000-200",Out!B:AZ,column(ak1),0)</f>
        <v>0</v>
      </c>
      <c r="AM306">
        <f>vlookup("934-024000-200",Out!B:AZ,column(al1),0)</f>
        <v>0</v>
      </c>
      <c r="AN306">
        <f>vlookup("934-024000-200",Out!B:AZ,column(am1),0)</f>
        <v>0</v>
      </c>
      <c r="AO306">
        <f>vlookup("934-024000-200",Out!B:AZ,column(an1),0)</f>
        <v>0</v>
      </c>
    </row>
    <row r="307" spans="1:41">
      <c r="H307" t="s">
        <v>16</v>
      </c>
      <c r="J307">
        <f>indirect(address(307,9))+indirect(address(305,10))-indirect(address(306,10))</f>
        <v>0</v>
      </c>
      <c r="K307">
        <f>indirect(address(307,10))+indirect(address(305,11))-indirect(address(306,11))</f>
        <v>0</v>
      </c>
      <c r="L307">
        <f>indirect(address(307,11))+indirect(address(305,12))-indirect(address(306,12))</f>
        <v>0</v>
      </c>
      <c r="M307">
        <f>indirect(address(307,12))+indirect(address(305,13))-indirect(address(306,13))</f>
        <v>0</v>
      </c>
      <c r="N307">
        <f>indirect(address(307,13))+indirect(address(305,14))-indirect(address(306,14))</f>
        <v>0</v>
      </c>
      <c r="O307">
        <f>indirect(address(307,14))+indirect(address(305,15))-indirect(address(306,15))</f>
        <v>0</v>
      </c>
      <c r="P307">
        <f>indirect(address(307,15))+indirect(address(305,16))-indirect(address(306,16))</f>
        <v>0</v>
      </c>
      <c r="Q307">
        <f>indirect(address(307,16))+indirect(address(305,17))-indirect(address(306,17))</f>
        <v>0</v>
      </c>
      <c r="R307">
        <f>indirect(address(307,17))+indirect(address(305,18))-indirect(address(306,18))</f>
        <v>0</v>
      </c>
      <c r="S307">
        <f>indirect(address(307,18))+indirect(address(305,19))-indirect(address(306,19))</f>
        <v>0</v>
      </c>
      <c r="T307">
        <f>indirect(address(307,19))+indirect(address(305,20))-indirect(address(306,20))</f>
        <v>0</v>
      </c>
      <c r="U307">
        <f>indirect(address(307,20))+indirect(address(305,21))-indirect(address(306,21))</f>
        <v>0</v>
      </c>
      <c r="V307">
        <f>indirect(address(307,21))+indirect(address(305,22))-indirect(address(306,22))</f>
        <v>0</v>
      </c>
      <c r="W307">
        <f>indirect(address(307,22))+indirect(address(305,23))-indirect(address(306,23))</f>
        <v>0</v>
      </c>
      <c r="X307">
        <f>indirect(address(307,23))+indirect(address(305,24))-indirect(address(306,24))</f>
        <v>0</v>
      </c>
      <c r="Y307">
        <f>indirect(address(307,24))+indirect(address(305,25))-indirect(address(306,25))</f>
        <v>0</v>
      </c>
      <c r="Z307">
        <f>indirect(address(307,25))+indirect(address(305,26))-indirect(address(306,26))</f>
        <v>0</v>
      </c>
      <c r="AA307">
        <f>indirect(address(307,26))+indirect(address(305,27))-indirect(address(306,27))</f>
        <v>0</v>
      </c>
      <c r="AB307">
        <f>indirect(address(307,27))+indirect(address(305,28))-indirect(address(306,28))</f>
        <v>0</v>
      </c>
      <c r="AC307">
        <f>indirect(address(307,28))+indirect(address(305,29))-indirect(address(306,29))</f>
        <v>0</v>
      </c>
      <c r="AD307">
        <f>indirect(address(307,29))+indirect(address(305,30))-indirect(address(306,30))</f>
        <v>0</v>
      </c>
      <c r="AE307">
        <f>indirect(address(307,30))+indirect(address(305,31))-indirect(address(306,31))</f>
        <v>0</v>
      </c>
      <c r="AF307">
        <f>indirect(address(307,31))+indirect(address(305,32))-indirect(address(306,32))</f>
        <v>0</v>
      </c>
      <c r="AG307">
        <f>indirect(address(307,32))+indirect(address(305,33))-indirect(address(306,33))</f>
        <v>0</v>
      </c>
      <c r="AH307">
        <f>indirect(address(307,33))+indirect(address(305,34))-indirect(address(306,34))</f>
        <v>0</v>
      </c>
      <c r="AI307">
        <f>indirect(address(307,34))+indirect(address(305,35))-indirect(address(306,35))</f>
        <v>0</v>
      </c>
      <c r="AJ307">
        <f>indirect(address(307,35))+indirect(address(305,36))-indirect(address(306,36))</f>
        <v>0</v>
      </c>
      <c r="AK307">
        <f>indirect(address(307,36))+indirect(address(305,37))-indirect(address(306,37))</f>
        <v>0</v>
      </c>
      <c r="AL307">
        <f>indirect(address(307,37))+indirect(address(305,38))-indirect(address(306,38))</f>
        <v>0</v>
      </c>
      <c r="AM307">
        <f>indirect(address(307,38))+indirect(address(305,39))-indirect(address(306,39))</f>
        <v>0</v>
      </c>
      <c r="AN307">
        <f>indirect(address(307,39))+indirect(address(305,40))-indirect(address(306,40))</f>
        <v>0</v>
      </c>
      <c r="AO307">
        <f>indirect(address(307,40))</f>
        <v>0</v>
      </c>
    </row>
    <row r="308" spans="1:41">
      <c r="A308" t="s">
        <v>10</v>
      </c>
      <c r="B308" t="s">
        <v>315</v>
      </c>
      <c r="C308" t="s">
        <v>314</v>
      </c>
      <c r="E308">
        <v>1</v>
      </c>
      <c r="F308" t="s">
        <v>13</v>
      </c>
      <c r="I308" t="s">
        <v>14</v>
      </c>
      <c r="AO308">
        <f>sum(j308:an308)</f>
        <v>0</v>
      </c>
    </row>
    <row r="309" spans="1:41">
      <c r="I309" t="s">
        <v>15</v>
      </c>
      <c r="J309">
        <f>vlookup("934-024000-100",Out!B:AZ,column(i1),0)</f>
        <v>0</v>
      </c>
      <c r="K309">
        <f>vlookup("934-024000-100",Out!B:AZ,column(j1),0)</f>
        <v>0</v>
      </c>
      <c r="L309">
        <f>vlookup("934-024000-100",Out!B:AZ,column(k1),0)</f>
        <v>0</v>
      </c>
      <c r="M309">
        <f>vlookup("934-024000-100",Out!B:AZ,column(l1),0)</f>
        <v>0</v>
      </c>
      <c r="N309">
        <f>vlookup("934-024000-100",Out!B:AZ,column(m1),0)</f>
        <v>0</v>
      </c>
      <c r="O309">
        <f>vlookup("934-024000-100",Out!B:AZ,column(n1),0)</f>
        <v>0</v>
      </c>
      <c r="P309">
        <f>vlookup("934-024000-100",Out!B:AZ,column(o1),0)</f>
        <v>0</v>
      </c>
      <c r="Q309">
        <f>vlookup("934-024000-100",Out!B:AZ,column(p1),0)</f>
        <v>0</v>
      </c>
      <c r="R309">
        <f>vlookup("934-024000-100",Out!B:AZ,column(q1),0)</f>
        <v>0</v>
      </c>
      <c r="S309">
        <f>vlookup("934-024000-100",Out!B:AZ,column(r1),0)</f>
        <v>0</v>
      </c>
      <c r="T309">
        <f>vlookup("934-024000-100",Out!B:AZ,column(s1),0)</f>
        <v>0</v>
      </c>
      <c r="U309">
        <f>vlookup("934-024000-100",Out!B:AZ,column(t1),0)</f>
        <v>0</v>
      </c>
      <c r="V309">
        <f>vlookup("934-024000-100",Out!B:AZ,column(u1),0)</f>
        <v>0</v>
      </c>
      <c r="W309">
        <f>vlookup("934-024000-100",Out!B:AZ,column(v1),0)</f>
        <v>0</v>
      </c>
      <c r="X309">
        <f>vlookup("934-024000-100",Out!B:AZ,column(w1),0)</f>
        <v>0</v>
      </c>
      <c r="Y309">
        <f>vlookup("934-024000-100",Out!B:AZ,column(x1),0)</f>
        <v>0</v>
      </c>
      <c r="Z309">
        <f>vlookup("934-024000-100",Out!B:AZ,column(y1),0)</f>
        <v>0</v>
      </c>
      <c r="AA309">
        <f>vlookup("934-024000-100",Out!B:AZ,column(z1),0)</f>
        <v>0</v>
      </c>
      <c r="AB309">
        <f>vlookup("934-024000-100",Out!B:AZ,column(aa1),0)</f>
        <v>0</v>
      </c>
      <c r="AC309">
        <f>vlookup("934-024000-100",Out!B:AZ,column(ab1),0)</f>
        <v>0</v>
      </c>
      <c r="AD309">
        <f>vlookup("934-024000-100",Out!B:AZ,column(ac1),0)</f>
        <v>0</v>
      </c>
      <c r="AE309">
        <f>vlookup("934-024000-100",Out!B:AZ,column(ad1),0)</f>
        <v>0</v>
      </c>
      <c r="AF309">
        <f>vlookup("934-024000-100",Out!B:AZ,column(ae1),0)</f>
        <v>0</v>
      </c>
      <c r="AG309">
        <f>vlookup("934-024000-100",Out!B:AZ,column(af1),0)</f>
        <v>0</v>
      </c>
      <c r="AH309">
        <f>vlookup("934-024000-100",Out!B:AZ,column(ag1),0)</f>
        <v>0</v>
      </c>
      <c r="AI309">
        <f>vlookup("934-024000-100",Out!B:AZ,column(ah1),0)</f>
        <v>0</v>
      </c>
      <c r="AJ309">
        <f>vlookup("934-024000-100",Out!B:AZ,column(ai1),0)</f>
        <v>0</v>
      </c>
      <c r="AK309">
        <f>vlookup("934-024000-100",Out!B:AZ,column(aj1),0)</f>
        <v>0</v>
      </c>
      <c r="AL309">
        <f>vlookup("934-024000-100",Out!B:AZ,column(ak1),0)</f>
        <v>0</v>
      </c>
      <c r="AM309">
        <f>vlookup("934-024000-100",Out!B:AZ,column(al1),0)</f>
        <v>0</v>
      </c>
      <c r="AN309">
        <f>vlookup("934-024000-100",Out!B:AZ,column(am1),0)</f>
        <v>0</v>
      </c>
      <c r="AO309">
        <f>vlookup("934-024000-100",Out!B:AZ,column(an1),0)</f>
        <v>0</v>
      </c>
    </row>
    <row r="310" spans="1:41">
      <c r="H310" t="s">
        <v>16</v>
      </c>
      <c r="J310">
        <f>indirect(address(310,9))+indirect(address(308,10))-indirect(address(309,10))</f>
        <v>0</v>
      </c>
      <c r="K310">
        <f>indirect(address(310,10))+indirect(address(308,11))-indirect(address(309,11))</f>
        <v>0</v>
      </c>
      <c r="L310">
        <f>indirect(address(310,11))+indirect(address(308,12))-indirect(address(309,12))</f>
        <v>0</v>
      </c>
      <c r="M310">
        <f>indirect(address(310,12))+indirect(address(308,13))-indirect(address(309,13))</f>
        <v>0</v>
      </c>
      <c r="N310">
        <f>indirect(address(310,13))+indirect(address(308,14))-indirect(address(309,14))</f>
        <v>0</v>
      </c>
      <c r="O310">
        <f>indirect(address(310,14))+indirect(address(308,15))-indirect(address(309,15))</f>
        <v>0</v>
      </c>
      <c r="P310">
        <f>indirect(address(310,15))+indirect(address(308,16))-indirect(address(309,16))</f>
        <v>0</v>
      </c>
      <c r="Q310">
        <f>indirect(address(310,16))+indirect(address(308,17))-indirect(address(309,17))</f>
        <v>0</v>
      </c>
      <c r="R310">
        <f>indirect(address(310,17))+indirect(address(308,18))-indirect(address(309,18))</f>
        <v>0</v>
      </c>
      <c r="S310">
        <f>indirect(address(310,18))+indirect(address(308,19))-indirect(address(309,19))</f>
        <v>0</v>
      </c>
      <c r="T310">
        <f>indirect(address(310,19))+indirect(address(308,20))-indirect(address(309,20))</f>
        <v>0</v>
      </c>
      <c r="U310">
        <f>indirect(address(310,20))+indirect(address(308,21))-indirect(address(309,21))</f>
        <v>0</v>
      </c>
      <c r="V310">
        <f>indirect(address(310,21))+indirect(address(308,22))-indirect(address(309,22))</f>
        <v>0</v>
      </c>
      <c r="W310">
        <f>indirect(address(310,22))+indirect(address(308,23))-indirect(address(309,23))</f>
        <v>0</v>
      </c>
      <c r="X310">
        <f>indirect(address(310,23))+indirect(address(308,24))-indirect(address(309,24))</f>
        <v>0</v>
      </c>
      <c r="Y310">
        <f>indirect(address(310,24))+indirect(address(308,25))-indirect(address(309,25))</f>
        <v>0</v>
      </c>
      <c r="Z310">
        <f>indirect(address(310,25))+indirect(address(308,26))-indirect(address(309,26))</f>
        <v>0</v>
      </c>
      <c r="AA310">
        <f>indirect(address(310,26))+indirect(address(308,27))-indirect(address(309,27))</f>
        <v>0</v>
      </c>
      <c r="AB310">
        <f>indirect(address(310,27))+indirect(address(308,28))-indirect(address(309,28))</f>
        <v>0</v>
      </c>
      <c r="AC310">
        <f>indirect(address(310,28))+indirect(address(308,29))-indirect(address(309,29))</f>
        <v>0</v>
      </c>
      <c r="AD310">
        <f>indirect(address(310,29))+indirect(address(308,30))-indirect(address(309,30))</f>
        <v>0</v>
      </c>
      <c r="AE310">
        <f>indirect(address(310,30))+indirect(address(308,31))-indirect(address(309,31))</f>
        <v>0</v>
      </c>
      <c r="AF310">
        <f>indirect(address(310,31))+indirect(address(308,32))-indirect(address(309,32))</f>
        <v>0</v>
      </c>
      <c r="AG310">
        <f>indirect(address(310,32))+indirect(address(308,33))-indirect(address(309,33))</f>
        <v>0</v>
      </c>
      <c r="AH310">
        <f>indirect(address(310,33))+indirect(address(308,34))-indirect(address(309,34))</f>
        <v>0</v>
      </c>
      <c r="AI310">
        <f>indirect(address(310,34))+indirect(address(308,35))-indirect(address(309,35))</f>
        <v>0</v>
      </c>
      <c r="AJ310">
        <f>indirect(address(310,35))+indirect(address(308,36))-indirect(address(309,36))</f>
        <v>0</v>
      </c>
      <c r="AK310">
        <f>indirect(address(310,36))+indirect(address(308,37))-indirect(address(309,37))</f>
        <v>0</v>
      </c>
      <c r="AL310">
        <f>indirect(address(310,37))+indirect(address(308,38))-indirect(address(309,38))</f>
        <v>0</v>
      </c>
      <c r="AM310">
        <f>indirect(address(310,38))+indirect(address(308,39))-indirect(address(309,39))</f>
        <v>0</v>
      </c>
      <c r="AN310">
        <f>indirect(address(310,39))+indirect(address(308,40))-indirect(address(309,40))</f>
        <v>0</v>
      </c>
      <c r="AO310">
        <f>indirect(address(310,40))</f>
        <v>0</v>
      </c>
    </row>
    <row r="311" spans="1:41">
      <c r="A311" t="s">
        <v>10</v>
      </c>
      <c r="B311" t="s">
        <v>316</v>
      </c>
      <c r="C311" t="s">
        <v>317</v>
      </c>
      <c r="E311">
        <v>1</v>
      </c>
      <c r="F311" t="s">
        <v>13</v>
      </c>
      <c r="I311" t="s">
        <v>14</v>
      </c>
      <c r="AO311">
        <f>sum(j311:an311)</f>
        <v>0</v>
      </c>
    </row>
    <row r="312" spans="1:41">
      <c r="I312" t="s">
        <v>15</v>
      </c>
      <c r="J312">
        <f>vlookup("934-012000-200",Out!B:AZ,column(i1),0)</f>
        <v>0</v>
      </c>
      <c r="K312">
        <f>vlookup("934-012000-200",Out!B:AZ,column(j1),0)</f>
        <v>0</v>
      </c>
      <c r="L312">
        <f>vlookup("934-012000-200",Out!B:AZ,column(k1),0)</f>
        <v>0</v>
      </c>
      <c r="M312">
        <f>vlookup("934-012000-200",Out!B:AZ,column(l1),0)</f>
        <v>0</v>
      </c>
      <c r="N312">
        <f>vlookup("934-012000-200",Out!B:AZ,column(m1),0)</f>
        <v>0</v>
      </c>
      <c r="O312">
        <f>vlookup("934-012000-200",Out!B:AZ,column(n1),0)</f>
        <v>0</v>
      </c>
      <c r="P312">
        <f>vlookup("934-012000-200",Out!B:AZ,column(o1),0)</f>
        <v>0</v>
      </c>
      <c r="Q312">
        <f>vlookup("934-012000-200",Out!B:AZ,column(p1),0)</f>
        <v>0</v>
      </c>
      <c r="R312">
        <f>vlookup("934-012000-200",Out!B:AZ,column(q1),0)</f>
        <v>0</v>
      </c>
      <c r="S312">
        <f>vlookup("934-012000-200",Out!B:AZ,column(r1),0)</f>
        <v>0</v>
      </c>
      <c r="T312">
        <f>vlookup("934-012000-200",Out!B:AZ,column(s1),0)</f>
        <v>0</v>
      </c>
      <c r="U312">
        <f>vlookup("934-012000-200",Out!B:AZ,column(t1),0)</f>
        <v>0</v>
      </c>
      <c r="V312">
        <f>vlookup("934-012000-200",Out!B:AZ,column(u1),0)</f>
        <v>0</v>
      </c>
      <c r="W312">
        <f>vlookup("934-012000-200",Out!B:AZ,column(v1),0)</f>
        <v>0</v>
      </c>
      <c r="X312">
        <f>vlookup("934-012000-200",Out!B:AZ,column(w1),0)</f>
        <v>0</v>
      </c>
      <c r="Y312">
        <f>vlookup("934-012000-200",Out!B:AZ,column(x1),0)</f>
        <v>0</v>
      </c>
      <c r="Z312">
        <f>vlookup("934-012000-200",Out!B:AZ,column(y1),0)</f>
        <v>0</v>
      </c>
      <c r="AA312">
        <f>vlookup("934-012000-200",Out!B:AZ,column(z1),0)</f>
        <v>0</v>
      </c>
      <c r="AB312">
        <f>vlookup("934-012000-200",Out!B:AZ,column(aa1),0)</f>
        <v>0</v>
      </c>
      <c r="AC312">
        <f>vlookup("934-012000-200",Out!B:AZ,column(ab1),0)</f>
        <v>0</v>
      </c>
      <c r="AD312">
        <f>vlookup("934-012000-200",Out!B:AZ,column(ac1),0)</f>
        <v>0</v>
      </c>
      <c r="AE312">
        <f>vlookup("934-012000-200",Out!B:AZ,column(ad1),0)</f>
        <v>0</v>
      </c>
      <c r="AF312">
        <f>vlookup("934-012000-200",Out!B:AZ,column(ae1),0)</f>
        <v>0</v>
      </c>
      <c r="AG312">
        <f>vlookup("934-012000-200",Out!B:AZ,column(af1),0)</f>
        <v>0</v>
      </c>
      <c r="AH312">
        <f>vlookup("934-012000-200",Out!B:AZ,column(ag1),0)</f>
        <v>0</v>
      </c>
      <c r="AI312">
        <f>vlookup("934-012000-200",Out!B:AZ,column(ah1),0)</f>
        <v>0</v>
      </c>
      <c r="AJ312">
        <f>vlookup("934-012000-200",Out!B:AZ,column(ai1),0)</f>
        <v>0</v>
      </c>
      <c r="AK312">
        <f>vlookup("934-012000-200",Out!B:AZ,column(aj1),0)</f>
        <v>0</v>
      </c>
      <c r="AL312">
        <f>vlookup("934-012000-200",Out!B:AZ,column(ak1),0)</f>
        <v>0</v>
      </c>
      <c r="AM312">
        <f>vlookup("934-012000-200",Out!B:AZ,column(al1),0)</f>
        <v>0</v>
      </c>
      <c r="AN312">
        <f>vlookup("934-012000-200",Out!B:AZ,column(am1),0)</f>
        <v>0</v>
      </c>
      <c r="AO312">
        <f>vlookup("934-012000-200",Out!B:AZ,column(an1),0)</f>
        <v>0</v>
      </c>
    </row>
    <row r="313" spans="1:41">
      <c r="H313" t="s">
        <v>16</v>
      </c>
      <c r="J313">
        <f>indirect(address(313,9))+indirect(address(311,10))-indirect(address(312,10))</f>
        <v>0</v>
      </c>
      <c r="K313">
        <f>indirect(address(313,10))+indirect(address(311,11))-indirect(address(312,11))</f>
        <v>0</v>
      </c>
      <c r="L313">
        <f>indirect(address(313,11))+indirect(address(311,12))-indirect(address(312,12))</f>
        <v>0</v>
      </c>
      <c r="M313">
        <f>indirect(address(313,12))+indirect(address(311,13))-indirect(address(312,13))</f>
        <v>0</v>
      </c>
      <c r="N313">
        <f>indirect(address(313,13))+indirect(address(311,14))-indirect(address(312,14))</f>
        <v>0</v>
      </c>
      <c r="O313">
        <f>indirect(address(313,14))+indirect(address(311,15))-indirect(address(312,15))</f>
        <v>0</v>
      </c>
      <c r="P313">
        <f>indirect(address(313,15))+indirect(address(311,16))-indirect(address(312,16))</f>
        <v>0</v>
      </c>
      <c r="Q313">
        <f>indirect(address(313,16))+indirect(address(311,17))-indirect(address(312,17))</f>
        <v>0</v>
      </c>
      <c r="R313">
        <f>indirect(address(313,17))+indirect(address(311,18))-indirect(address(312,18))</f>
        <v>0</v>
      </c>
      <c r="S313">
        <f>indirect(address(313,18))+indirect(address(311,19))-indirect(address(312,19))</f>
        <v>0</v>
      </c>
      <c r="T313">
        <f>indirect(address(313,19))+indirect(address(311,20))-indirect(address(312,20))</f>
        <v>0</v>
      </c>
      <c r="U313">
        <f>indirect(address(313,20))+indirect(address(311,21))-indirect(address(312,21))</f>
        <v>0</v>
      </c>
      <c r="V313">
        <f>indirect(address(313,21))+indirect(address(311,22))-indirect(address(312,22))</f>
        <v>0</v>
      </c>
      <c r="W313">
        <f>indirect(address(313,22))+indirect(address(311,23))-indirect(address(312,23))</f>
        <v>0</v>
      </c>
      <c r="X313">
        <f>indirect(address(313,23))+indirect(address(311,24))-indirect(address(312,24))</f>
        <v>0</v>
      </c>
      <c r="Y313">
        <f>indirect(address(313,24))+indirect(address(311,25))-indirect(address(312,25))</f>
        <v>0</v>
      </c>
      <c r="Z313">
        <f>indirect(address(313,25))+indirect(address(311,26))-indirect(address(312,26))</f>
        <v>0</v>
      </c>
      <c r="AA313">
        <f>indirect(address(313,26))+indirect(address(311,27))-indirect(address(312,27))</f>
        <v>0</v>
      </c>
      <c r="AB313">
        <f>indirect(address(313,27))+indirect(address(311,28))-indirect(address(312,28))</f>
        <v>0</v>
      </c>
      <c r="AC313">
        <f>indirect(address(313,28))+indirect(address(311,29))-indirect(address(312,29))</f>
        <v>0</v>
      </c>
      <c r="AD313">
        <f>indirect(address(313,29))+indirect(address(311,30))-indirect(address(312,30))</f>
        <v>0</v>
      </c>
      <c r="AE313">
        <f>indirect(address(313,30))+indirect(address(311,31))-indirect(address(312,31))</f>
        <v>0</v>
      </c>
      <c r="AF313">
        <f>indirect(address(313,31))+indirect(address(311,32))-indirect(address(312,32))</f>
        <v>0</v>
      </c>
      <c r="AG313">
        <f>indirect(address(313,32))+indirect(address(311,33))-indirect(address(312,33))</f>
        <v>0</v>
      </c>
      <c r="AH313">
        <f>indirect(address(313,33))+indirect(address(311,34))-indirect(address(312,34))</f>
        <v>0</v>
      </c>
      <c r="AI313">
        <f>indirect(address(313,34))+indirect(address(311,35))-indirect(address(312,35))</f>
        <v>0</v>
      </c>
      <c r="AJ313">
        <f>indirect(address(313,35))+indirect(address(311,36))-indirect(address(312,36))</f>
        <v>0</v>
      </c>
      <c r="AK313">
        <f>indirect(address(313,36))+indirect(address(311,37))-indirect(address(312,37))</f>
        <v>0</v>
      </c>
      <c r="AL313">
        <f>indirect(address(313,37))+indirect(address(311,38))-indirect(address(312,38))</f>
        <v>0</v>
      </c>
      <c r="AM313">
        <f>indirect(address(313,38))+indirect(address(311,39))-indirect(address(312,39))</f>
        <v>0</v>
      </c>
      <c r="AN313">
        <f>indirect(address(313,39))+indirect(address(311,40))-indirect(address(312,40))</f>
        <v>0</v>
      </c>
      <c r="AO313">
        <f>indirect(address(313,40))</f>
        <v>0</v>
      </c>
    </row>
    <row r="314" spans="1:41">
      <c r="A314" t="s">
        <v>17</v>
      </c>
      <c r="B314" t="s">
        <v>318</v>
      </c>
      <c r="C314" t="s">
        <v>319</v>
      </c>
      <c r="E314">
        <v>1</v>
      </c>
      <c r="F314" t="s">
        <v>13</v>
      </c>
      <c r="I314" t="s">
        <v>15</v>
      </c>
      <c r="J314">
        <f>vlookup("934-012000-200",B:AZ,column(i1),0)*e314</f>
        <v>0</v>
      </c>
      <c r="K314">
        <f>vlookup("934-012000-200",B:AZ,column(j1),0)*e314</f>
        <v>0</v>
      </c>
      <c r="L314">
        <f>vlookup("934-012000-200",B:AZ,column(k1),0)*e314</f>
        <v>0</v>
      </c>
      <c r="M314">
        <f>vlookup("934-012000-200",B:AZ,column(l1),0)*e314</f>
        <v>0</v>
      </c>
      <c r="N314">
        <f>vlookup("934-012000-200",B:AZ,column(m1),0)*e314</f>
        <v>0</v>
      </c>
      <c r="O314">
        <f>vlookup("934-012000-200",B:AZ,column(n1),0)*e314</f>
        <v>0</v>
      </c>
      <c r="P314">
        <f>vlookup("934-012000-200",B:AZ,column(o1),0)*e314</f>
        <v>0</v>
      </c>
      <c r="Q314">
        <f>vlookup("934-012000-200",B:AZ,column(p1),0)*e314</f>
        <v>0</v>
      </c>
      <c r="R314">
        <f>vlookup("934-012000-200",B:AZ,column(q1),0)*e314</f>
        <v>0</v>
      </c>
      <c r="S314">
        <f>vlookup("934-012000-200",B:AZ,column(r1),0)*e314</f>
        <v>0</v>
      </c>
      <c r="T314">
        <f>vlookup("934-012000-200",B:AZ,column(s1),0)*e314</f>
        <v>0</v>
      </c>
      <c r="U314">
        <f>vlookup("934-012000-200",B:AZ,column(t1),0)*e314</f>
        <v>0</v>
      </c>
      <c r="V314">
        <f>vlookup("934-012000-200",B:AZ,column(u1),0)*e314</f>
        <v>0</v>
      </c>
      <c r="W314">
        <f>vlookup("934-012000-200",B:AZ,column(v1),0)*e314</f>
        <v>0</v>
      </c>
      <c r="X314">
        <f>vlookup("934-012000-200",B:AZ,column(w1),0)*e314</f>
        <v>0</v>
      </c>
      <c r="Y314">
        <f>vlookup("934-012000-200",B:AZ,column(x1),0)*e314</f>
        <v>0</v>
      </c>
      <c r="Z314">
        <f>vlookup("934-012000-200",B:AZ,column(y1),0)*e314</f>
        <v>0</v>
      </c>
      <c r="AA314">
        <f>vlookup("934-012000-200",B:AZ,column(z1),0)*e314</f>
        <v>0</v>
      </c>
      <c r="AB314">
        <f>vlookup("934-012000-200",B:AZ,column(aa1),0)*e314</f>
        <v>0</v>
      </c>
      <c r="AC314">
        <f>vlookup("934-012000-200",B:AZ,column(ab1),0)*e314</f>
        <v>0</v>
      </c>
      <c r="AD314">
        <f>vlookup("934-012000-200",B:AZ,column(ac1),0)*e314</f>
        <v>0</v>
      </c>
      <c r="AE314">
        <f>vlookup("934-012000-200",B:AZ,column(ad1),0)*e314</f>
        <v>0</v>
      </c>
      <c r="AF314">
        <f>vlookup("934-012000-200",B:AZ,column(ae1),0)*e314</f>
        <v>0</v>
      </c>
      <c r="AG314">
        <f>vlookup("934-012000-200",B:AZ,column(af1),0)*e314</f>
        <v>0</v>
      </c>
      <c r="AH314">
        <f>vlookup("934-012000-200",B:AZ,column(ag1),0)*e314</f>
        <v>0</v>
      </c>
      <c r="AI314">
        <f>vlookup("934-012000-200",B:AZ,column(ah1),0)*e314</f>
        <v>0</v>
      </c>
      <c r="AJ314">
        <f>vlookup("934-012000-200",B:AZ,column(ai1),0)*e314</f>
        <v>0</v>
      </c>
      <c r="AK314">
        <f>vlookup("934-012000-200",B:AZ,column(aj1),0)*e314</f>
        <v>0</v>
      </c>
      <c r="AL314">
        <f>vlookup("934-012000-200",B:AZ,column(ak1),0)*e314</f>
        <v>0</v>
      </c>
      <c r="AM314">
        <f>vlookup("934-012000-200",B:AZ,column(al1),0)*e314</f>
        <v>0</v>
      </c>
      <c r="AN314">
        <f>vlookup("934-012000-200",B:AZ,column(am1),0)*e314</f>
        <v>0</v>
      </c>
      <c r="AO314">
        <f>vlookup("934-012000-200",B:AZ,column(an1),0)*e314</f>
        <v>0</v>
      </c>
    </row>
    <row r="315" spans="1:41">
      <c r="A315" t="s">
        <v>17</v>
      </c>
      <c r="B315" t="s">
        <v>320</v>
      </c>
      <c r="C315" t="s">
        <v>321</v>
      </c>
      <c r="E315">
        <v>1</v>
      </c>
      <c r="F315" t="s">
        <v>13</v>
      </c>
      <c r="I315" t="s">
        <v>15</v>
      </c>
      <c r="J315">
        <f>vlookup("934-012000-200",B:AZ,column(i1),0)*e315</f>
        <v>0</v>
      </c>
      <c r="K315">
        <f>vlookup("934-012000-200",B:AZ,column(j1),0)*e315</f>
        <v>0</v>
      </c>
      <c r="L315">
        <f>vlookup("934-012000-200",B:AZ,column(k1),0)*e315</f>
        <v>0</v>
      </c>
      <c r="M315">
        <f>vlookup("934-012000-200",B:AZ,column(l1),0)*e315</f>
        <v>0</v>
      </c>
      <c r="N315">
        <f>vlookup("934-012000-200",B:AZ,column(m1),0)*e315</f>
        <v>0</v>
      </c>
      <c r="O315">
        <f>vlookup("934-012000-200",B:AZ,column(n1),0)*e315</f>
        <v>0</v>
      </c>
      <c r="P315">
        <f>vlookup("934-012000-200",B:AZ,column(o1),0)*e315</f>
        <v>0</v>
      </c>
      <c r="Q315">
        <f>vlookup("934-012000-200",B:AZ,column(p1),0)*e315</f>
        <v>0</v>
      </c>
      <c r="R315">
        <f>vlookup("934-012000-200",B:AZ,column(q1),0)*e315</f>
        <v>0</v>
      </c>
      <c r="S315">
        <f>vlookup("934-012000-200",B:AZ,column(r1),0)*e315</f>
        <v>0</v>
      </c>
      <c r="T315">
        <f>vlookup("934-012000-200",B:AZ,column(s1),0)*e315</f>
        <v>0</v>
      </c>
      <c r="U315">
        <f>vlookup("934-012000-200",B:AZ,column(t1),0)*e315</f>
        <v>0</v>
      </c>
      <c r="V315">
        <f>vlookup("934-012000-200",B:AZ,column(u1),0)*e315</f>
        <v>0</v>
      </c>
      <c r="W315">
        <f>vlookup("934-012000-200",B:AZ,column(v1),0)*e315</f>
        <v>0</v>
      </c>
      <c r="X315">
        <f>vlookup("934-012000-200",B:AZ,column(w1),0)*e315</f>
        <v>0</v>
      </c>
      <c r="Y315">
        <f>vlookup("934-012000-200",B:AZ,column(x1),0)*e315</f>
        <v>0</v>
      </c>
      <c r="Z315">
        <f>vlookup("934-012000-200",B:AZ,column(y1),0)*e315</f>
        <v>0</v>
      </c>
      <c r="AA315">
        <f>vlookup("934-012000-200",B:AZ,column(z1),0)*e315</f>
        <v>0</v>
      </c>
      <c r="AB315">
        <f>vlookup("934-012000-200",B:AZ,column(aa1),0)*e315</f>
        <v>0</v>
      </c>
      <c r="AC315">
        <f>vlookup("934-012000-200",B:AZ,column(ab1),0)*e315</f>
        <v>0</v>
      </c>
      <c r="AD315">
        <f>vlookup("934-012000-200",B:AZ,column(ac1),0)*e315</f>
        <v>0</v>
      </c>
      <c r="AE315">
        <f>vlookup("934-012000-200",B:AZ,column(ad1),0)*e315</f>
        <v>0</v>
      </c>
      <c r="AF315">
        <f>vlookup("934-012000-200",B:AZ,column(ae1),0)*e315</f>
        <v>0</v>
      </c>
      <c r="AG315">
        <f>vlookup("934-012000-200",B:AZ,column(af1),0)*e315</f>
        <v>0</v>
      </c>
      <c r="AH315">
        <f>vlookup("934-012000-200",B:AZ,column(ag1),0)*e315</f>
        <v>0</v>
      </c>
      <c r="AI315">
        <f>vlookup("934-012000-200",B:AZ,column(ah1),0)*e315</f>
        <v>0</v>
      </c>
      <c r="AJ315">
        <f>vlookup("934-012000-200",B:AZ,column(ai1),0)*e315</f>
        <v>0</v>
      </c>
      <c r="AK315">
        <f>vlookup("934-012000-200",B:AZ,column(aj1),0)*e315</f>
        <v>0</v>
      </c>
      <c r="AL315">
        <f>vlookup("934-012000-200",B:AZ,column(ak1),0)*e315</f>
        <v>0</v>
      </c>
      <c r="AM315">
        <f>vlookup("934-012000-200",B:AZ,column(al1),0)*e315</f>
        <v>0</v>
      </c>
      <c r="AN315">
        <f>vlookup("934-012000-200",B:AZ,column(am1),0)*e315</f>
        <v>0</v>
      </c>
      <c r="AO315">
        <f>vlookup("934-012000-200",B:AZ,column(an1),0)*e315</f>
        <v>0</v>
      </c>
    </row>
    <row r="316" spans="1:41">
      <c r="A316" t="s">
        <v>17</v>
      </c>
      <c r="B316" t="s">
        <v>322</v>
      </c>
      <c r="C316" t="s">
        <v>323</v>
      </c>
      <c r="E316">
        <v>2</v>
      </c>
      <c r="F316" t="s">
        <v>13</v>
      </c>
      <c r="I316" t="s">
        <v>15</v>
      </c>
      <c r="J316">
        <f>vlookup("934-012000-200",B:AZ,column(i1),0)*e316</f>
        <v>0</v>
      </c>
      <c r="K316">
        <f>vlookup("934-012000-200",B:AZ,column(j1),0)*e316</f>
        <v>0</v>
      </c>
      <c r="L316">
        <f>vlookup("934-012000-200",B:AZ,column(k1),0)*e316</f>
        <v>0</v>
      </c>
      <c r="M316">
        <f>vlookup("934-012000-200",B:AZ,column(l1),0)*e316</f>
        <v>0</v>
      </c>
      <c r="N316">
        <f>vlookup("934-012000-200",B:AZ,column(m1),0)*e316</f>
        <v>0</v>
      </c>
      <c r="O316">
        <f>vlookup("934-012000-200",B:AZ,column(n1),0)*e316</f>
        <v>0</v>
      </c>
      <c r="P316">
        <f>vlookup("934-012000-200",B:AZ,column(o1),0)*e316</f>
        <v>0</v>
      </c>
      <c r="Q316">
        <f>vlookup("934-012000-200",B:AZ,column(p1),0)*e316</f>
        <v>0</v>
      </c>
      <c r="R316">
        <f>vlookup("934-012000-200",B:AZ,column(q1),0)*e316</f>
        <v>0</v>
      </c>
      <c r="S316">
        <f>vlookup("934-012000-200",B:AZ,column(r1),0)*e316</f>
        <v>0</v>
      </c>
      <c r="T316">
        <f>vlookup("934-012000-200",B:AZ,column(s1),0)*e316</f>
        <v>0</v>
      </c>
      <c r="U316">
        <f>vlookup("934-012000-200",B:AZ,column(t1),0)*e316</f>
        <v>0</v>
      </c>
      <c r="V316">
        <f>vlookup("934-012000-200",B:AZ,column(u1),0)*e316</f>
        <v>0</v>
      </c>
      <c r="W316">
        <f>vlookup("934-012000-200",B:AZ,column(v1),0)*e316</f>
        <v>0</v>
      </c>
      <c r="X316">
        <f>vlookup("934-012000-200",B:AZ,column(w1),0)*e316</f>
        <v>0</v>
      </c>
      <c r="Y316">
        <f>vlookup("934-012000-200",B:AZ,column(x1),0)*e316</f>
        <v>0</v>
      </c>
      <c r="Z316">
        <f>vlookup("934-012000-200",B:AZ,column(y1),0)*e316</f>
        <v>0</v>
      </c>
      <c r="AA316">
        <f>vlookup("934-012000-200",B:AZ,column(z1),0)*e316</f>
        <v>0</v>
      </c>
      <c r="AB316">
        <f>vlookup("934-012000-200",B:AZ,column(aa1),0)*e316</f>
        <v>0</v>
      </c>
      <c r="AC316">
        <f>vlookup("934-012000-200",B:AZ,column(ab1),0)*e316</f>
        <v>0</v>
      </c>
      <c r="AD316">
        <f>vlookup("934-012000-200",B:AZ,column(ac1),0)*e316</f>
        <v>0</v>
      </c>
      <c r="AE316">
        <f>vlookup("934-012000-200",B:AZ,column(ad1),0)*e316</f>
        <v>0</v>
      </c>
      <c r="AF316">
        <f>vlookup("934-012000-200",B:AZ,column(ae1),0)*e316</f>
        <v>0</v>
      </c>
      <c r="AG316">
        <f>vlookup("934-012000-200",B:AZ,column(af1),0)*e316</f>
        <v>0</v>
      </c>
      <c r="AH316">
        <f>vlookup("934-012000-200",B:AZ,column(ag1),0)*e316</f>
        <v>0</v>
      </c>
      <c r="AI316">
        <f>vlookup("934-012000-200",B:AZ,column(ah1),0)*e316</f>
        <v>0</v>
      </c>
      <c r="AJ316">
        <f>vlookup("934-012000-200",B:AZ,column(ai1),0)*e316</f>
        <v>0</v>
      </c>
      <c r="AK316">
        <f>vlookup("934-012000-200",B:AZ,column(aj1),0)*e316</f>
        <v>0</v>
      </c>
      <c r="AL316">
        <f>vlookup("934-012000-200",B:AZ,column(ak1),0)*e316</f>
        <v>0</v>
      </c>
      <c r="AM316">
        <f>vlookup("934-012000-200",B:AZ,column(al1),0)*e316</f>
        <v>0</v>
      </c>
      <c r="AN316">
        <f>vlookup("934-012000-200",B:AZ,column(am1),0)*e316</f>
        <v>0</v>
      </c>
      <c r="AO316">
        <f>vlookup("934-012000-200",B:AZ,column(an1),0)*e316</f>
        <v>0</v>
      </c>
    </row>
    <row r="317" spans="1:41">
      <c r="A317" t="s">
        <v>22</v>
      </c>
      <c r="B317" t="s">
        <v>324</v>
      </c>
      <c r="C317" t="s">
        <v>325</v>
      </c>
      <c r="E317">
        <v>1</v>
      </c>
      <c r="F317" t="s">
        <v>13</v>
      </c>
      <c r="I317" t="s">
        <v>15</v>
      </c>
      <c r="J317">
        <f>vlookup("934-012000-200",B:AZ,column(i1),0)*e317</f>
        <v>0</v>
      </c>
      <c r="K317">
        <f>vlookup("934-012000-200",B:AZ,column(j1),0)*e317</f>
        <v>0</v>
      </c>
      <c r="L317">
        <f>vlookup("934-012000-200",B:AZ,column(k1),0)*e317</f>
        <v>0</v>
      </c>
      <c r="M317">
        <f>vlookup("934-012000-200",B:AZ,column(l1),0)*e317</f>
        <v>0</v>
      </c>
      <c r="N317">
        <f>vlookup("934-012000-200",B:AZ,column(m1),0)*e317</f>
        <v>0</v>
      </c>
      <c r="O317">
        <f>vlookup("934-012000-200",B:AZ,column(n1),0)*e317</f>
        <v>0</v>
      </c>
      <c r="P317">
        <f>vlookup("934-012000-200",B:AZ,column(o1),0)*e317</f>
        <v>0</v>
      </c>
      <c r="Q317">
        <f>vlookup("934-012000-200",B:AZ,column(p1),0)*e317</f>
        <v>0</v>
      </c>
      <c r="R317">
        <f>vlookup("934-012000-200",B:AZ,column(q1),0)*e317</f>
        <v>0</v>
      </c>
      <c r="S317">
        <f>vlookup("934-012000-200",B:AZ,column(r1),0)*e317</f>
        <v>0</v>
      </c>
      <c r="T317">
        <f>vlookup("934-012000-200",B:AZ,column(s1),0)*e317</f>
        <v>0</v>
      </c>
      <c r="U317">
        <f>vlookup("934-012000-200",B:AZ,column(t1),0)*e317</f>
        <v>0</v>
      </c>
      <c r="V317">
        <f>vlookup("934-012000-200",B:AZ,column(u1),0)*e317</f>
        <v>0</v>
      </c>
      <c r="W317">
        <f>vlookup("934-012000-200",B:AZ,column(v1),0)*e317</f>
        <v>0</v>
      </c>
      <c r="X317">
        <f>vlookup("934-012000-200",B:AZ,column(w1),0)*e317</f>
        <v>0</v>
      </c>
      <c r="Y317">
        <f>vlookup("934-012000-200",B:AZ,column(x1),0)*e317</f>
        <v>0</v>
      </c>
      <c r="Z317">
        <f>vlookup("934-012000-200",B:AZ,column(y1),0)*e317</f>
        <v>0</v>
      </c>
      <c r="AA317">
        <f>vlookup("934-012000-200",B:AZ,column(z1),0)*e317</f>
        <v>0</v>
      </c>
      <c r="AB317">
        <f>vlookup("934-012000-200",B:AZ,column(aa1),0)*e317</f>
        <v>0</v>
      </c>
      <c r="AC317">
        <f>vlookup("934-012000-200",B:AZ,column(ab1),0)*e317</f>
        <v>0</v>
      </c>
      <c r="AD317">
        <f>vlookup("934-012000-200",B:AZ,column(ac1),0)*e317</f>
        <v>0</v>
      </c>
      <c r="AE317">
        <f>vlookup("934-012000-200",B:AZ,column(ad1),0)*e317</f>
        <v>0</v>
      </c>
      <c r="AF317">
        <f>vlookup("934-012000-200",B:AZ,column(ae1),0)*e317</f>
        <v>0</v>
      </c>
      <c r="AG317">
        <f>vlookup("934-012000-200",B:AZ,column(af1),0)*e317</f>
        <v>0</v>
      </c>
      <c r="AH317">
        <f>vlookup("934-012000-200",B:AZ,column(ag1),0)*e317</f>
        <v>0</v>
      </c>
      <c r="AI317">
        <f>vlookup("934-012000-200",B:AZ,column(ah1),0)*e317</f>
        <v>0</v>
      </c>
      <c r="AJ317">
        <f>vlookup("934-012000-200",B:AZ,column(ai1),0)*e317</f>
        <v>0</v>
      </c>
      <c r="AK317">
        <f>vlookup("934-012000-200",B:AZ,column(aj1),0)*e317</f>
        <v>0</v>
      </c>
      <c r="AL317">
        <f>vlookup("934-012000-200",B:AZ,column(ak1),0)*e317</f>
        <v>0</v>
      </c>
      <c r="AM317">
        <f>vlookup("934-012000-200",B:AZ,column(al1),0)*e317</f>
        <v>0</v>
      </c>
      <c r="AN317">
        <f>vlookup("934-012000-200",B:AZ,column(am1),0)*e317</f>
        <v>0</v>
      </c>
      <c r="AO317">
        <f>vlookup("934-012000-200",B:AZ,column(an1),0)*e317</f>
        <v>0</v>
      </c>
    </row>
    <row r="318" spans="1:41">
      <c r="A318" t="s">
        <v>22</v>
      </c>
      <c r="B318" t="s">
        <v>326</v>
      </c>
      <c r="C318" t="s">
        <v>327</v>
      </c>
      <c r="E318">
        <v>1</v>
      </c>
      <c r="F318" t="s">
        <v>13</v>
      </c>
      <c r="I318" t="s">
        <v>15</v>
      </c>
      <c r="J318">
        <f>vlookup("934-012000-200",B:AZ,column(i1),0)*e318</f>
        <v>0</v>
      </c>
      <c r="K318">
        <f>vlookup("934-012000-200",B:AZ,column(j1),0)*e318</f>
        <v>0</v>
      </c>
      <c r="L318">
        <f>vlookup("934-012000-200",B:AZ,column(k1),0)*e318</f>
        <v>0</v>
      </c>
      <c r="M318">
        <f>vlookup("934-012000-200",B:AZ,column(l1),0)*e318</f>
        <v>0</v>
      </c>
      <c r="N318">
        <f>vlookup("934-012000-200",B:AZ,column(m1),0)*e318</f>
        <v>0</v>
      </c>
      <c r="O318">
        <f>vlookup("934-012000-200",B:AZ,column(n1),0)*e318</f>
        <v>0</v>
      </c>
      <c r="P318">
        <f>vlookup("934-012000-200",B:AZ,column(o1),0)*e318</f>
        <v>0</v>
      </c>
      <c r="Q318">
        <f>vlookup("934-012000-200",B:AZ,column(p1),0)*e318</f>
        <v>0</v>
      </c>
      <c r="R318">
        <f>vlookup("934-012000-200",B:AZ,column(q1),0)*e318</f>
        <v>0</v>
      </c>
      <c r="S318">
        <f>vlookup("934-012000-200",B:AZ,column(r1),0)*e318</f>
        <v>0</v>
      </c>
      <c r="T318">
        <f>vlookup("934-012000-200",B:AZ,column(s1),0)*e318</f>
        <v>0</v>
      </c>
      <c r="U318">
        <f>vlookup("934-012000-200",B:AZ,column(t1),0)*e318</f>
        <v>0</v>
      </c>
      <c r="V318">
        <f>vlookup("934-012000-200",B:AZ,column(u1),0)*e318</f>
        <v>0</v>
      </c>
      <c r="W318">
        <f>vlookup("934-012000-200",B:AZ,column(v1),0)*e318</f>
        <v>0</v>
      </c>
      <c r="X318">
        <f>vlookup("934-012000-200",B:AZ,column(w1),0)*e318</f>
        <v>0</v>
      </c>
      <c r="Y318">
        <f>vlookup("934-012000-200",B:AZ,column(x1),0)*e318</f>
        <v>0</v>
      </c>
      <c r="Z318">
        <f>vlookup("934-012000-200",B:AZ,column(y1),0)*e318</f>
        <v>0</v>
      </c>
      <c r="AA318">
        <f>vlookup("934-012000-200",B:AZ,column(z1),0)*e318</f>
        <v>0</v>
      </c>
      <c r="AB318">
        <f>vlookup("934-012000-200",B:AZ,column(aa1),0)*e318</f>
        <v>0</v>
      </c>
      <c r="AC318">
        <f>vlookup("934-012000-200",B:AZ,column(ab1),0)*e318</f>
        <v>0</v>
      </c>
      <c r="AD318">
        <f>vlookup("934-012000-200",B:AZ,column(ac1),0)*e318</f>
        <v>0</v>
      </c>
      <c r="AE318">
        <f>vlookup("934-012000-200",B:AZ,column(ad1),0)*e318</f>
        <v>0</v>
      </c>
      <c r="AF318">
        <f>vlookup("934-012000-200",B:AZ,column(ae1),0)*e318</f>
        <v>0</v>
      </c>
      <c r="AG318">
        <f>vlookup("934-012000-200",B:AZ,column(af1),0)*e318</f>
        <v>0</v>
      </c>
      <c r="AH318">
        <f>vlookup("934-012000-200",B:AZ,column(ag1),0)*e318</f>
        <v>0</v>
      </c>
      <c r="AI318">
        <f>vlookup("934-012000-200",B:AZ,column(ah1),0)*e318</f>
        <v>0</v>
      </c>
      <c r="AJ318">
        <f>vlookup("934-012000-200",B:AZ,column(ai1),0)*e318</f>
        <v>0</v>
      </c>
      <c r="AK318">
        <f>vlookup("934-012000-200",B:AZ,column(aj1),0)*e318</f>
        <v>0</v>
      </c>
      <c r="AL318">
        <f>vlookup("934-012000-200",B:AZ,column(ak1),0)*e318</f>
        <v>0</v>
      </c>
      <c r="AM318">
        <f>vlookup("934-012000-200",B:AZ,column(al1),0)*e318</f>
        <v>0</v>
      </c>
      <c r="AN318">
        <f>vlookup("934-012000-200",B:AZ,column(am1),0)*e318</f>
        <v>0</v>
      </c>
      <c r="AO318">
        <f>vlookup("934-012000-200",B:AZ,column(an1),0)*e318</f>
        <v>0</v>
      </c>
    </row>
    <row r="319" spans="1:41">
      <c r="A319" t="s">
        <v>78</v>
      </c>
      <c r="B319" t="s">
        <v>328</v>
      </c>
      <c r="C319" t="s">
        <v>329</v>
      </c>
      <c r="E319">
        <v>0.02</v>
      </c>
      <c r="F319" t="s">
        <v>13</v>
      </c>
      <c r="I319" t="s">
        <v>15</v>
      </c>
      <c r="J319">
        <f>vlookup("934-012000-200",B:AZ,column(i1),0)*e319</f>
        <v>0</v>
      </c>
      <c r="K319">
        <f>vlookup("934-012000-200",B:AZ,column(j1),0)*e319</f>
        <v>0</v>
      </c>
      <c r="L319">
        <f>vlookup("934-012000-200",B:AZ,column(k1),0)*e319</f>
        <v>0</v>
      </c>
      <c r="M319">
        <f>vlookup("934-012000-200",B:AZ,column(l1),0)*e319</f>
        <v>0</v>
      </c>
      <c r="N319">
        <f>vlookup("934-012000-200",B:AZ,column(m1),0)*e319</f>
        <v>0</v>
      </c>
      <c r="O319">
        <f>vlookup("934-012000-200",B:AZ,column(n1),0)*e319</f>
        <v>0</v>
      </c>
      <c r="P319">
        <f>vlookup("934-012000-200",B:AZ,column(o1),0)*e319</f>
        <v>0</v>
      </c>
      <c r="Q319">
        <f>vlookup("934-012000-200",B:AZ,column(p1),0)*e319</f>
        <v>0</v>
      </c>
      <c r="R319">
        <f>vlookup("934-012000-200",B:AZ,column(q1),0)*e319</f>
        <v>0</v>
      </c>
      <c r="S319">
        <f>vlookup("934-012000-200",B:AZ,column(r1),0)*e319</f>
        <v>0</v>
      </c>
      <c r="T319">
        <f>vlookup("934-012000-200",B:AZ,column(s1),0)*e319</f>
        <v>0</v>
      </c>
      <c r="U319">
        <f>vlookup("934-012000-200",B:AZ,column(t1),0)*e319</f>
        <v>0</v>
      </c>
      <c r="V319">
        <f>vlookup("934-012000-200",B:AZ,column(u1),0)*e319</f>
        <v>0</v>
      </c>
      <c r="W319">
        <f>vlookup("934-012000-200",B:AZ,column(v1),0)*e319</f>
        <v>0</v>
      </c>
      <c r="X319">
        <f>vlookup("934-012000-200",B:AZ,column(w1),0)*e319</f>
        <v>0</v>
      </c>
      <c r="Y319">
        <f>vlookup("934-012000-200",B:AZ,column(x1),0)*e319</f>
        <v>0</v>
      </c>
      <c r="Z319">
        <f>vlookup("934-012000-200",B:AZ,column(y1),0)*e319</f>
        <v>0</v>
      </c>
      <c r="AA319">
        <f>vlookup("934-012000-200",B:AZ,column(z1),0)*e319</f>
        <v>0</v>
      </c>
      <c r="AB319">
        <f>vlookup("934-012000-200",B:AZ,column(aa1),0)*e319</f>
        <v>0</v>
      </c>
      <c r="AC319">
        <f>vlookup("934-012000-200",B:AZ,column(ab1),0)*e319</f>
        <v>0</v>
      </c>
      <c r="AD319">
        <f>vlookup("934-012000-200",B:AZ,column(ac1),0)*e319</f>
        <v>0</v>
      </c>
      <c r="AE319">
        <f>vlookup("934-012000-200",B:AZ,column(ad1),0)*e319</f>
        <v>0</v>
      </c>
      <c r="AF319">
        <f>vlookup("934-012000-200",B:AZ,column(ae1),0)*e319</f>
        <v>0</v>
      </c>
      <c r="AG319">
        <f>vlookup("934-012000-200",B:AZ,column(af1),0)*e319</f>
        <v>0</v>
      </c>
      <c r="AH319">
        <f>vlookup("934-012000-200",B:AZ,column(ag1),0)*e319</f>
        <v>0</v>
      </c>
      <c r="AI319">
        <f>vlookup("934-012000-200",B:AZ,column(ah1),0)*e319</f>
        <v>0</v>
      </c>
      <c r="AJ319">
        <f>vlookup("934-012000-200",B:AZ,column(ai1),0)*e319</f>
        <v>0</v>
      </c>
      <c r="AK319">
        <f>vlookup("934-012000-200",B:AZ,column(aj1),0)*e319</f>
        <v>0</v>
      </c>
      <c r="AL319">
        <f>vlookup("934-012000-200",B:AZ,column(ak1),0)*e319</f>
        <v>0</v>
      </c>
      <c r="AM319">
        <f>vlookup("934-012000-200",B:AZ,column(al1),0)*e319</f>
        <v>0</v>
      </c>
      <c r="AN319">
        <f>vlookup("934-012000-200",B:AZ,column(am1),0)*e319</f>
        <v>0</v>
      </c>
      <c r="AO319">
        <f>vlookup("934-012000-200",B:AZ,column(an1),0)*e319</f>
        <v>0</v>
      </c>
    </row>
    <row r="320" spans="1:41">
      <c r="A320" t="s">
        <v>43</v>
      </c>
      <c r="B320" t="s">
        <v>330</v>
      </c>
      <c r="C320" t="s">
        <v>331</v>
      </c>
      <c r="E320">
        <v>0.02</v>
      </c>
      <c r="F320" t="s">
        <v>13</v>
      </c>
      <c r="I320" t="s">
        <v>15</v>
      </c>
      <c r="J320">
        <f>vlookup("934-012000-200",B:AZ,column(i1),0)*e320</f>
        <v>0</v>
      </c>
      <c r="K320">
        <f>vlookup("934-012000-200",B:AZ,column(j1),0)*e320</f>
        <v>0</v>
      </c>
      <c r="L320">
        <f>vlookup("934-012000-200",B:AZ,column(k1),0)*e320</f>
        <v>0</v>
      </c>
      <c r="M320">
        <f>vlookup("934-012000-200",B:AZ,column(l1),0)*e320</f>
        <v>0</v>
      </c>
      <c r="N320">
        <f>vlookup("934-012000-200",B:AZ,column(m1),0)*e320</f>
        <v>0</v>
      </c>
      <c r="O320">
        <f>vlookup("934-012000-200",B:AZ,column(n1),0)*e320</f>
        <v>0</v>
      </c>
      <c r="P320">
        <f>vlookup("934-012000-200",B:AZ,column(o1),0)*e320</f>
        <v>0</v>
      </c>
      <c r="Q320">
        <f>vlookup("934-012000-200",B:AZ,column(p1),0)*e320</f>
        <v>0</v>
      </c>
      <c r="R320">
        <f>vlookup("934-012000-200",B:AZ,column(q1),0)*e320</f>
        <v>0</v>
      </c>
      <c r="S320">
        <f>vlookup("934-012000-200",B:AZ,column(r1),0)*e320</f>
        <v>0</v>
      </c>
      <c r="T320">
        <f>vlookup("934-012000-200",B:AZ,column(s1),0)*e320</f>
        <v>0</v>
      </c>
      <c r="U320">
        <f>vlookup("934-012000-200",B:AZ,column(t1),0)*e320</f>
        <v>0</v>
      </c>
      <c r="V320">
        <f>vlookup("934-012000-200",B:AZ,column(u1),0)*e320</f>
        <v>0</v>
      </c>
      <c r="W320">
        <f>vlookup("934-012000-200",B:AZ,column(v1),0)*e320</f>
        <v>0</v>
      </c>
      <c r="X320">
        <f>vlookup("934-012000-200",B:AZ,column(w1),0)*e320</f>
        <v>0</v>
      </c>
      <c r="Y320">
        <f>vlookup("934-012000-200",B:AZ,column(x1),0)*e320</f>
        <v>0</v>
      </c>
      <c r="Z320">
        <f>vlookup("934-012000-200",B:AZ,column(y1),0)*e320</f>
        <v>0</v>
      </c>
      <c r="AA320">
        <f>vlookup("934-012000-200",B:AZ,column(z1),0)*e320</f>
        <v>0</v>
      </c>
      <c r="AB320">
        <f>vlookup("934-012000-200",B:AZ,column(aa1),0)*e320</f>
        <v>0</v>
      </c>
      <c r="AC320">
        <f>vlookup("934-012000-200",B:AZ,column(ab1),0)*e320</f>
        <v>0</v>
      </c>
      <c r="AD320">
        <f>vlookup("934-012000-200",B:AZ,column(ac1),0)*e320</f>
        <v>0</v>
      </c>
      <c r="AE320">
        <f>vlookup("934-012000-200",B:AZ,column(ad1),0)*e320</f>
        <v>0</v>
      </c>
      <c r="AF320">
        <f>vlookup("934-012000-200",B:AZ,column(ae1),0)*e320</f>
        <v>0</v>
      </c>
      <c r="AG320">
        <f>vlookup("934-012000-200",B:AZ,column(af1),0)*e320</f>
        <v>0</v>
      </c>
      <c r="AH320">
        <f>vlookup("934-012000-200",B:AZ,column(ag1),0)*e320</f>
        <v>0</v>
      </c>
      <c r="AI320">
        <f>vlookup("934-012000-200",B:AZ,column(ah1),0)*e320</f>
        <v>0</v>
      </c>
      <c r="AJ320">
        <f>vlookup("934-012000-200",B:AZ,column(ai1),0)*e320</f>
        <v>0</v>
      </c>
      <c r="AK320">
        <f>vlookup("934-012000-200",B:AZ,column(aj1),0)*e320</f>
        <v>0</v>
      </c>
      <c r="AL320">
        <f>vlookup("934-012000-200",B:AZ,column(ak1),0)*e320</f>
        <v>0</v>
      </c>
      <c r="AM320">
        <f>vlookup("934-012000-200",B:AZ,column(al1),0)*e320</f>
        <v>0</v>
      </c>
      <c r="AN320">
        <f>vlookup("934-012000-200",B:AZ,column(am1),0)*e320</f>
        <v>0</v>
      </c>
      <c r="AO320">
        <f>vlookup("934-012000-200",B:AZ,column(an1),0)*e320</f>
        <v>0</v>
      </c>
    </row>
    <row r="321" spans="1:41">
      <c r="A321" t="s">
        <v>10</v>
      </c>
      <c r="B321" t="s">
        <v>332</v>
      </c>
      <c r="C321" t="s">
        <v>317</v>
      </c>
      <c r="E321">
        <v>1</v>
      </c>
      <c r="F321" t="s">
        <v>13</v>
      </c>
      <c r="I321" t="s">
        <v>14</v>
      </c>
      <c r="AO321">
        <f>sum(j321:an321)</f>
        <v>0</v>
      </c>
    </row>
    <row r="322" spans="1:41">
      <c r="I322" t="s">
        <v>15</v>
      </c>
      <c r="J322">
        <f>vlookup("934-012000-100",Out!B:AZ,column(i1),0)</f>
        <v>0</v>
      </c>
      <c r="K322">
        <f>vlookup("934-012000-100",Out!B:AZ,column(j1),0)</f>
        <v>0</v>
      </c>
      <c r="L322">
        <f>vlookup("934-012000-100",Out!B:AZ,column(k1),0)</f>
        <v>0</v>
      </c>
      <c r="M322">
        <f>vlookup("934-012000-100",Out!B:AZ,column(l1),0)</f>
        <v>0</v>
      </c>
      <c r="N322">
        <f>vlookup("934-012000-100",Out!B:AZ,column(m1),0)</f>
        <v>0</v>
      </c>
      <c r="O322">
        <f>vlookup("934-012000-100",Out!B:AZ,column(n1),0)</f>
        <v>0</v>
      </c>
      <c r="P322">
        <f>vlookup("934-012000-100",Out!B:AZ,column(o1),0)</f>
        <v>0</v>
      </c>
      <c r="Q322">
        <f>vlookup("934-012000-100",Out!B:AZ,column(p1),0)</f>
        <v>0</v>
      </c>
      <c r="R322">
        <f>vlookup("934-012000-100",Out!B:AZ,column(q1),0)</f>
        <v>0</v>
      </c>
      <c r="S322">
        <f>vlookup("934-012000-100",Out!B:AZ,column(r1),0)</f>
        <v>0</v>
      </c>
      <c r="T322">
        <f>vlookup("934-012000-100",Out!B:AZ,column(s1),0)</f>
        <v>0</v>
      </c>
      <c r="U322">
        <f>vlookup("934-012000-100",Out!B:AZ,column(t1),0)</f>
        <v>0</v>
      </c>
      <c r="V322">
        <f>vlookup("934-012000-100",Out!B:AZ,column(u1),0)</f>
        <v>0</v>
      </c>
      <c r="W322">
        <f>vlookup("934-012000-100",Out!B:AZ,column(v1),0)</f>
        <v>0</v>
      </c>
      <c r="X322">
        <f>vlookup("934-012000-100",Out!B:AZ,column(w1),0)</f>
        <v>0</v>
      </c>
      <c r="Y322">
        <f>vlookup("934-012000-100",Out!B:AZ,column(x1),0)</f>
        <v>0</v>
      </c>
      <c r="Z322">
        <f>vlookup("934-012000-100",Out!B:AZ,column(y1),0)</f>
        <v>0</v>
      </c>
      <c r="AA322">
        <f>vlookup("934-012000-100",Out!B:AZ,column(z1),0)</f>
        <v>0</v>
      </c>
      <c r="AB322">
        <f>vlookup("934-012000-100",Out!B:AZ,column(aa1),0)</f>
        <v>0</v>
      </c>
      <c r="AC322">
        <f>vlookup("934-012000-100",Out!B:AZ,column(ab1),0)</f>
        <v>0</v>
      </c>
      <c r="AD322">
        <f>vlookup("934-012000-100",Out!B:AZ,column(ac1),0)</f>
        <v>0</v>
      </c>
      <c r="AE322">
        <f>vlookup("934-012000-100",Out!B:AZ,column(ad1),0)</f>
        <v>0</v>
      </c>
      <c r="AF322">
        <f>vlookup("934-012000-100",Out!B:AZ,column(ae1),0)</f>
        <v>0</v>
      </c>
      <c r="AG322">
        <f>vlookup("934-012000-100",Out!B:AZ,column(af1),0)</f>
        <v>0</v>
      </c>
      <c r="AH322">
        <f>vlookup("934-012000-100",Out!B:AZ,column(ag1),0)</f>
        <v>0</v>
      </c>
      <c r="AI322">
        <f>vlookup("934-012000-100",Out!B:AZ,column(ah1),0)</f>
        <v>0</v>
      </c>
      <c r="AJ322">
        <f>vlookup("934-012000-100",Out!B:AZ,column(ai1),0)</f>
        <v>0</v>
      </c>
      <c r="AK322">
        <f>vlookup("934-012000-100",Out!B:AZ,column(aj1),0)</f>
        <v>0</v>
      </c>
      <c r="AL322">
        <f>vlookup("934-012000-100",Out!B:AZ,column(ak1),0)</f>
        <v>0</v>
      </c>
      <c r="AM322">
        <f>vlookup("934-012000-100",Out!B:AZ,column(al1),0)</f>
        <v>0</v>
      </c>
      <c r="AN322">
        <f>vlookup("934-012000-100",Out!B:AZ,column(am1),0)</f>
        <v>0</v>
      </c>
      <c r="AO322">
        <f>vlookup("934-012000-100",Out!B:AZ,column(an1),0)</f>
        <v>0</v>
      </c>
    </row>
    <row r="323" spans="1:41">
      <c r="H323" t="s">
        <v>16</v>
      </c>
      <c r="J323">
        <f>indirect(address(323,9))+indirect(address(321,10))-indirect(address(322,10))</f>
        <v>0</v>
      </c>
      <c r="K323">
        <f>indirect(address(323,10))+indirect(address(321,11))-indirect(address(322,11))</f>
        <v>0</v>
      </c>
      <c r="L323">
        <f>indirect(address(323,11))+indirect(address(321,12))-indirect(address(322,12))</f>
        <v>0</v>
      </c>
      <c r="M323">
        <f>indirect(address(323,12))+indirect(address(321,13))-indirect(address(322,13))</f>
        <v>0</v>
      </c>
      <c r="N323">
        <f>indirect(address(323,13))+indirect(address(321,14))-indirect(address(322,14))</f>
        <v>0</v>
      </c>
      <c r="O323">
        <f>indirect(address(323,14))+indirect(address(321,15))-indirect(address(322,15))</f>
        <v>0</v>
      </c>
      <c r="P323">
        <f>indirect(address(323,15))+indirect(address(321,16))-indirect(address(322,16))</f>
        <v>0</v>
      </c>
      <c r="Q323">
        <f>indirect(address(323,16))+indirect(address(321,17))-indirect(address(322,17))</f>
        <v>0</v>
      </c>
      <c r="R323">
        <f>indirect(address(323,17))+indirect(address(321,18))-indirect(address(322,18))</f>
        <v>0</v>
      </c>
      <c r="S323">
        <f>indirect(address(323,18))+indirect(address(321,19))-indirect(address(322,19))</f>
        <v>0</v>
      </c>
      <c r="T323">
        <f>indirect(address(323,19))+indirect(address(321,20))-indirect(address(322,20))</f>
        <v>0</v>
      </c>
      <c r="U323">
        <f>indirect(address(323,20))+indirect(address(321,21))-indirect(address(322,21))</f>
        <v>0</v>
      </c>
      <c r="V323">
        <f>indirect(address(323,21))+indirect(address(321,22))-indirect(address(322,22))</f>
        <v>0</v>
      </c>
      <c r="W323">
        <f>indirect(address(323,22))+indirect(address(321,23))-indirect(address(322,23))</f>
        <v>0</v>
      </c>
      <c r="X323">
        <f>indirect(address(323,23))+indirect(address(321,24))-indirect(address(322,24))</f>
        <v>0</v>
      </c>
      <c r="Y323">
        <f>indirect(address(323,24))+indirect(address(321,25))-indirect(address(322,25))</f>
        <v>0</v>
      </c>
      <c r="Z323">
        <f>indirect(address(323,25))+indirect(address(321,26))-indirect(address(322,26))</f>
        <v>0</v>
      </c>
      <c r="AA323">
        <f>indirect(address(323,26))+indirect(address(321,27))-indirect(address(322,27))</f>
        <v>0</v>
      </c>
      <c r="AB323">
        <f>indirect(address(323,27))+indirect(address(321,28))-indirect(address(322,28))</f>
        <v>0</v>
      </c>
      <c r="AC323">
        <f>indirect(address(323,28))+indirect(address(321,29))-indirect(address(322,29))</f>
        <v>0</v>
      </c>
      <c r="AD323">
        <f>indirect(address(323,29))+indirect(address(321,30))-indirect(address(322,30))</f>
        <v>0</v>
      </c>
      <c r="AE323">
        <f>indirect(address(323,30))+indirect(address(321,31))-indirect(address(322,31))</f>
        <v>0</v>
      </c>
      <c r="AF323">
        <f>indirect(address(323,31))+indirect(address(321,32))-indirect(address(322,32))</f>
        <v>0</v>
      </c>
      <c r="AG323">
        <f>indirect(address(323,32))+indirect(address(321,33))-indirect(address(322,33))</f>
        <v>0</v>
      </c>
      <c r="AH323">
        <f>indirect(address(323,33))+indirect(address(321,34))-indirect(address(322,34))</f>
        <v>0</v>
      </c>
      <c r="AI323">
        <f>indirect(address(323,34))+indirect(address(321,35))-indirect(address(322,35))</f>
        <v>0</v>
      </c>
      <c r="AJ323">
        <f>indirect(address(323,35))+indirect(address(321,36))-indirect(address(322,36))</f>
        <v>0</v>
      </c>
      <c r="AK323">
        <f>indirect(address(323,36))+indirect(address(321,37))-indirect(address(322,37))</f>
        <v>0</v>
      </c>
      <c r="AL323">
        <f>indirect(address(323,37))+indirect(address(321,38))-indirect(address(322,38))</f>
        <v>0</v>
      </c>
      <c r="AM323">
        <f>indirect(address(323,38))+indirect(address(321,39))-indirect(address(322,39))</f>
        <v>0</v>
      </c>
      <c r="AN323">
        <f>indirect(address(323,39))+indirect(address(321,40))-indirect(address(322,40))</f>
        <v>0</v>
      </c>
      <c r="AO323">
        <f>indirect(address(323,40))</f>
        <v>0</v>
      </c>
    </row>
    <row r="324" spans="1:41">
      <c r="A324" t="s">
        <v>17</v>
      </c>
      <c r="B324" t="s">
        <v>333</v>
      </c>
      <c r="C324" t="s">
        <v>334</v>
      </c>
      <c r="E324">
        <v>1</v>
      </c>
      <c r="F324" t="s">
        <v>13</v>
      </c>
      <c r="I324" t="s">
        <v>15</v>
      </c>
      <c r="J324">
        <f>vlookup("934-012000-100",B:AZ,column(i1),0)*e324</f>
        <v>0</v>
      </c>
      <c r="K324">
        <f>vlookup("934-012000-100",B:AZ,column(j1),0)*e324</f>
        <v>0</v>
      </c>
      <c r="L324">
        <f>vlookup("934-012000-100",B:AZ,column(k1),0)*e324</f>
        <v>0</v>
      </c>
      <c r="M324">
        <f>vlookup("934-012000-100",B:AZ,column(l1),0)*e324</f>
        <v>0</v>
      </c>
      <c r="N324">
        <f>vlookup("934-012000-100",B:AZ,column(m1),0)*e324</f>
        <v>0</v>
      </c>
      <c r="O324">
        <f>vlookup("934-012000-100",B:AZ,column(n1),0)*e324</f>
        <v>0</v>
      </c>
      <c r="P324">
        <f>vlookup("934-012000-100",B:AZ,column(o1),0)*e324</f>
        <v>0</v>
      </c>
      <c r="Q324">
        <f>vlookup("934-012000-100",B:AZ,column(p1),0)*e324</f>
        <v>0</v>
      </c>
      <c r="R324">
        <f>vlookup("934-012000-100",B:AZ,column(q1),0)*e324</f>
        <v>0</v>
      </c>
      <c r="S324">
        <f>vlookup("934-012000-100",B:AZ,column(r1),0)*e324</f>
        <v>0</v>
      </c>
      <c r="T324">
        <f>vlookup("934-012000-100",B:AZ,column(s1),0)*e324</f>
        <v>0</v>
      </c>
      <c r="U324">
        <f>vlookup("934-012000-100",B:AZ,column(t1),0)*e324</f>
        <v>0</v>
      </c>
      <c r="V324">
        <f>vlookup("934-012000-100",B:AZ,column(u1),0)*e324</f>
        <v>0</v>
      </c>
      <c r="W324">
        <f>vlookup("934-012000-100",B:AZ,column(v1),0)*e324</f>
        <v>0</v>
      </c>
      <c r="X324">
        <f>vlookup("934-012000-100",B:AZ,column(w1),0)*e324</f>
        <v>0</v>
      </c>
      <c r="Y324">
        <f>vlookup("934-012000-100",B:AZ,column(x1),0)*e324</f>
        <v>0</v>
      </c>
      <c r="Z324">
        <f>vlookup("934-012000-100",B:AZ,column(y1),0)*e324</f>
        <v>0</v>
      </c>
      <c r="AA324">
        <f>vlookup("934-012000-100",B:AZ,column(z1),0)*e324</f>
        <v>0</v>
      </c>
      <c r="AB324">
        <f>vlookup("934-012000-100",B:AZ,column(aa1),0)*e324</f>
        <v>0</v>
      </c>
      <c r="AC324">
        <f>vlookup("934-012000-100",B:AZ,column(ab1),0)*e324</f>
        <v>0</v>
      </c>
      <c r="AD324">
        <f>vlookup("934-012000-100",B:AZ,column(ac1),0)*e324</f>
        <v>0</v>
      </c>
      <c r="AE324">
        <f>vlookup("934-012000-100",B:AZ,column(ad1),0)*e324</f>
        <v>0</v>
      </c>
      <c r="AF324">
        <f>vlookup("934-012000-100",B:AZ,column(ae1),0)*e324</f>
        <v>0</v>
      </c>
      <c r="AG324">
        <f>vlookup("934-012000-100",B:AZ,column(af1),0)*e324</f>
        <v>0</v>
      </c>
      <c r="AH324">
        <f>vlookup("934-012000-100",B:AZ,column(ag1),0)*e324</f>
        <v>0</v>
      </c>
      <c r="AI324">
        <f>vlookup("934-012000-100",B:AZ,column(ah1),0)*e324</f>
        <v>0</v>
      </c>
      <c r="AJ324">
        <f>vlookup("934-012000-100",B:AZ,column(ai1),0)*e324</f>
        <v>0</v>
      </c>
      <c r="AK324">
        <f>vlookup("934-012000-100",B:AZ,column(aj1),0)*e324</f>
        <v>0</v>
      </c>
      <c r="AL324">
        <f>vlookup("934-012000-100",B:AZ,column(ak1),0)*e324</f>
        <v>0</v>
      </c>
      <c r="AM324">
        <f>vlookup("934-012000-100",B:AZ,column(al1),0)*e324</f>
        <v>0</v>
      </c>
      <c r="AN324">
        <f>vlookup("934-012000-100",B:AZ,column(am1),0)*e324</f>
        <v>0</v>
      </c>
      <c r="AO324">
        <f>vlookup("934-012000-100",B:AZ,column(an1),0)*e324</f>
        <v>0</v>
      </c>
    </row>
    <row r="325" spans="1:41">
      <c r="A325" t="s">
        <v>17</v>
      </c>
      <c r="B325" t="s">
        <v>335</v>
      </c>
      <c r="C325" t="s">
        <v>336</v>
      </c>
      <c r="E325">
        <v>1</v>
      </c>
      <c r="F325" t="s">
        <v>13</v>
      </c>
      <c r="I325" t="s">
        <v>15</v>
      </c>
      <c r="J325">
        <f>vlookup("934-012000-100",B:AZ,column(i1),0)*e325</f>
        <v>0</v>
      </c>
      <c r="K325">
        <f>vlookup("934-012000-100",B:AZ,column(j1),0)*e325</f>
        <v>0</v>
      </c>
      <c r="L325">
        <f>vlookup("934-012000-100",B:AZ,column(k1),0)*e325</f>
        <v>0</v>
      </c>
      <c r="M325">
        <f>vlookup("934-012000-100",B:AZ,column(l1),0)*e325</f>
        <v>0</v>
      </c>
      <c r="N325">
        <f>vlookup("934-012000-100",B:AZ,column(m1),0)*e325</f>
        <v>0</v>
      </c>
      <c r="O325">
        <f>vlookup("934-012000-100",B:AZ,column(n1),0)*e325</f>
        <v>0</v>
      </c>
      <c r="P325">
        <f>vlookup("934-012000-100",B:AZ,column(o1),0)*e325</f>
        <v>0</v>
      </c>
      <c r="Q325">
        <f>vlookup("934-012000-100",B:AZ,column(p1),0)*e325</f>
        <v>0</v>
      </c>
      <c r="R325">
        <f>vlookup("934-012000-100",B:AZ,column(q1),0)*e325</f>
        <v>0</v>
      </c>
      <c r="S325">
        <f>vlookup("934-012000-100",B:AZ,column(r1),0)*e325</f>
        <v>0</v>
      </c>
      <c r="T325">
        <f>vlookup("934-012000-100",B:AZ,column(s1),0)*e325</f>
        <v>0</v>
      </c>
      <c r="U325">
        <f>vlookup("934-012000-100",B:AZ,column(t1),0)*e325</f>
        <v>0</v>
      </c>
      <c r="V325">
        <f>vlookup("934-012000-100",B:AZ,column(u1),0)*e325</f>
        <v>0</v>
      </c>
      <c r="W325">
        <f>vlookup("934-012000-100",B:AZ,column(v1),0)*e325</f>
        <v>0</v>
      </c>
      <c r="X325">
        <f>vlookup("934-012000-100",B:AZ,column(w1),0)*e325</f>
        <v>0</v>
      </c>
      <c r="Y325">
        <f>vlookup("934-012000-100",B:AZ,column(x1),0)*e325</f>
        <v>0</v>
      </c>
      <c r="Z325">
        <f>vlookup("934-012000-100",B:AZ,column(y1),0)*e325</f>
        <v>0</v>
      </c>
      <c r="AA325">
        <f>vlookup("934-012000-100",B:AZ,column(z1),0)*e325</f>
        <v>0</v>
      </c>
      <c r="AB325">
        <f>vlookup("934-012000-100",B:AZ,column(aa1),0)*e325</f>
        <v>0</v>
      </c>
      <c r="AC325">
        <f>vlookup("934-012000-100",B:AZ,column(ab1),0)*e325</f>
        <v>0</v>
      </c>
      <c r="AD325">
        <f>vlookup("934-012000-100",B:AZ,column(ac1),0)*e325</f>
        <v>0</v>
      </c>
      <c r="AE325">
        <f>vlookup("934-012000-100",B:AZ,column(ad1),0)*e325</f>
        <v>0</v>
      </c>
      <c r="AF325">
        <f>vlookup("934-012000-100",B:AZ,column(ae1),0)*e325</f>
        <v>0</v>
      </c>
      <c r="AG325">
        <f>vlookup("934-012000-100",B:AZ,column(af1),0)*e325</f>
        <v>0</v>
      </c>
      <c r="AH325">
        <f>vlookup("934-012000-100",B:AZ,column(ag1),0)*e325</f>
        <v>0</v>
      </c>
      <c r="AI325">
        <f>vlookup("934-012000-100",B:AZ,column(ah1),0)*e325</f>
        <v>0</v>
      </c>
      <c r="AJ325">
        <f>vlookup("934-012000-100",B:AZ,column(ai1),0)*e325</f>
        <v>0</v>
      </c>
      <c r="AK325">
        <f>vlookup("934-012000-100",B:AZ,column(aj1),0)*e325</f>
        <v>0</v>
      </c>
      <c r="AL325">
        <f>vlookup("934-012000-100",B:AZ,column(ak1),0)*e325</f>
        <v>0</v>
      </c>
      <c r="AM325">
        <f>vlookup("934-012000-100",B:AZ,column(al1),0)*e325</f>
        <v>0</v>
      </c>
      <c r="AN325">
        <f>vlookup("934-012000-100",B:AZ,column(am1),0)*e325</f>
        <v>0</v>
      </c>
      <c r="AO325">
        <f>vlookup("934-012000-100",B:AZ,column(an1),0)*e325</f>
        <v>0</v>
      </c>
    </row>
    <row r="326" spans="1:41">
      <c r="A326" t="s">
        <v>22</v>
      </c>
      <c r="B326" t="s">
        <v>322</v>
      </c>
      <c r="C326" t="s">
        <v>323</v>
      </c>
      <c r="E326">
        <v>2</v>
      </c>
      <c r="F326" t="s">
        <v>13</v>
      </c>
      <c r="I326" t="s">
        <v>15</v>
      </c>
      <c r="J326">
        <f>vlookup("934-012000-100",B:AZ,column(i1),0)*e326</f>
        <v>0</v>
      </c>
      <c r="K326">
        <f>vlookup("934-012000-100",B:AZ,column(j1),0)*e326</f>
        <v>0</v>
      </c>
      <c r="L326">
        <f>vlookup("934-012000-100",B:AZ,column(k1),0)*e326</f>
        <v>0</v>
      </c>
      <c r="M326">
        <f>vlookup("934-012000-100",B:AZ,column(l1),0)*e326</f>
        <v>0</v>
      </c>
      <c r="N326">
        <f>vlookup("934-012000-100",B:AZ,column(m1),0)*e326</f>
        <v>0</v>
      </c>
      <c r="O326">
        <f>vlookup("934-012000-100",B:AZ,column(n1),0)*e326</f>
        <v>0</v>
      </c>
      <c r="P326">
        <f>vlookup("934-012000-100",B:AZ,column(o1),0)*e326</f>
        <v>0</v>
      </c>
      <c r="Q326">
        <f>vlookup("934-012000-100",B:AZ,column(p1),0)*e326</f>
        <v>0</v>
      </c>
      <c r="R326">
        <f>vlookup("934-012000-100",B:AZ,column(q1),0)*e326</f>
        <v>0</v>
      </c>
      <c r="S326">
        <f>vlookup("934-012000-100",B:AZ,column(r1),0)*e326</f>
        <v>0</v>
      </c>
      <c r="T326">
        <f>vlookup("934-012000-100",B:AZ,column(s1),0)*e326</f>
        <v>0</v>
      </c>
      <c r="U326">
        <f>vlookup("934-012000-100",B:AZ,column(t1),0)*e326</f>
        <v>0</v>
      </c>
      <c r="V326">
        <f>vlookup("934-012000-100",B:AZ,column(u1),0)*e326</f>
        <v>0</v>
      </c>
      <c r="W326">
        <f>vlookup("934-012000-100",B:AZ,column(v1),0)*e326</f>
        <v>0</v>
      </c>
      <c r="X326">
        <f>vlookup("934-012000-100",B:AZ,column(w1),0)*e326</f>
        <v>0</v>
      </c>
      <c r="Y326">
        <f>vlookup("934-012000-100",B:AZ,column(x1),0)*e326</f>
        <v>0</v>
      </c>
      <c r="Z326">
        <f>vlookup("934-012000-100",B:AZ,column(y1),0)*e326</f>
        <v>0</v>
      </c>
      <c r="AA326">
        <f>vlookup("934-012000-100",B:AZ,column(z1),0)*e326</f>
        <v>0</v>
      </c>
      <c r="AB326">
        <f>vlookup("934-012000-100",B:AZ,column(aa1),0)*e326</f>
        <v>0</v>
      </c>
      <c r="AC326">
        <f>vlookup("934-012000-100",B:AZ,column(ab1),0)*e326</f>
        <v>0</v>
      </c>
      <c r="AD326">
        <f>vlookup("934-012000-100",B:AZ,column(ac1),0)*e326</f>
        <v>0</v>
      </c>
      <c r="AE326">
        <f>vlookup("934-012000-100",B:AZ,column(ad1),0)*e326</f>
        <v>0</v>
      </c>
      <c r="AF326">
        <f>vlookup("934-012000-100",B:AZ,column(ae1),0)*e326</f>
        <v>0</v>
      </c>
      <c r="AG326">
        <f>vlookup("934-012000-100",B:AZ,column(af1),0)*e326</f>
        <v>0</v>
      </c>
      <c r="AH326">
        <f>vlookup("934-012000-100",B:AZ,column(ag1),0)*e326</f>
        <v>0</v>
      </c>
      <c r="AI326">
        <f>vlookup("934-012000-100",B:AZ,column(ah1),0)*e326</f>
        <v>0</v>
      </c>
      <c r="AJ326">
        <f>vlookup("934-012000-100",B:AZ,column(ai1),0)*e326</f>
        <v>0</v>
      </c>
      <c r="AK326">
        <f>vlookup("934-012000-100",B:AZ,column(aj1),0)*e326</f>
        <v>0</v>
      </c>
      <c r="AL326">
        <f>vlookup("934-012000-100",B:AZ,column(ak1),0)*e326</f>
        <v>0</v>
      </c>
      <c r="AM326">
        <f>vlookup("934-012000-100",B:AZ,column(al1),0)*e326</f>
        <v>0</v>
      </c>
      <c r="AN326">
        <f>vlookup("934-012000-100",B:AZ,column(am1),0)*e326</f>
        <v>0</v>
      </c>
      <c r="AO326">
        <f>vlookup("934-012000-100",B:AZ,column(an1),0)*e326</f>
        <v>0</v>
      </c>
    </row>
    <row r="327" spans="1:41">
      <c r="A327" t="s">
        <v>22</v>
      </c>
      <c r="B327" t="s">
        <v>324</v>
      </c>
      <c r="C327" t="s">
        <v>325</v>
      </c>
      <c r="E327">
        <v>1</v>
      </c>
      <c r="F327" t="s">
        <v>13</v>
      </c>
      <c r="I327" t="s">
        <v>15</v>
      </c>
      <c r="J327">
        <f>vlookup("934-012000-100",B:AZ,column(i1),0)*e327</f>
        <v>0</v>
      </c>
      <c r="K327">
        <f>vlookup("934-012000-100",B:AZ,column(j1),0)*e327</f>
        <v>0</v>
      </c>
      <c r="L327">
        <f>vlookup("934-012000-100",B:AZ,column(k1),0)*e327</f>
        <v>0</v>
      </c>
      <c r="M327">
        <f>vlookup("934-012000-100",B:AZ,column(l1),0)*e327</f>
        <v>0</v>
      </c>
      <c r="N327">
        <f>vlookup("934-012000-100",B:AZ,column(m1),0)*e327</f>
        <v>0</v>
      </c>
      <c r="O327">
        <f>vlookup("934-012000-100",B:AZ,column(n1),0)*e327</f>
        <v>0</v>
      </c>
      <c r="P327">
        <f>vlookup("934-012000-100",B:AZ,column(o1),0)*e327</f>
        <v>0</v>
      </c>
      <c r="Q327">
        <f>vlookup("934-012000-100",B:AZ,column(p1),0)*e327</f>
        <v>0</v>
      </c>
      <c r="R327">
        <f>vlookup("934-012000-100",B:AZ,column(q1),0)*e327</f>
        <v>0</v>
      </c>
      <c r="S327">
        <f>vlookup("934-012000-100",B:AZ,column(r1),0)*e327</f>
        <v>0</v>
      </c>
      <c r="T327">
        <f>vlookup("934-012000-100",B:AZ,column(s1),0)*e327</f>
        <v>0</v>
      </c>
      <c r="U327">
        <f>vlookup("934-012000-100",B:AZ,column(t1),0)*e327</f>
        <v>0</v>
      </c>
      <c r="V327">
        <f>vlookup("934-012000-100",B:AZ,column(u1),0)*e327</f>
        <v>0</v>
      </c>
      <c r="W327">
        <f>vlookup("934-012000-100",B:AZ,column(v1),0)*e327</f>
        <v>0</v>
      </c>
      <c r="X327">
        <f>vlookup("934-012000-100",B:AZ,column(w1),0)*e327</f>
        <v>0</v>
      </c>
      <c r="Y327">
        <f>vlookup("934-012000-100",B:AZ,column(x1),0)*e327</f>
        <v>0</v>
      </c>
      <c r="Z327">
        <f>vlookup("934-012000-100",B:AZ,column(y1),0)*e327</f>
        <v>0</v>
      </c>
      <c r="AA327">
        <f>vlookup("934-012000-100",B:AZ,column(z1),0)*e327</f>
        <v>0</v>
      </c>
      <c r="AB327">
        <f>vlookup("934-012000-100",B:AZ,column(aa1),0)*e327</f>
        <v>0</v>
      </c>
      <c r="AC327">
        <f>vlookup("934-012000-100",B:AZ,column(ab1),0)*e327</f>
        <v>0</v>
      </c>
      <c r="AD327">
        <f>vlookup("934-012000-100",B:AZ,column(ac1),0)*e327</f>
        <v>0</v>
      </c>
      <c r="AE327">
        <f>vlookup("934-012000-100",B:AZ,column(ad1),0)*e327</f>
        <v>0</v>
      </c>
      <c r="AF327">
        <f>vlookup("934-012000-100",B:AZ,column(ae1),0)*e327</f>
        <v>0</v>
      </c>
      <c r="AG327">
        <f>vlookup("934-012000-100",B:AZ,column(af1),0)*e327</f>
        <v>0</v>
      </c>
      <c r="AH327">
        <f>vlookup("934-012000-100",B:AZ,column(ag1),0)*e327</f>
        <v>0</v>
      </c>
      <c r="AI327">
        <f>vlookup("934-012000-100",B:AZ,column(ah1),0)*e327</f>
        <v>0</v>
      </c>
      <c r="AJ327">
        <f>vlookup("934-012000-100",B:AZ,column(ai1),0)*e327</f>
        <v>0</v>
      </c>
      <c r="AK327">
        <f>vlookup("934-012000-100",B:AZ,column(aj1),0)*e327</f>
        <v>0</v>
      </c>
      <c r="AL327">
        <f>vlookup("934-012000-100",B:AZ,column(ak1),0)*e327</f>
        <v>0</v>
      </c>
      <c r="AM327">
        <f>vlookup("934-012000-100",B:AZ,column(al1),0)*e327</f>
        <v>0</v>
      </c>
      <c r="AN327">
        <f>vlookup("934-012000-100",B:AZ,column(am1),0)*e327</f>
        <v>0</v>
      </c>
      <c r="AO327">
        <f>vlookup("934-012000-100",B:AZ,column(an1),0)*e327</f>
        <v>0</v>
      </c>
    </row>
    <row r="328" spans="1:41">
      <c r="A328" t="s">
        <v>22</v>
      </c>
      <c r="B328" t="s">
        <v>326</v>
      </c>
      <c r="C328" t="s">
        <v>327</v>
      </c>
      <c r="E328">
        <v>1</v>
      </c>
      <c r="F328" t="s">
        <v>13</v>
      </c>
      <c r="I328" t="s">
        <v>15</v>
      </c>
      <c r="J328">
        <f>vlookup("934-012000-100",B:AZ,column(i1),0)*e328</f>
        <v>0</v>
      </c>
      <c r="K328">
        <f>vlookup("934-012000-100",B:AZ,column(j1),0)*e328</f>
        <v>0</v>
      </c>
      <c r="L328">
        <f>vlookup("934-012000-100",B:AZ,column(k1),0)*e328</f>
        <v>0</v>
      </c>
      <c r="M328">
        <f>vlookup("934-012000-100",B:AZ,column(l1),0)*e328</f>
        <v>0</v>
      </c>
      <c r="N328">
        <f>vlookup("934-012000-100",B:AZ,column(m1),0)*e328</f>
        <v>0</v>
      </c>
      <c r="O328">
        <f>vlookup("934-012000-100",B:AZ,column(n1),0)*e328</f>
        <v>0</v>
      </c>
      <c r="P328">
        <f>vlookup("934-012000-100",B:AZ,column(o1),0)*e328</f>
        <v>0</v>
      </c>
      <c r="Q328">
        <f>vlookup("934-012000-100",B:AZ,column(p1),0)*e328</f>
        <v>0</v>
      </c>
      <c r="R328">
        <f>vlookup("934-012000-100",B:AZ,column(q1),0)*e328</f>
        <v>0</v>
      </c>
      <c r="S328">
        <f>vlookup("934-012000-100",B:AZ,column(r1),0)*e328</f>
        <v>0</v>
      </c>
      <c r="T328">
        <f>vlookup("934-012000-100",B:AZ,column(s1),0)*e328</f>
        <v>0</v>
      </c>
      <c r="U328">
        <f>vlookup("934-012000-100",B:AZ,column(t1),0)*e328</f>
        <v>0</v>
      </c>
      <c r="V328">
        <f>vlookup("934-012000-100",B:AZ,column(u1),0)*e328</f>
        <v>0</v>
      </c>
      <c r="W328">
        <f>vlookup("934-012000-100",B:AZ,column(v1),0)*e328</f>
        <v>0</v>
      </c>
      <c r="X328">
        <f>vlookup("934-012000-100",B:AZ,column(w1),0)*e328</f>
        <v>0</v>
      </c>
      <c r="Y328">
        <f>vlookup("934-012000-100",B:AZ,column(x1),0)*e328</f>
        <v>0</v>
      </c>
      <c r="Z328">
        <f>vlookup("934-012000-100",B:AZ,column(y1),0)*e328</f>
        <v>0</v>
      </c>
      <c r="AA328">
        <f>vlookup("934-012000-100",B:AZ,column(z1),0)*e328</f>
        <v>0</v>
      </c>
      <c r="AB328">
        <f>vlookup("934-012000-100",B:AZ,column(aa1),0)*e328</f>
        <v>0</v>
      </c>
      <c r="AC328">
        <f>vlookup("934-012000-100",B:AZ,column(ab1),0)*e328</f>
        <v>0</v>
      </c>
      <c r="AD328">
        <f>vlookup("934-012000-100",B:AZ,column(ac1),0)*e328</f>
        <v>0</v>
      </c>
      <c r="AE328">
        <f>vlookup("934-012000-100",B:AZ,column(ad1),0)*e328</f>
        <v>0</v>
      </c>
      <c r="AF328">
        <f>vlookup("934-012000-100",B:AZ,column(ae1),0)*e328</f>
        <v>0</v>
      </c>
      <c r="AG328">
        <f>vlookup("934-012000-100",B:AZ,column(af1),0)*e328</f>
        <v>0</v>
      </c>
      <c r="AH328">
        <f>vlookup("934-012000-100",B:AZ,column(ag1),0)*e328</f>
        <v>0</v>
      </c>
      <c r="AI328">
        <f>vlookup("934-012000-100",B:AZ,column(ah1),0)*e328</f>
        <v>0</v>
      </c>
      <c r="AJ328">
        <f>vlookup("934-012000-100",B:AZ,column(ai1),0)*e328</f>
        <v>0</v>
      </c>
      <c r="AK328">
        <f>vlookup("934-012000-100",B:AZ,column(aj1),0)*e328</f>
        <v>0</v>
      </c>
      <c r="AL328">
        <f>vlookup("934-012000-100",B:AZ,column(ak1),0)*e328</f>
        <v>0</v>
      </c>
      <c r="AM328">
        <f>vlookup("934-012000-100",B:AZ,column(al1),0)*e328</f>
        <v>0</v>
      </c>
      <c r="AN328">
        <f>vlookup("934-012000-100",B:AZ,column(am1),0)*e328</f>
        <v>0</v>
      </c>
      <c r="AO328">
        <f>vlookup("934-012000-100",B:AZ,column(an1),0)*e328</f>
        <v>0</v>
      </c>
    </row>
    <row r="329" spans="1:41">
      <c r="A329" t="s">
        <v>78</v>
      </c>
      <c r="B329" t="s">
        <v>328</v>
      </c>
      <c r="C329" t="s">
        <v>329</v>
      </c>
      <c r="E329">
        <v>0.02</v>
      </c>
      <c r="F329" t="s">
        <v>13</v>
      </c>
      <c r="I329" t="s">
        <v>15</v>
      </c>
      <c r="J329">
        <f>vlookup("934-012000-100",B:AZ,column(i1),0)*e329</f>
        <v>0</v>
      </c>
      <c r="K329">
        <f>vlookup("934-012000-100",B:AZ,column(j1),0)*e329</f>
        <v>0</v>
      </c>
      <c r="L329">
        <f>vlookup("934-012000-100",B:AZ,column(k1),0)*e329</f>
        <v>0</v>
      </c>
      <c r="M329">
        <f>vlookup("934-012000-100",B:AZ,column(l1),0)*e329</f>
        <v>0</v>
      </c>
      <c r="N329">
        <f>vlookup("934-012000-100",B:AZ,column(m1),0)*e329</f>
        <v>0</v>
      </c>
      <c r="O329">
        <f>vlookup("934-012000-100",B:AZ,column(n1),0)*e329</f>
        <v>0</v>
      </c>
      <c r="P329">
        <f>vlookup("934-012000-100",B:AZ,column(o1),0)*e329</f>
        <v>0</v>
      </c>
      <c r="Q329">
        <f>vlookup("934-012000-100",B:AZ,column(p1),0)*e329</f>
        <v>0</v>
      </c>
      <c r="R329">
        <f>vlookup("934-012000-100",B:AZ,column(q1),0)*e329</f>
        <v>0</v>
      </c>
      <c r="S329">
        <f>vlookup("934-012000-100",B:AZ,column(r1),0)*e329</f>
        <v>0</v>
      </c>
      <c r="T329">
        <f>vlookup("934-012000-100",B:AZ,column(s1),0)*e329</f>
        <v>0</v>
      </c>
      <c r="U329">
        <f>vlookup("934-012000-100",B:AZ,column(t1),0)*e329</f>
        <v>0</v>
      </c>
      <c r="V329">
        <f>vlookup("934-012000-100",B:AZ,column(u1),0)*e329</f>
        <v>0</v>
      </c>
      <c r="W329">
        <f>vlookup("934-012000-100",B:AZ,column(v1),0)*e329</f>
        <v>0</v>
      </c>
      <c r="X329">
        <f>vlookup("934-012000-100",B:AZ,column(w1),0)*e329</f>
        <v>0</v>
      </c>
      <c r="Y329">
        <f>vlookup("934-012000-100",B:AZ,column(x1),0)*e329</f>
        <v>0</v>
      </c>
      <c r="Z329">
        <f>vlookup("934-012000-100",B:AZ,column(y1),0)*e329</f>
        <v>0</v>
      </c>
      <c r="AA329">
        <f>vlookup("934-012000-100",B:AZ,column(z1),0)*e329</f>
        <v>0</v>
      </c>
      <c r="AB329">
        <f>vlookup("934-012000-100",B:AZ,column(aa1),0)*e329</f>
        <v>0</v>
      </c>
      <c r="AC329">
        <f>vlookup("934-012000-100",B:AZ,column(ab1),0)*e329</f>
        <v>0</v>
      </c>
      <c r="AD329">
        <f>vlookup("934-012000-100",B:AZ,column(ac1),0)*e329</f>
        <v>0</v>
      </c>
      <c r="AE329">
        <f>vlookup("934-012000-100",B:AZ,column(ad1),0)*e329</f>
        <v>0</v>
      </c>
      <c r="AF329">
        <f>vlookup("934-012000-100",B:AZ,column(ae1),0)*e329</f>
        <v>0</v>
      </c>
      <c r="AG329">
        <f>vlookup("934-012000-100",B:AZ,column(af1),0)*e329</f>
        <v>0</v>
      </c>
      <c r="AH329">
        <f>vlookup("934-012000-100",B:AZ,column(ag1),0)*e329</f>
        <v>0</v>
      </c>
      <c r="AI329">
        <f>vlookup("934-012000-100",B:AZ,column(ah1),0)*e329</f>
        <v>0</v>
      </c>
      <c r="AJ329">
        <f>vlookup("934-012000-100",B:AZ,column(ai1),0)*e329</f>
        <v>0</v>
      </c>
      <c r="AK329">
        <f>vlookup("934-012000-100",B:AZ,column(aj1),0)*e329</f>
        <v>0</v>
      </c>
      <c r="AL329">
        <f>vlookup("934-012000-100",B:AZ,column(ak1),0)*e329</f>
        <v>0</v>
      </c>
      <c r="AM329">
        <f>vlookup("934-012000-100",B:AZ,column(al1),0)*e329</f>
        <v>0</v>
      </c>
      <c r="AN329">
        <f>vlookup("934-012000-100",B:AZ,column(am1),0)*e329</f>
        <v>0</v>
      </c>
      <c r="AO329">
        <f>vlookup("934-012000-100",B:AZ,column(an1),0)*e329</f>
        <v>0</v>
      </c>
    </row>
    <row r="330" spans="1:41">
      <c r="A330" t="s">
        <v>43</v>
      </c>
      <c r="B330" t="s">
        <v>337</v>
      </c>
      <c r="C330" t="s">
        <v>338</v>
      </c>
      <c r="E330">
        <v>0.02</v>
      </c>
      <c r="F330" t="s">
        <v>13</v>
      </c>
      <c r="I330" t="s">
        <v>15</v>
      </c>
      <c r="J330">
        <f>vlookup("934-012000-100",B:AZ,column(i1),0)*e330</f>
        <v>0</v>
      </c>
      <c r="K330">
        <f>vlookup("934-012000-100",B:AZ,column(j1),0)*e330</f>
        <v>0</v>
      </c>
      <c r="L330">
        <f>vlookup("934-012000-100",B:AZ,column(k1),0)*e330</f>
        <v>0</v>
      </c>
      <c r="M330">
        <f>vlookup("934-012000-100",B:AZ,column(l1),0)*e330</f>
        <v>0</v>
      </c>
      <c r="N330">
        <f>vlookup("934-012000-100",B:AZ,column(m1),0)*e330</f>
        <v>0</v>
      </c>
      <c r="O330">
        <f>vlookup("934-012000-100",B:AZ,column(n1),0)*e330</f>
        <v>0</v>
      </c>
      <c r="P330">
        <f>vlookup("934-012000-100",B:AZ,column(o1),0)*e330</f>
        <v>0</v>
      </c>
      <c r="Q330">
        <f>vlookup("934-012000-100",B:AZ,column(p1),0)*e330</f>
        <v>0</v>
      </c>
      <c r="R330">
        <f>vlookup("934-012000-100",B:AZ,column(q1),0)*e330</f>
        <v>0</v>
      </c>
      <c r="S330">
        <f>vlookup("934-012000-100",B:AZ,column(r1),0)*e330</f>
        <v>0</v>
      </c>
      <c r="T330">
        <f>vlookup("934-012000-100",B:AZ,column(s1),0)*e330</f>
        <v>0</v>
      </c>
      <c r="U330">
        <f>vlookup("934-012000-100",B:AZ,column(t1),0)*e330</f>
        <v>0</v>
      </c>
      <c r="V330">
        <f>vlookup("934-012000-100",B:AZ,column(u1),0)*e330</f>
        <v>0</v>
      </c>
      <c r="W330">
        <f>vlookup("934-012000-100",B:AZ,column(v1),0)*e330</f>
        <v>0</v>
      </c>
      <c r="X330">
        <f>vlookup("934-012000-100",B:AZ,column(w1),0)*e330</f>
        <v>0</v>
      </c>
      <c r="Y330">
        <f>vlookup("934-012000-100",B:AZ,column(x1),0)*e330</f>
        <v>0</v>
      </c>
      <c r="Z330">
        <f>vlookup("934-012000-100",B:AZ,column(y1),0)*e330</f>
        <v>0</v>
      </c>
      <c r="AA330">
        <f>vlookup("934-012000-100",B:AZ,column(z1),0)*e330</f>
        <v>0</v>
      </c>
      <c r="AB330">
        <f>vlookup("934-012000-100",B:AZ,column(aa1),0)*e330</f>
        <v>0</v>
      </c>
      <c r="AC330">
        <f>vlookup("934-012000-100",B:AZ,column(ab1),0)*e330</f>
        <v>0</v>
      </c>
      <c r="AD330">
        <f>vlookup("934-012000-100",B:AZ,column(ac1),0)*e330</f>
        <v>0</v>
      </c>
      <c r="AE330">
        <f>vlookup("934-012000-100",B:AZ,column(ad1),0)*e330</f>
        <v>0</v>
      </c>
      <c r="AF330">
        <f>vlookup("934-012000-100",B:AZ,column(ae1),0)*e330</f>
        <v>0</v>
      </c>
      <c r="AG330">
        <f>vlookup("934-012000-100",B:AZ,column(af1),0)*e330</f>
        <v>0</v>
      </c>
      <c r="AH330">
        <f>vlookup("934-012000-100",B:AZ,column(ag1),0)*e330</f>
        <v>0</v>
      </c>
      <c r="AI330">
        <f>vlookup("934-012000-100",B:AZ,column(ah1),0)*e330</f>
        <v>0</v>
      </c>
      <c r="AJ330">
        <f>vlookup("934-012000-100",B:AZ,column(ai1),0)*e330</f>
        <v>0</v>
      </c>
      <c r="AK330">
        <f>vlookup("934-012000-100",B:AZ,column(aj1),0)*e330</f>
        <v>0</v>
      </c>
      <c r="AL330">
        <f>vlookup("934-012000-100",B:AZ,column(ak1),0)*e330</f>
        <v>0</v>
      </c>
      <c r="AM330">
        <f>vlookup("934-012000-100",B:AZ,column(al1),0)*e330</f>
        <v>0</v>
      </c>
      <c r="AN330">
        <f>vlookup("934-012000-100",B:AZ,column(am1),0)*e330</f>
        <v>0</v>
      </c>
      <c r="AO330">
        <f>vlookup("934-012000-100",B:AZ,column(an1),0)*e330</f>
        <v>0</v>
      </c>
    </row>
    <row r="331" spans="1:41">
      <c r="A331" t="s">
        <v>10</v>
      </c>
      <c r="B331" t="s">
        <v>339</v>
      </c>
      <c r="C331" t="s">
        <v>340</v>
      </c>
      <c r="E331">
        <v>1</v>
      </c>
      <c r="F331" t="s">
        <v>13</v>
      </c>
      <c r="I331" t="s">
        <v>14</v>
      </c>
      <c r="AO331">
        <f>sum(j331:an331)</f>
        <v>0</v>
      </c>
    </row>
    <row r="332" spans="1:41">
      <c r="I332" t="s">
        <v>15</v>
      </c>
      <c r="J332">
        <f>vlookup("921-060000-200",Out!B:AZ,column(i1),0)</f>
        <v>0</v>
      </c>
      <c r="K332">
        <f>vlookup("921-060000-200",Out!B:AZ,column(j1),0)</f>
        <v>0</v>
      </c>
      <c r="L332">
        <f>vlookup("921-060000-200",Out!B:AZ,column(k1),0)</f>
        <v>0</v>
      </c>
      <c r="M332">
        <f>vlookup("921-060000-200",Out!B:AZ,column(l1),0)</f>
        <v>0</v>
      </c>
      <c r="N332">
        <f>vlookup("921-060000-200",Out!B:AZ,column(m1),0)</f>
        <v>0</v>
      </c>
      <c r="O332">
        <f>vlookup("921-060000-200",Out!B:AZ,column(n1),0)</f>
        <v>0</v>
      </c>
      <c r="P332">
        <f>vlookup("921-060000-200",Out!B:AZ,column(o1),0)</f>
        <v>0</v>
      </c>
      <c r="Q332">
        <f>vlookup("921-060000-200",Out!B:AZ,column(p1),0)</f>
        <v>0</v>
      </c>
      <c r="R332">
        <f>vlookup("921-060000-200",Out!B:AZ,column(q1),0)</f>
        <v>0</v>
      </c>
      <c r="S332">
        <f>vlookup("921-060000-200",Out!B:AZ,column(r1),0)</f>
        <v>0</v>
      </c>
      <c r="T332">
        <f>vlookup("921-060000-200",Out!B:AZ,column(s1),0)</f>
        <v>0</v>
      </c>
      <c r="U332">
        <f>vlookup("921-060000-200",Out!B:AZ,column(t1),0)</f>
        <v>0</v>
      </c>
      <c r="V332">
        <f>vlookup("921-060000-200",Out!B:AZ,column(u1),0)</f>
        <v>0</v>
      </c>
      <c r="W332">
        <f>vlookup("921-060000-200",Out!B:AZ,column(v1),0)</f>
        <v>0</v>
      </c>
      <c r="X332">
        <f>vlookup("921-060000-200",Out!B:AZ,column(w1),0)</f>
        <v>0</v>
      </c>
      <c r="Y332">
        <f>vlookup("921-060000-200",Out!B:AZ,column(x1),0)</f>
        <v>0</v>
      </c>
      <c r="Z332">
        <f>vlookup("921-060000-200",Out!B:AZ,column(y1),0)</f>
        <v>0</v>
      </c>
      <c r="AA332">
        <f>vlookup("921-060000-200",Out!B:AZ,column(z1),0)</f>
        <v>0</v>
      </c>
      <c r="AB332">
        <f>vlookup("921-060000-200",Out!B:AZ,column(aa1),0)</f>
        <v>0</v>
      </c>
      <c r="AC332">
        <f>vlookup("921-060000-200",Out!B:AZ,column(ab1),0)</f>
        <v>0</v>
      </c>
      <c r="AD332">
        <f>vlookup("921-060000-200",Out!B:AZ,column(ac1),0)</f>
        <v>0</v>
      </c>
      <c r="AE332">
        <f>vlookup("921-060000-200",Out!B:AZ,column(ad1),0)</f>
        <v>0</v>
      </c>
      <c r="AF332">
        <f>vlookup("921-060000-200",Out!B:AZ,column(ae1),0)</f>
        <v>0</v>
      </c>
      <c r="AG332">
        <f>vlookup("921-060000-200",Out!B:AZ,column(af1),0)</f>
        <v>0</v>
      </c>
      <c r="AH332">
        <f>vlookup("921-060000-200",Out!B:AZ,column(ag1),0)</f>
        <v>0</v>
      </c>
      <c r="AI332">
        <f>vlookup("921-060000-200",Out!B:AZ,column(ah1),0)</f>
        <v>0</v>
      </c>
      <c r="AJ332">
        <f>vlookup("921-060000-200",Out!B:AZ,column(ai1),0)</f>
        <v>0</v>
      </c>
      <c r="AK332">
        <f>vlookup("921-060000-200",Out!B:AZ,column(aj1),0)</f>
        <v>0</v>
      </c>
      <c r="AL332">
        <f>vlookup("921-060000-200",Out!B:AZ,column(ak1),0)</f>
        <v>0</v>
      </c>
      <c r="AM332">
        <f>vlookup("921-060000-200",Out!B:AZ,column(al1),0)</f>
        <v>0</v>
      </c>
      <c r="AN332">
        <f>vlookup("921-060000-200",Out!B:AZ,column(am1),0)</f>
        <v>0</v>
      </c>
      <c r="AO332">
        <f>vlookup("921-060000-200",Out!B:AZ,column(an1),0)</f>
        <v>0</v>
      </c>
    </row>
    <row r="333" spans="1:41">
      <c r="H333" t="s">
        <v>16</v>
      </c>
      <c r="J333">
        <f>indirect(address(333,9))+indirect(address(331,10))-indirect(address(332,10))</f>
        <v>0</v>
      </c>
      <c r="K333">
        <f>indirect(address(333,10))+indirect(address(331,11))-indirect(address(332,11))</f>
        <v>0</v>
      </c>
      <c r="L333">
        <f>indirect(address(333,11))+indirect(address(331,12))-indirect(address(332,12))</f>
        <v>0</v>
      </c>
      <c r="M333">
        <f>indirect(address(333,12))+indirect(address(331,13))-indirect(address(332,13))</f>
        <v>0</v>
      </c>
      <c r="N333">
        <f>indirect(address(333,13))+indirect(address(331,14))-indirect(address(332,14))</f>
        <v>0</v>
      </c>
      <c r="O333">
        <f>indirect(address(333,14))+indirect(address(331,15))-indirect(address(332,15))</f>
        <v>0</v>
      </c>
      <c r="P333">
        <f>indirect(address(333,15))+indirect(address(331,16))-indirect(address(332,16))</f>
        <v>0</v>
      </c>
      <c r="Q333">
        <f>indirect(address(333,16))+indirect(address(331,17))-indirect(address(332,17))</f>
        <v>0</v>
      </c>
      <c r="R333">
        <f>indirect(address(333,17))+indirect(address(331,18))-indirect(address(332,18))</f>
        <v>0</v>
      </c>
      <c r="S333">
        <f>indirect(address(333,18))+indirect(address(331,19))-indirect(address(332,19))</f>
        <v>0</v>
      </c>
      <c r="T333">
        <f>indirect(address(333,19))+indirect(address(331,20))-indirect(address(332,20))</f>
        <v>0</v>
      </c>
      <c r="U333">
        <f>indirect(address(333,20))+indirect(address(331,21))-indirect(address(332,21))</f>
        <v>0</v>
      </c>
      <c r="V333">
        <f>indirect(address(333,21))+indirect(address(331,22))-indirect(address(332,22))</f>
        <v>0</v>
      </c>
      <c r="W333">
        <f>indirect(address(333,22))+indirect(address(331,23))-indirect(address(332,23))</f>
        <v>0</v>
      </c>
      <c r="X333">
        <f>indirect(address(333,23))+indirect(address(331,24))-indirect(address(332,24))</f>
        <v>0</v>
      </c>
      <c r="Y333">
        <f>indirect(address(333,24))+indirect(address(331,25))-indirect(address(332,25))</f>
        <v>0</v>
      </c>
      <c r="Z333">
        <f>indirect(address(333,25))+indirect(address(331,26))-indirect(address(332,26))</f>
        <v>0</v>
      </c>
      <c r="AA333">
        <f>indirect(address(333,26))+indirect(address(331,27))-indirect(address(332,27))</f>
        <v>0</v>
      </c>
      <c r="AB333">
        <f>indirect(address(333,27))+indirect(address(331,28))-indirect(address(332,28))</f>
        <v>0</v>
      </c>
      <c r="AC333">
        <f>indirect(address(333,28))+indirect(address(331,29))-indirect(address(332,29))</f>
        <v>0</v>
      </c>
      <c r="AD333">
        <f>indirect(address(333,29))+indirect(address(331,30))-indirect(address(332,30))</f>
        <v>0</v>
      </c>
      <c r="AE333">
        <f>indirect(address(333,30))+indirect(address(331,31))-indirect(address(332,31))</f>
        <v>0</v>
      </c>
      <c r="AF333">
        <f>indirect(address(333,31))+indirect(address(331,32))-indirect(address(332,32))</f>
        <v>0</v>
      </c>
      <c r="AG333">
        <f>indirect(address(333,32))+indirect(address(331,33))-indirect(address(332,33))</f>
        <v>0</v>
      </c>
      <c r="AH333">
        <f>indirect(address(333,33))+indirect(address(331,34))-indirect(address(332,34))</f>
        <v>0</v>
      </c>
      <c r="AI333">
        <f>indirect(address(333,34))+indirect(address(331,35))-indirect(address(332,35))</f>
        <v>0</v>
      </c>
      <c r="AJ333">
        <f>indirect(address(333,35))+indirect(address(331,36))-indirect(address(332,36))</f>
        <v>0</v>
      </c>
      <c r="AK333">
        <f>indirect(address(333,36))+indirect(address(331,37))-indirect(address(332,37))</f>
        <v>0</v>
      </c>
      <c r="AL333">
        <f>indirect(address(333,37))+indirect(address(331,38))-indirect(address(332,38))</f>
        <v>0</v>
      </c>
      <c r="AM333">
        <f>indirect(address(333,38))+indirect(address(331,39))-indirect(address(332,39))</f>
        <v>0</v>
      </c>
      <c r="AN333">
        <f>indirect(address(333,39))+indirect(address(331,40))-indirect(address(332,40))</f>
        <v>0</v>
      </c>
      <c r="AO333">
        <f>indirect(address(333,40))</f>
        <v>0</v>
      </c>
    </row>
    <row r="334" spans="1:41">
      <c r="A334" t="s">
        <v>17</v>
      </c>
      <c r="B334" t="s">
        <v>341</v>
      </c>
      <c r="C334" t="s">
        <v>342</v>
      </c>
      <c r="E334">
        <v>1</v>
      </c>
      <c r="F334" t="s">
        <v>13</v>
      </c>
      <c r="I334" t="s">
        <v>15</v>
      </c>
      <c r="J334">
        <f>vlookup("921-060000-200",B:AZ,column(i1),0)*e334</f>
        <v>0</v>
      </c>
      <c r="K334">
        <f>vlookup("921-060000-200",B:AZ,column(j1),0)*e334</f>
        <v>0</v>
      </c>
      <c r="L334">
        <f>vlookup("921-060000-200",B:AZ,column(k1),0)*e334</f>
        <v>0</v>
      </c>
      <c r="M334">
        <f>vlookup("921-060000-200",B:AZ,column(l1),0)*e334</f>
        <v>0</v>
      </c>
      <c r="N334">
        <f>vlookup("921-060000-200",B:AZ,column(m1),0)*e334</f>
        <v>0</v>
      </c>
      <c r="O334">
        <f>vlookup("921-060000-200",B:AZ,column(n1),0)*e334</f>
        <v>0</v>
      </c>
      <c r="P334">
        <f>vlookup("921-060000-200",B:AZ,column(o1),0)*e334</f>
        <v>0</v>
      </c>
      <c r="Q334">
        <f>vlookup("921-060000-200",B:AZ,column(p1),0)*e334</f>
        <v>0</v>
      </c>
      <c r="R334">
        <f>vlookup("921-060000-200",B:AZ,column(q1),0)*e334</f>
        <v>0</v>
      </c>
      <c r="S334">
        <f>vlookup("921-060000-200",B:AZ,column(r1),0)*e334</f>
        <v>0</v>
      </c>
      <c r="T334">
        <f>vlookup("921-060000-200",B:AZ,column(s1),0)*e334</f>
        <v>0</v>
      </c>
      <c r="U334">
        <f>vlookup("921-060000-200",B:AZ,column(t1),0)*e334</f>
        <v>0</v>
      </c>
      <c r="V334">
        <f>vlookup("921-060000-200",B:AZ,column(u1),0)*e334</f>
        <v>0</v>
      </c>
      <c r="W334">
        <f>vlookup("921-060000-200",B:AZ,column(v1),0)*e334</f>
        <v>0</v>
      </c>
      <c r="X334">
        <f>vlookup("921-060000-200",B:AZ,column(w1),0)*e334</f>
        <v>0</v>
      </c>
      <c r="Y334">
        <f>vlookup("921-060000-200",B:AZ,column(x1),0)*e334</f>
        <v>0</v>
      </c>
      <c r="Z334">
        <f>vlookup("921-060000-200",B:AZ,column(y1),0)*e334</f>
        <v>0</v>
      </c>
      <c r="AA334">
        <f>vlookup("921-060000-200",B:AZ,column(z1),0)*e334</f>
        <v>0</v>
      </c>
      <c r="AB334">
        <f>vlookup("921-060000-200",B:AZ,column(aa1),0)*e334</f>
        <v>0</v>
      </c>
      <c r="AC334">
        <f>vlookup("921-060000-200",B:AZ,column(ab1),0)*e334</f>
        <v>0</v>
      </c>
      <c r="AD334">
        <f>vlookup("921-060000-200",B:AZ,column(ac1),0)*e334</f>
        <v>0</v>
      </c>
      <c r="AE334">
        <f>vlookup("921-060000-200",B:AZ,column(ad1),0)*e334</f>
        <v>0</v>
      </c>
      <c r="AF334">
        <f>vlookup("921-060000-200",B:AZ,column(ae1),0)*e334</f>
        <v>0</v>
      </c>
      <c r="AG334">
        <f>vlookup("921-060000-200",B:AZ,column(af1),0)*e334</f>
        <v>0</v>
      </c>
      <c r="AH334">
        <f>vlookup("921-060000-200",B:AZ,column(ag1),0)*e334</f>
        <v>0</v>
      </c>
      <c r="AI334">
        <f>vlookup("921-060000-200",B:AZ,column(ah1),0)*e334</f>
        <v>0</v>
      </c>
      <c r="AJ334">
        <f>vlookup("921-060000-200",B:AZ,column(ai1),0)*e334</f>
        <v>0</v>
      </c>
      <c r="AK334">
        <f>vlookup("921-060000-200",B:AZ,column(aj1),0)*e334</f>
        <v>0</v>
      </c>
      <c r="AL334">
        <f>vlookup("921-060000-200",B:AZ,column(ak1),0)*e334</f>
        <v>0</v>
      </c>
      <c r="AM334">
        <f>vlookup("921-060000-200",B:AZ,column(al1),0)*e334</f>
        <v>0</v>
      </c>
      <c r="AN334">
        <f>vlookup("921-060000-200",B:AZ,column(am1),0)*e334</f>
        <v>0</v>
      </c>
      <c r="AO334">
        <f>vlookup("921-060000-200",B:AZ,column(an1),0)*e334</f>
        <v>0</v>
      </c>
    </row>
    <row r="335" spans="1:41">
      <c r="A335" t="s">
        <v>17</v>
      </c>
      <c r="B335" t="s">
        <v>343</v>
      </c>
      <c r="C335" t="s">
        <v>344</v>
      </c>
      <c r="E335">
        <v>1</v>
      </c>
      <c r="F335" t="s">
        <v>13</v>
      </c>
      <c r="I335" t="s">
        <v>15</v>
      </c>
      <c r="J335">
        <f>vlookup("921-060000-200",B:AZ,column(i1),0)*e335</f>
        <v>0</v>
      </c>
      <c r="K335">
        <f>vlookup("921-060000-200",B:AZ,column(j1),0)*e335</f>
        <v>0</v>
      </c>
      <c r="L335">
        <f>vlookup("921-060000-200",B:AZ,column(k1),0)*e335</f>
        <v>0</v>
      </c>
      <c r="M335">
        <f>vlookup("921-060000-200",B:AZ,column(l1),0)*e335</f>
        <v>0</v>
      </c>
      <c r="N335">
        <f>vlookup("921-060000-200",B:AZ,column(m1),0)*e335</f>
        <v>0</v>
      </c>
      <c r="O335">
        <f>vlookup("921-060000-200",B:AZ,column(n1),0)*e335</f>
        <v>0</v>
      </c>
      <c r="P335">
        <f>vlookup("921-060000-200",B:AZ,column(o1),0)*e335</f>
        <v>0</v>
      </c>
      <c r="Q335">
        <f>vlookup("921-060000-200",B:AZ,column(p1),0)*e335</f>
        <v>0</v>
      </c>
      <c r="R335">
        <f>vlookup("921-060000-200",B:AZ,column(q1),0)*e335</f>
        <v>0</v>
      </c>
      <c r="S335">
        <f>vlookup("921-060000-200",B:AZ,column(r1),0)*e335</f>
        <v>0</v>
      </c>
      <c r="T335">
        <f>vlookup("921-060000-200",B:AZ,column(s1),0)*e335</f>
        <v>0</v>
      </c>
      <c r="U335">
        <f>vlookup("921-060000-200",B:AZ,column(t1),0)*e335</f>
        <v>0</v>
      </c>
      <c r="V335">
        <f>vlookup("921-060000-200",B:AZ,column(u1),0)*e335</f>
        <v>0</v>
      </c>
      <c r="W335">
        <f>vlookup("921-060000-200",B:AZ,column(v1),0)*e335</f>
        <v>0</v>
      </c>
      <c r="X335">
        <f>vlookup("921-060000-200",B:AZ,column(w1),0)*e335</f>
        <v>0</v>
      </c>
      <c r="Y335">
        <f>vlookup("921-060000-200",B:AZ,column(x1),0)*e335</f>
        <v>0</v>
      </c>
      <c r="Z335">
        <f>vlookup("921-060000-200",B:AZ,column(y1),0)*e335</f>
        <v>0</v>
      </c>
      <c r="AA335">
        <f>vlookup("921-060000-200",B:AZ,column(z1),0)*e335</f>
        <v>0</v>
      </c>
      <c r="AB335">
        <f>vlookup("921-060000-200",B:AZ,column(aa1),0)*e335</f>
        <v>0</v>
      </c>
      <c r="AC335">
        <f>vlookup("921-060000-200",B:AZ,column(ab1),0)*e335</f>
        <v>0</v>
      </c>
      <c r="AD335">
        <f>vlookup("921-060000-200",B:AZ,column(ac1),0)*e335</f>
        <v>0</v>
      </c>
      <c r="AE335">
        <f>vlookup("921-060000-200",B:AZ,column(ad1),0)*e335</f>
        <v>0</v>
      </c>
      <c r="AF335">
        <f>vlookup("921-060000-200",B:AZ,column(ae1),0)*e335</f>
        <v>0</v>
      </c>
      <c r="AG335">
        <f>vlookup("921-060000-200",B:AZ,column(af1),0)*e335</f>
        <v>0</v>
      </c>
      <c r="AH335">
        <f>vlookup("921-060000-200",B:AZ,column(ag1),0)*e335</f>
        <v>0</v>
      </c>
      <c r="AI335">
        <f>vlookup("921-060000-200",B:AZ,column(ah1),0)*e335</f>
        <v>0</v>
      </c>
      <c r="AJ335">
        <f>vlookup("921-060000-200",B:AZ,column(ai1),0)*e335</f>
        <v>0</v>
      </c>
      <c r="AK335">
        <f>vlookup("921-060000-200",B:AZ,column(aj1),0)*e335</f>
        <v>0</v>
      </c>
      <c r="AL335">
        <f>vlookup("921-060000-200",B:AZ,column(ak1),0)*e335</f>
        <v>0</v>
      </c>
      <c r="AM335">
        <f>vlookup("921-060000-200",B:AZ,column(al1),0)*e335</f>
        <v>0</v>
      </c>
      <c r="AN335">
        <f>vlookup("921-060000-200",B:AZ,column(am1),0)*e335</f>
        <v>0</v>
      </c>
      <c r="AO335">
        <f>vlookup("921-060000-200",B:AZ,column(an1),0)*e335</f>
        <v>0</v>
      </c>
    </row>
    <row r="336" spans="1:41">
      <c r="A336" t="s">
        <v>22</v>
      </c>
      <c r="B336" t="s">
        <v>345</v>
      </c>
      <c r="C336" t="s">
        <v>346</v>
      </c>
      <c r="E336">
        <v>1</v>
      </c>
      <c r="F336" t="s">
        <v>13</v>
      </c>
      <c r="I336" t="s">
        <v>15</v>
      </c>
      <c r="J336">
        <f>vlookup("921-060000-200",B:AZ,column(i1),0)*e336</f>
        <v>0</v>
      </c>
      <c r="K336">
        <f>vlookup("921-060000-200",B:AZ,column(j1),0)*e336</f>
        <v>0</v>
      </c>
      <c r="L336">
        <f>vlookup("921-060000-200",B:AZ,column(k1),0)*e336</f>
        <v>0</v>
      </c>
      <c r="M336">
        <f>vlookup("921-060000-200",B:AZ,column(l1),0)*e336</f>
        <v>0</v>
      </c>
      <c r="N336">
        <f>vlookup("921-060000-200",B:AZ,column(m1),0)*e336</f>
        <v>0</v>
      </c>
      <c r="O336">
        <f>vlookup("921-060000-200",B:AZ,column(n1),0)*e336</f>
        <v>0</v>
      </c>
      <c r="P336">
        <f>vlookup("921-060000-200",B:AZ,column(o1),0)*e336</f>
        <v>0</v>
      </c>
      <c r="Q336">
        <f>vlookup("921-060000-200",B:AZ,column(p1),0)*e336</f>
        <v>0</v>
      </c>
      <c r="R336">
        <f>vlookup("921-060000-200",B:AZ,column(q1),0)*e336</f>
        <v>0</v>
      </c>
      <c r="S336">
        <f>vlookup("921-060000-200",B:AZ,column(r1),0)*e336</f>
        <v>0</v>
      </c>
      <c r="T336">
        <f>vlookup("921-060000-200",B:AZ,column(s1),0)*e336</f>
        <v>0</v>
      </c>
      <c r="U336">
        <f>vlookup("921-060000-200",B:AZ,column(t1),0)*e336</f>
        <v>0</v>
      </c>
      <c r="V336">
        <f>vlookup("921-060000-200",B:AZ,column(u1),0)*e336</f>
        <v>0</v>
      </c>
      <c r="W336">
        <f>vlookup("921-060000-200",B:AZ,column(v1),0)*e336</f>
        <v>0</v>
      </c>
      <c r="X336">
        <f>vlookup("921-060000-200",B:AZ,column(w1),0)*e336</f>
        <v>0</v>
      </c>
      <c r="Y336">
        <f>vlookup("921-060000-200",B:AZ,column(x1),0)*e336</f>
        <v>0</v>
      </c>
      <c r="Z336">
        <f>vlookup("921-060000-200",B:AZ,column(y1),0)*e336</f>
        <v>0</v>
      </c>
      <c r="AA336">
        <f>vlookup("921-060000-200",B:AZ,column(z1),0)*e336</f>
        <v>0</v>
      </c>
      <c r="AB336">
        <f>vlookup("921-060000-200",B:AZ,column(aa1),0)*e336</f>
        <v>0</v>
      </c>
      <c r="AC336">
        <f>vlookup("921-060000-200",B:AZ,column(ab1),0)*e336</f>
        <v>0</v>
      </c>
      <c r="AD336">
        <f>vlookup("921-060000-200",B:AZ,column(ac1),0)*e336</f>
        <v>0</v>
      </c>
      <c r="AE336">
        <f>vlookup("921-060000-200",B:AZ,column(ad1),0)*e336</f>
        <v>0</v>
      </c>
      <c r="AF336">
        <f>vlookup("921-060000-200",B:AZ,column(ae1),0)*e336</f>
        <v>0</v>
      </c>
      <c r="AG336">
        <f>vlookup("921-060000-200",B:AZ,column(af1),0)*e336</f>
        <v>0</v>
      </c>
      <c r="AH336">
        <f>vlookup("921-060000-200",B:AZ,column(ag1),0)*e336</f>
        <v>0</v>
      </c>
      <c r="AI336">
        <f>vlookup("921-060000-200",B:AZ,column(ah1),0)*e336</f>
        <v>0</v>
      </c>
      <c r="AJ336">
        <f>vlookup("921-060000-200",B:AZ,column(ai1),0)*e336</f>
        <v>0</v>
      </c>
      <c r="AK336">
        <f>vlookup("921-060000-200",B:AZ,column(aj1),0)*e336</f>
        <v>0</v>
      </c>
      <c r="AL336">
        <f>vlookup("921-060000-200",B:AZ,column(ak1),0)*e336</f>
        <v>0</v>
      </c>
      <c r="AM336">
        <f>vlookup("921-060000-200",B:AZ,column(al1),0)*e336</f>
        <v>0</v>
      </c>
      <c r="AN336">
        <f>vlookup("921-060000-200",B:AZ,column(am1),0)*e336</f>
        <v>0</v>
      </c>
      <c r="AO336">
        <f>vlookup("921-060000-200",B:AZ,column(an1),0)*e336</f>
        <v>0</v>
      </c>
    </row>
    <row r="337" spans="1:41">
      <c r="A337" t="s">
        <v>22</v>
      </c>
      <c r="B337" t="s">
        <v>347</v>
      </c>
      <c r="C337" t="s">
        <v>348</v>
      </c>
      <c r="E337">
        <v>1</v>
      </c>
      <c r="F337" t="s">
        <v>13</v>
      </c>
      <c r="I337" t="s">
        <v>15</v>
      </c>
      <c r="J337">
        <f>vlookup("921-060000-200",B:AZ,column(i1),0)*e337</f>
        <v>0</v>
      </c>
      <c r="K337">
        <f>vlookup("921-060000-200",B:AZ,column(j1),0)*e337</f>
        <v>0</v>
      </c>
      <c r="L337">
        <f>vlookup("921-060000-200",B:AZ,column(k1),0)*e337</f>
        <v>0</v>
      </c>
      <c r="M337">
        <f>vlookup("921-060000-200",B:AZ,column(l1),0)*e337</f>
        <v>0</v>
      </c>
      <c r="N337">
        <f>vlookup("921-060000-200",B:AZ,column(m1),0)*e337</f>
        <v>0</v>
      </c>
      <c r="O337">
        <f>vlookup("921-060000-200",B:AZ,column(n1),0)*e337</f>
        <v>0</v>
      </c>
      <c r="P337">
        <f>vlookup("921-060000-200",B:AZ,column(o1),0)*e337</f>
        <v>0</v>
      </c>
      <c r="Q337">
        <f>vlookup("921-060000-200",B:AZ,column(p1),0)*e337</f>
        <v>0</v>
      </c>
      <c r="R337">
        <f>vlookup("921-060000-200",B:AZ,column(q1),0)*e337</f>
        <v>0</v>
      </c>
      <c r="S337">
        <f>vlookup("921-060000-200",B:AZ,column(r1),0)*e337</f>
        <v>0</v>
      </c>
      <c r="T337">
        <f>vlookup("921-060000-200",B:AZ,column(s1),0)*e337</f>
        <v>0</v>
      </c>
      <c r="U337">
        <f>vlookup("921-060000-200",B:AZ,column(t1),0)*e337</f>
        <v>0</v>
      </c>
      <c r="V337">
        <f>vlookup("921-060000-200",B:AZ,column(u1),0)*e337</f>
        <v>0</v>
      </c>
      <c r="W337">
        <f>vlookup("921-060000-200",B:AZ,column(v1),0)*e337</f>
        <v>0</v>
      </c>
      <c r="X337">
        <f>vlookup("921-060000-200",B:AZ,column(w1),0)*e337</f>
        <v>0</v>
      </c>
      <c r="Y337">
        <f>vlookup("921-060000-200",B:AZ,column(x1),0)*e337</f>
        <v>0</v>
      </c>
      <c r="Z337">
        <f>vlookup("921-060000-200",B:AZ,column(y1),0)*e337</f>
        <v>0</v>
      </c>
      <c r="AA337">
        <f>vlookup("921-060000-200",B:AZ,column(z1),0)*e337</f>
        <v>0</v>
      </c>
      <c r="AB337">
        <f>vlookup("921-060000-200",B:AZ,column(aa1),0)*e337</f>
        <v>0</v>
      </c>
      <c r="AC337">
        <f>vlookup("921-060000-200",B:AZ,column(ab1),0)*e337</f>
        <v>0</v>
      </c>
      <c r="AD337">
        <f>vlookup("921-060000-200",B:AZ,column(ac1),0)*e337</f>
        <v>0</v>
      </c>
      <c r="AE337">
        <f>vlookup("921-060000-200",B:AZ,column(ad1),0)*e337</f>
        <v>0</v>
      </c>
      <c r="AF337">
        <f>vlookup("921-060000-200",B:AZ,column(ae1),0)*e337</f>
        <v>0</v>
      </c>
      <c r="AG337">
        <f>vlookup("921-060000-200",B:AZ,column(af1),0)*e337</f>
        <v>0</v>
      </c>
      <c r="AH337">
        <f>vlookup("921-060000-200",B:AZ,column(ag1),0)*e337</f>
        <v>0</v>
      </c>
      <c r="AI337">
        <f>vlookup("921-060000-200",B:AZ,column(ah1),0)*e337</f>
        <v>0</v>
      </c>
      <c r="AJ337">
        <f>vlookup("921-060000-200",B:AZ,column(ai1),0)*e337</f>
        <v>0</v>
      </c>
      <c r="AK337">
        <f>vlookup("921-060000-200",B:AZ,column(aj1),0)*e337</f>
        <v>0</v>
      </c>
      <c r="AL337">
        <f>vlookup("921-060000-200",B:AZ,column(ak1),0)*e337</f>
        <v>0</v>
      </c>
      <c r="AM337">
        <f>vlookup("921-060000-200",B:AZ,column(al1),0)*e337</f>
        <v>0</v>
      </c>
      <c r="AN337">
        <f>vlookup("921-060000-200",B:AZ,column(am1),0)*e337</f>
        <v>0</v>
      </c>
      <c r="AO337">
        <f>vlookup("921-060000-200",B:AZ,column(an1),0)*e337</f>
        <v>0</v>
      </c>
    </row>
    <row r="338" spans="1:41">
      <c r="A338" t="s">
        <v>22</v>
      </c>
      <c r="B338" t="s">
        <v>349</v>
      </c>
      <c r="C338" t="s">
        <v>350</v>
      </c>
      <c r="E338">
        <v>1</v>
      </c>
      <c r="F338" t="s">
        <v>13</v>
      </c>
      <c r="I338" t="s">
        <v>15</v>
      </c>
      <c r="J338">
        <f>vlookup("921-060000-200",B:AZ,column(i1),0)*e338</f>
        <v>0</v>
      </c>
      <c r="K338">
        <f>vlookup("921-060000-200",B:AZ,column(j1),0)*e338</f>
        <v>0</v>
      </c>
      <c r="L338">
        <f>vlookup("921-060000-200",B:AZ,column(k1),0)*e338</f>
        <v>0</v>
      </c>
      <c r="M338">
        <f>vlookup("921-060000-200",B:AZ,column(l1),0)*e338</f>
        <v>0</v>
      </c>
      <c r="N338">
        <f>vlookup("921-060000-200",B:AZ,column(m1),0)*e338</f>
        <v>0</v>
      </c>
      <c r="O338">
        <f>vlookup("921-060000-200",B:AZ,column(n1),0)*e338</f>
        <v>0</v>
      </c>
      <c r="P338">
        <f>vlookup("921-060000-200",B:AZ,column(o1),0)*e338</f>
        <v>0</v>
      </c>
      <c r="Q338">
        <f>vlookup("921-060000-200",B:AZ,column(p1),0)*e338</f>
        <v>0</v>
      </c>
      <c r="R338">
        <f>vlookup("921-060000-200",B:AZ,column(q1),0)*e338</f>
        <v>0</v>
      </c>
      <c r="S338">
        <f>vlookup("921-060000-200",B:AZ,column(r1),0)*e338</f>
        <v>0</v>
      </c>
      <c r="T338">
        <f>vlookup("921-060000-200",B:AZ,column(s1),0)*e338</f>
        <v>0</v>
      </c>
      <c r="U338">
        <f>vlookup("921-060000-200",B:AZ,column(t1),0)*e338</f>
        <v>0</v>
      </c>
      <c r="V338">
        <f>vlookup("921-060000-200",B:AZ,column(u1),0)*e338</f>
        <v>0</v>
      </c>
      <c r="W338">
        <f>vlookup("921-060000-200",B:AZ,column(v1),0)*e338</f>
        <v>0</v>
      </c>
      <c r="X338">
        <f>vlookup("921-060000-200",B:AZ,column(w1),0)*e338</f>
        <v>0</v>
      </c>
      <c r="Y338">
        <f>vlookup("921-060000-200",B:AZ,column(x1),0)*e338</f>
        <v>0</v>
      </c>
      <c r="Z338">
        <f>vlookup("921-060000-200",B:AZ,column(y1),0)*e338</f>
        <v>0</v>
      </c>
      <c r="AA338">
        <f>vlookup("921-060000-200",B:AZ,column(z1),0)*e338</f>
        <v>0</v>
      </c>
      <c r="AB338">
        <f>vlookup("921-060000-200",B:AZ,column(aa1),0)*e338</f>
        <v>0</v>
      </c>
      <c r="AC338">
        <f>vlookup("921-060000-200",B:AZ,column(ab1),0)*e338</f>
        <v>0</v>
      </c>
      <c r="AD338">
        <f>vlookup("921-060000-200",B:AZ,column(ac1),0)*e338</f>
        <v>0</v>
      </c>
      <c r="AE338">
        <f>vlookup("921-060000-200",B:AZ,column(ad1),0)*e338</f>
        <v>0</v>
      </c>
      <c r="AF338">
        <f>vlookup("921-060000-200",B:AZ,column(ae1),0)*e338</f>
        <v>0</v>
      </c>
      <c r="AG338">
        <f>vlookup("921-060000-200",B:AZ,column(af1),0)*e338</f>
        <v>0</v>
      </c>
      <c r="AH338">
        <f>vlookup("921-060000-200",B:AZ,column(ag1),0)*e338</f>
        <v>0</v>
      </c>
      <c r="AI338">
        <f>vlookup("921-060000-200",B:AZ,column(ah1),0)*e338</f>
        <v>0</v>
      </c>
      <c r="AJ338">
        <f>vlookup("921-060000-200",B:AZ,column(ai1),0)*e338</f>
        <v>0</v>
      </c>
      <c r="AK338">
        <f>vlookup("921-060000-200",B:AZ,column(aj1),0)*e338</f>
        <v>0</v>
      </c>
      <c r="AL338">
        <f>vlookup("921-060000-200",B:AZ,column(ak1),0)*e338</f>
        <v>0</v>
      </c>
      <c r="AM338">
        <f>vlookup("921-060000-200",B:AZ,column(al1),0)*e338</f>
        <v>0</v>
      </c>
      <c r="AN338">
        <f>vlookup("921-060000-200",B:AZ,column(am1),0)*e338</f>
        <v>0</v>
      </c>
      <c r="AO338">
        <f>vlookup("921-060000-200",B:AZ,column(an1),0)*e338</f>
        <v>0</v>
      </c>
    </row>
    <row r="339" spans="1:41">
      <c r="A339" t="s">
        <v>22</v>
      </c>
      <c r="B339" t="s">
        <v>351</v>
      </c>
      <c r="C339" t="s">
        <v>352</v>
      </c>
      <c r="E339">
        <v>1</v>
      </c>
      <c r="F339" t="s">
        <v>13</v>
      </c>
      <c r="I339" t="s">
        <v>15</v>
      </c>
      <c r="J339">
        <f>vlookup("921-060000-200",B:AZ,column(i1),0)*e339</f>
        <v>0</v>
      </c>
      <c r="K339">
        <f>vlookup("921-060000-200",B:AZ,column(j1),0)*e339</f>
        <v>0</v>
      </c>
      <c r="L339">
        <f>vlookup("921-060000-200",B:AZ,column(k1),0)*e339</f>
        <v>0</v>
      </c>
      <c r="M339">
        <f>vlookup("921-060000-200",B:AZ,column(l1),0)*e339</f>
        <v>0</v>
      </c>
      <c r="N339">
        <f>vlookup("921-060000-200",B:AZ,column(m1),0)*e339</f>
        <v>0</v>
      </c>
      <c r="O339">
        <f>vlookup("921-060000-200",B:AZ,column(n1),0)*e339</f>
        <v>0</v>
      </c>
      <c r="P339">
        <f>vlookup("921-060000-200",B:AZ,column(o1),0)*e339</f>
        <v>0</v>
      </c>
      <c r="Q339">
        <f>vlookup("921-060000-200",B:AZ,column(p1),0)*e339</f>
        <v>0</v>
      </c>
      <c r="R339">
        <f>vlookup("921-060000-200",B:AZ,column(q1),0)*e339</f>
        <v>0</v>
      </c>
      <c r="S339">
        <f>vlookup("921-060000-200",B:AZ,column(r1),0)*e339</f>
        <v>0</v>
      </c>
      <c r="T339">
        <f>vlookup("921-060000-200",B:AZ,column(s1),0)*e339</f>
        <v>0</v>
      </c>
      <c r="U339">
        <f>vlookup("921-060000-200",B:AZ,column(t1),0)*e339</f>
        <v>0</v>
      </c>
      <c r="V339">
        <f>vlookup("921-060000-200",B:AZ,column(u1),0)*e339</f>
        <v>0</v>
      </c>
      <c r="W339">
        <f>vlookup("921-060000-200",B:AZ,column(v1),0)*e339</f>
        <v>0</v>
      </c>
      <c r="X339">
        <f>vlookup("921-060000-200",B:AZ,column(w1),0)*e339</f>
        <v>0</v>
      </c>
      <c r="Y339">
        <f>vlookup("921-060000-200",B:AZ,column(x1),0)*e339</f>
        <v>0</v>
      </c>
      <c r="Z339">
        <f>vlookup("921-060000-200",B:AZ,column(y1),0)*e339</f>
        <v>0</v>
      </c>
      <c r="AA339">
        <f>vlookup("921-060000-200",B:AZ,column(z1),0)*e339</f>
        <v>0</v>
      </c>
      <c r="AB339">
        <f>vlookup("921-060000-200",B:AZ,column(aa1),0)*e339</f>
        <v>0</v>
      </c>
      <c r="AC339">
        <f>vlookup("921-060000-200",B:AZ,column(ab1),0)*e339</f>
        <v>0</v>
      </c>
      <c r="AD339">
        <f>vlookup("921-060000-200",B:AZ,column(ac1),0)*e339</f>
        <v>0</v>
      </c>
      <c r="AE339">
        <f>vlookup("921-060000-200",B:AZ,column(ad1),0)*e339</f>
        <v>0</v>
      </c>
      <c r="AF339">
        <f>vlookup("921-060000-200",B:AZ,column(ae1),0)*e339</f>
        <v>0</v>
      </c>
      <c r="AG339">
        <f>vlookup("921-060000-200",B:AZ,column(af1),0)*e339</f>
        <v>0</v>
      </c>
      <c r="AH339">
        <f>vlookup("921-060000-200",B:AZ,column(ag1),0)*e339</f>
        <v>0</v>
      </c>
      <c r="AI339">
        <f>vlookup("921-060000-200",B:AZ,column(ah1),0)*e339</f>
        <v>0</v>
      </c>
      <c r="AJ339">
        <f>vlookup("921-060000-200",B:AZ,column(ai1),0)*e339</f>
        <v>0</v>
      </c>
      <c r="AK339">
        <f>vlookup("921-060000-200",B:AZ,column(aj1),0)*e339</f>
        <v>0</v>
      </c>
      <c r="AL339">
        <f>vlookup("921-060000-200",B:AZ,column(ak1),0)*e339</f>
        <v>0</v>
      </c>
      <c r="AM339">
        <f>vlookup("921-060000-200",B:AZ,column(al1),0)*e339</f>
        <v>0</v>
      </c>
      <c r="AN339">
        <f>vlookup("921-060000-200",B:AZ,column(am1),0)*e339</f>
        <v>0</v>
      </c>
      <c r="AO339">
        <f>vlookup("921-060000-200",B:AZ,column(an1),0)*e339</f>
        <v>0</v>
      </c>
    </row>
    <row r="340" spans="1:41">
      <c r="A340" t="s">
        <v>22</v>
      </c>
      <c r="B340" t="s">
        <v>353</v>
      </c>
      <c r="C340" t="s">
        <v>354</v>
      </c>
      <c r="E340">
        <v>1</v>
      </c>
      <c r="F340" t="s">
        <v>13</v>
      </c>
      <c r="I340" t="s">
        <v>15</v>
      </c>
      <c r="J340">
        <f>vlookup("921-060000-200",B:AZ,column(i1),0)*e340</f>
        <v>0</v>
      </c>
      <c r="K340">
        <f>vlookup("921-060000-200",B:AZ,column(j1),0)*e340</f>
        <v>0</v>
      </c>
      <c r="L340">
        <f>vlookup("921-060000-200",B:AZ,column(k1),0)*e340</f>
        <v>0</v>
      </c>
      <c r="M340">
        <f>vlookup("921-060000-200",B:AZ,column(l1),0)*e340</f>
        <v>0</v>
      </c>
      <c r="N340">
        <f>vlookup("921-060000-200",B:AZ,column(m1),0)*e340</f>
        <v>0</v>
      </c>
      <c r="O340">
        <f>vlookup("921-060000-200",B:AZ,column(n1),0)*e340</f>
        <v>0</v>
      </c>
      <c r="P340">
        <f>vlookup("921-060000-200",B:AZ,column(o1),0)*e340</f>
        <v>0</v>
      </c>
      <c r="Q340">
        <f>vlookup("921-060000-200",B:AZ,column(p1),0)*e340</f>
        <v>0</v>
      </c>
      <c r="R340">
        <f>vlookup("921-060000-200",B:AZ,column(q1),0)*e340</f>
        <v>0</v>
      </c>
      <c r="S340">
        <f>vlookup("921-060000-200",B:AZ,column(r1),0)*e340</f>
        <v>0</v>
      </c>
      <c r="T340">
        <f>vlookup("921-060000-200",B:AZ,column(s1),0)*e340</f>
        <v>0</v>
      </c>
      <c r="U340">
        <f>vlookup("921-060000-200",B:AZ,column(t1),0)*e340</f>
        <v>0</v>
      </c>
      <c r="V340">
        <f>vlookup("921-060000-200",B:AZ,column(u1),0)*e340</f>
        <v>0</v>
      </c>
      <c r="W340">
        <f>vlookup("921-060000-200",B:AZ,column(v1),0)*e340</f>
        <v>0</v>
      </c>
      <c r="X340">
        <f>vlookup("921-060000-200",B:AZ,column(w1),0)*e340</f>
        <v>0</v>
      </c>
      <c r="Y340">
        <f>vlookup("921-060000-200",B:AZ,column(x1),0)*e340</f>
        <v>0</v>
      </c>
      <c r="Z340">
        <f>vlookup("921-060000-200",B:AZ,column(y1),0)*e340</f>
        <v>0</v>
      </c>
      <c r="AA340">
        <f>vlookup("921-060000-200",B:AZ,column(z1),0)*e340</f>
        <v>0</v>
      </c>
      <c r="AB340">
        <f>vlookup("921-060000-200",B:AZ,column(aa1),0)*e340</f>
        <v>0</v>
      </c>
      <c r="AC340">
        <f>vlookup("921-060000-200",B:AZ,column(ab1),0)*e340</f>
        <v>0</v>
      </c>
      <c r="AD340">
        <f>vlookup("921-060000-200",B:AZ,column(ac1),0)*e340</f>
        <v>0</v>
      </c>
      <c r="AE340">
        <f>vlookup("921-060000-200",B:AZ,column(ad1),0)*e340</f>
        <v>0</v>
      </c>
      <c r="AF340">
        <f>vlookup("921-060000-200",B:AZ,column(ae1),0)*e340</f>
        <v>0</v>
      </c>
      <c r="AG340">
        <f>vlookup("921-060000-200",B:AZ,column(af1),0)*e340</f>
        <v>0</v>
      </c>
      <c r="AH340">
        <f>vlookup("921-060000-200",B:AZ,column(ag1),0)*e340</f>
        <v>0</v>
      </c>
      <c r="AI340">
        <f>vlookup("921-060000-200",B:AZ,column(ah1),0)*e340</f>
        <v>0</v>
      </c>
      <c r="AJ340">
        <f>vlookup("921-060000-200",B:AZ,column(ai1),0)*e340</f>
        <v>0</v>
      </c>
      <c r="AK340">
        <f>vlookup("921-060000-200",B:AZ,column(aj1),0)*e340</f>
        <v>0</v>
      </c>
      <c r="AL340">
        <f>vlookup("921-060000-200",B:AZ,column(ak1),0)*e340</f>
        <v>0</v>
      </c>
      <c r="AM340">
        <f>vlookup("921-060000-200",B:AZ,column(al1),0)*e340</f>
        <v>0</v>
      </c>
      <c r="AN340">
        <f>vlookup("921-060000-200",B:AZ,column(am1),0)*e340</f>
        <v>0</v>
      </c>
      <c r="AO340">
        <f>vlookup("921-060000-200",B:AZ,column(an1),0)*e340</f>
        <v>0</v>
      </c>
    </row>
    <row r="341" spans="1:41">
      <c r="A341" t="s">
        <v>22</v>
      </c>
      <c r="B341" t="s">
        <v>355</v>
      </c>
      <c r="C341" t="s">
        <v>356</v>
      </c>
      <c r="E341">
        <v>1</v>
      </c>
      <c r="F341" t="s">
        <v>13</v>
      </c>
      <c r="I341" t="s">
        <v>15</v>
      </c>
      <c r="J341">
        <f>vlookup("921-060000-200",B:AZ,column(i1),0)*e341</f>
        <v>0</v>
      </c>
      <c r="K341">
        <f>vlookup("921-060000-200",B:AZ,column(j1),0)*e341</f>
        <v>0</v>
      </c>
      <c r="L341">
        <f>vlookup("921-060000-200",B:AZ,column(k1),0)*e341</f>
        <v>0</v>
      </c>
      <c r="M341">
        <f>vlookup("921-060000-200",B:AZ,column(l1),0)*e341</f>
        <v>0</v>
      </c>
      <c r="N341">
        <f>vlookup("921-060000-200",B:AZ,column(m1),0)*e341</f>
        <v>0</v>
      </c>
      <c r="O341">
        <f>vlookup("921-060000-200",B:AZ,column(n1),0)*e341</f>
        <v>0</v>
      </c>
      <c r="P341">
        <f>vlookup("921-060000-200",B:AZ,column(o1),0)*e341</f>
        <v>0</v>
      </c>
      <c r="Q341">
        <f>vlookup("921-060000-200",B:AZ,column(p1),0)*e341</f>
        <v>0</v>
      </c>
      <c r="R341">
        <f>vlookup("921-060000-200",B:AZ,column(q1),0)*e341</f>
        <v>0</v>
      </c>
      <c r="S341">
        <f>vlookup("921-060000-200",B:AZ,column(r1),0)*e341</f>
        <v>0</v>
      </c>
      <c r="T341">
        <f>vlookup("921-060000-200",B:AZ,column(s1),0)*e341</f>
        <v>0</v>
      </c>
      <c r="U341">
        <f>vlookup("921-060000-200",B:AZ,column(t1),0)*e341</f>
        <v>0</v>
      </c>
      <c r="V341">
        <f>vlookup("921-060000-200",B:AZ,column(u1),0)*e341</f>
        <v>0</v>
      </c>
      <c r="W341">
        <f>vlookup("921-060000-200",B:AZ,column(v1),0)*e341</f>
        <v>0</v>
      </c>
      <c r="X341">
        <f>vlookup("921-060000-200",B:AZ,column(w1),0)*e341</f>
        <v>0</v>
      </c>
      <c r="Y341">
        <f>vlookup("921-060000-200",B:AZ,column(x1),0)*e341</f>
        <v>0</v>
      </c>
      <c r="Z341">
        <f>vlookup("921-060000-200",B:AZ,column(y1),0)*e341</f>
        <v>0</v>
      </c>
      <c r="AA341">
        <f>vlookup("921-060000-200",B:AZ,column(z1),0)*e341</f>
        <v>0</v>
      </c>
      <c r="AB341">
        <f>vlookup("921-060000-200",B:AZ,column(aa1),0)*e341</f>
        <v>0</v>
      </c>
      <c r="AC341">
        <f>vlookup("921-060000-200",B:AZ,column(ab1),0)*e341</f>
        <v>0</v>
      </c>
      <c r="AD341">
        <f>vlookup("921-060000-200",B:AZ,column(ac1),0)*e341</f>
        <v>0</v>
      </c>
      <c r="AE341">
        <f>vlookup("921-060000-200",B:AZ,column(ad1),0)*e341</f>
        <v>0</v>
      </c>
      <c r="AF341">
        <f>vlookup("921-060000-200",B:AZ,column(ae1),0)*e341</f>
        <v>0</v>
      </c>
      <c r="AG341">
        <f>vlookup("921-060000-200",B:AZ,column(af1),0)*e341</f>
        <v>0</v>
      </c>
      <c r="AH341">
        <f>vlookup("921-060000-200",B:AZ,column(ag1),0)*e341</f>
        <v>0</v>
      </c>
      <c r="AI341">
        <f>vlookup("921-060000-200",B:AZ,column(ah1),0)*e341</f>
        <v>0</v>
      </c>
      <c r="AJ341">
        <f>vlookup("921-060000-200",B:AZ,column(ai1),0)*e341</f>
        <v>0</v>
      </c>
      <c r="AK341">
        <f>vlookup("921-060000-200",B:AZ,column(aj1),0)*e341</f>
        <v>0</v>
      </c>
      <c r="AL341">
        <f>vlookup("921-060000-200",B:AZ,column(ak1),0)*e341</f>
        <v>0</v>
      </c>
      <c r="AM341">
        <f>vlookup("921-060000-200",B:AZ,column(al1),0)*e341</f>
        <v>0</v>
      </c>
      <c r="AN341">
        <f>vlookup("921-060000-200",B:AZ,column(am1),0)*e341</f>
        <v>0</v>
      </c>
      <c r="AO341">
        <f>vlookup("921-060000-200",B:AZ,column(an1),0)*e341</f>
        <v>0</v>
      </c>
    </row>
    <row r="342" spans="1:41">
      <c r="A342" t="s">
        <v>22</v>
      </c>
      <c r="B342" t="s">
        <v>357</v>
      </c>
      <c r="C342" t="s">
        <v>358</v>
      </c>
      <c r="E342">
        <v>1</v>
      </c>
      <c r="F342" t="s">
        <v>13</v>
      </c>
      <c r="I342" t="s">
        <v>15</v>
      </c>
      <c r="J342">
        <f>vlookup("921-060000-200",B:AZ,column(i1),0)*e342</f>
        <v>0</v>
      </c>
      <c r="K342">
        <f>vlookup("921-060000-200",B:AZ,column(j1),0)*e342</f>
        <v>0</v>
      </c>
      <c r="L342">
        <f>vlookup("921-060000-200",B:AZ,column(k1),0)*e342</f>
        <v>0</v>
      </c>
      <c r="M342">
        <f>vlookup("921-060000-200",B:AZ,column(l1),0)*e342</f>
        <v>0</v>
      </c>
      <c r="N342">
        <f>vlookup("921-060000-200",B:AZ,column(m1),0)*e342</f>
        <v>0</v>
      </c>
      <c r="O342">
        <f>vlookup("921-060000-200",B:AZ,column(n1),0)*e342</f>
        <v>0</v>
      </c>
      <c r="P342">
        <f>vlookup("921-060000-200",B:AZ,column(o1),0)*e342</f>
        <v>0</v>
      </c>
      <c r="Q342">
        <f>vlookup("921-060000-200",B:AZ,column(p1),0)*e342</f>
        <v>0</v>
      </c>
      <c r="R342">
        <f>vlookup("921-060000-200",B:AZ,column(q1),0)*e342</f>
        <v>0</v>
      </c>
      <c r="S342">
        <f>vlookup("921-060000-200",B:AZ,column(r1),0)*e342</f>
        <v>0</v>
      </c>
      <c r="T342">
        <f>vlookup("921-060000-200",B:AZ,column(s1),0)*e342</f>
        <v>0</v>
      </c>
      <c r="U342">
        <f>vlookup("921-060000-200",B:AZ,column(t1),0)*e342</f>
        <v>0</v>
      </c>
      <c r="V342">
        <f>vlookup("921-060000-200",B:AZ,column(u1),0)*e342</f>
        <v>0</v>
      </c>
      <c r="W342">
        <f>vlookup("921-060000-200",B:AZ,column(v1),0)*e342</f>
        <v>0</v>
      </c>
      <c r="X342">
        <f>vlookup("921-060000-200",B:AZ,column(w1),0)*e342</f>
        <v>0</v>
      </c>
      <c r="Y342">
        <f>vlookup("921-060000-200",B:AZ,column(x1),0)*e342</f>
        <v>0</v>
      </c>
      <c r="Z342">
        <f>vlookup("921-060000-200",B:AZ,column(y1),0)*e342</f>
        <v>0</v>
      </c>
      <c r="AA342">
        <f>vlookup("921-060000-200",B:AZ,column(z1),0)*e342</f>
        <v>0</v>
      </c>
      <c r="AB342">
        <f>vlookup("921-060000-200",B:AZ,column(aa1),0)*e342</f>
        <v>0</v>
      </c>
      <c r="AC342">
        <f>vlookup("921-060000-200",B:AZ,column(ab1),0)*e342</f>
        <v>0</v>
      </c>
      <c r="AD342">
        <f>vlookup("921-060000-200",B:AZ,column(ac1),0)*e342</f>
        <v>0</v>
      </c>
      <c r="AE342">
        <f>vlookup("921-060000-200",B:AZ,column(ad1),0)*e342</f>
        <v>0</v>
      </c>
      <c r="AF342">
        <f>vlookup("921-060000-200",B:AZ,column(ae1),0)*e342</f>
        <v>0</v>
      </c>
      <c r="AG342">
        <f>vlookup("921-060000-200",B:AZ,column(af1),0)*e342</f>
        <v>0</v>
      </c>
      <c r="AH342">
        <f>vlookup("921-060000-200",B:AZ,column(ag1),0)*e342</f>
        <v>0</v>
      </c>
      <c r="AI342">
        <f>vlookup("921-060000-200",B:AZ,column(ah1),0)*e342</f>
        <v>0</v>
      </c>
      <c r="AJ342">
        <f>vlookup("921-060000-200",B:AZ,column(ai1),0)*e342</f>
        <v>0</v>
      </c>
      <c r="AK342">
        <f>vlookup("921-060000-200",B:AZ,column(aj1),0)*e342</f>
        <v>0</v>
      </c>
      <c r="AL342">
        <f>vlookup("921-060000-200",B:AZ,column(ak1),0)*e342</f>
        <v>0</v>
      </c>
      <c r="AM342">
        <f>vlookup("921-060000-200",B:AZ,column(al1),0)*e342</f>
        <v>0</v>
      </c>
      <c r="AN342">
        <f>vlookup("921-060000-200",B:AZ,column(am1),0)*e342</f>
        <v>0</v>
      </c>
      <c r="AO342">
        <f>vlookup("921-060000-200",B:AZ,column(an1),0)*e342</f>
        <v>0</v>
      </c>
    </row>
    <row r="343" spans="1:41">
      <c r="A343" t="s">
        <v>43</v>
      </c>
      <c r="B343" t="s">
        <v>359</v>
      </c>
      <c r="C343" t="s">
        <v>360</v>
      </c>
      <c r="E343">
        <v>0.17</v>
      </c>
      <c r="F343" t="s">
        <v>13</v>
      </c>
      <c r="I343" t="s">
        <v>15</v>
      </c>
      <c r="J343">
        <f>vlookup("921-060000-200",B:AZ,column(i1),0)*e343</f>
        <v>0</v>
      </c>
      <c r="K343">
        <f>vlookup("921-060000-200",B:AZ,column(j1),0)*e343</f>
        <v>0</v>
      </c>
      <c r="L343">
        <f>vlookup("921-060000-200",B:AZ,column(k1),0)*e343</f>
        <v>0</v>
      </c>
      <c r="M343">
        <f>vlookup("921-060000-200",B:AZ,column(l1),0)*e343</f>
        <v>0</v>
      </c>
      <c r="N343">
        <f>vlookup("921-060000-200",B:AZ,column(m1),0)*e343</f>
        <v>0</v>
      </c>
      <c r="O343">
        <f>vlookup("921-060000-200",B:AZ,column(n1),0)*e343</f>
        <v>0</v>
      </c>
      <c r="P343">
        <f>vlookup("921-060000-200",B:AZ,column(o1),0)*e343</f>
        <v>0</v>
      </c>
      <c r="Q343">
        <f>vlookup("921-060000-200",B:AZ,column(p1),0)*e343</f>
        <v>0</v>
      </c>
      <c r="R343">
        <f>vlookup("921-060000-200",B:AZ,column(q1),0)*e343</f>
        <v>0</v>
      </c>
      <c r="S343">
        <f>vlookup("921-060000-200",B:AZ,column(r1),0)*e343</f>
        <v>0</v>
      </c>
      <c r="T343">
        <f>vlookup("921-060000-200",B:AZ,column(s1),0)*e343</f>
        <v>0</v>
      </c>
      <c r="U343">
        <f>vlookup("921-060000-200",B:AZ,column(t1),0)*e343</f>
        <v>0</v>
      </c>
      <c r="V343">
        <f>vlookup("921-060000-200",B:AZ,column(u1),0)*e343</f>
        <v>0</v>
      </c>
      <c r="W343">
        <f>vlookup("921-060000-200",B:AZ,column(v1),0)*e343</f>
        <v>0</v>
      </c>
      <c r="X343">
        <f>vlookup("921-060000-200",B:AZ,column(w1),0)*e343</f>
        <v>0</v>
      </c>
      <c r="Y343">
        <f>vlookup("921-060000-200",B:AZ,column(x1),0)*e343</f>
        <v>0</v>
      </c>
      <c r="Z343">
        <f>vlookup("921-060000-200",B:AZ,column(y1),0)*e343</f>
        <v>0</v>
      </c>
      <c r="AA343">
        <f>vlookup("921-060000-200",B:AZ,column(z1),0)*e343</f>
        <v>0</v>
      </c>
      <c r="AB343">
        <f>vlookup("921-060000-200",B:AZ,column(aa1),0)*e343</f>
        <v>0</v>
      </c>
      <c r="AC343">
        <f>vlookup("921-060000-200",B:AZ,column(ab1),0)*e343</f>
        <v>0</v>
      </c>
      <c r="AD343">
        <f>vlookup("921-060000-200",B:AZ,column(ac1),0)*e343</f>
        <v>0</v>
      </c>
      <c r="AE343">
        <f>vlookup("921-060000-200",B:AZ,column(ad1),0)*e343</f>
        <v>0</v>
      </c>
      <c r="AF343">
        <f>vlookup("921-060000-200",B:AZ,column(ae1),0)*e343</f>
        <v>0</v>
      </c>
      <c r="AG343">
        <f>vlookup("921-060000-200",B:AZ,column(af1),0)*e343</f>
        <v>0</v>
      </c>
      <c r="AH343">
        <f>vlookup("921-060000-200",B:AZ,column(ag1),0)*e343</f>
        <v>0</v>
      </c>
      <c r="AI343">
        <f>vlookup("921-060000-200",B:AZ,column(ah1),0)*e343</f>
        <v>0</v>
      </c>
      <c r="AJ343">
        <f>vlookup("921-060000-200",B:AZ,column(ai1),0)*e343</f>
        <v>0</v>
      </c>
      <c r="AK343">
        <f>vlookup("921-060000-200",B:AZ,column(aj1),0)*e343</f>
        <v>0</v>
      </c>
      <c r="AL343">
        <f>vlookup("921-060000-200",B:AZ,column(ak1),0)*e343</f>
        <v>0</v>
      </c>
      <c r="AM343">
        <f>vlookup("921-060000-200",B:AZ,column(al1),0)*e343</f>
        <v>0</v>
      </c>
      <c r="AN343">
        <f>vlookup("921-060000-200",B:AZ,column(am1),0)*e343</f>
        <v>0</v>
      </c>
      <c r="AO343">
        <f>vlookup("921-060000-200",B:AZ,column(an1),0)*e343</f>
        <v>0</v>
      </c>
    </row>
    <row r="344" spans="1:41">
      <c r="A344" t="s">
        <v>41</v>
      </c>
      <c r="B344" t="s">
        <v>359</v>
      </c>
      <c r="C344" t="s">
        <v>360</v>
      </c>
      <c r="E344">
        <v>0.17</v>
      </c>
      <c r="F344" t="s">
        <v>13</v>
      </c>
      <c r="I344" t="s">
        <v>15</v>
      </c>
      <c r="J344">
        <f>vlookup("921-060000-200",B:AZ,column(i1),0)*e344</f>
        <v>0</v>
      </c>
      <c r="K344">
        <f>vlookup("921-060000-200",B:AZ,column(j1),0)*e344</f>
        <v>0</v>
      </c>
      <c r="L344">
        <f>vlookup("921-060000-200",B:AZ,column(k1),0)*e344</f>
        <v>0</v>
      </c>
      <c r="M344">
        <f>vlookup("921-060000-200",B:AZ,column(l1),0)*e344</f>
        <v>0</v>
      </c>
      <c r="N344">
        <f>vlookup("921-060000-200",B:AZ,column(m1),0)*e344</f>
        <v>0</v>
      </c>
      <c r="O344">
        <f>vlookup("921-060000-200",B:AZ,column(n1),0)*e344</f>
        <v>0</v>
      </c>
      <c r="P344">
        <f>vlookup("921-060000-200",B:AZ,column(o1),0)*e344</f>
        <v>0</v>
      </c>
      <c r="Q344">
        <f>vlookup("921-060000-200",B:AZ,column(p1),0)*e344</f>
        <v>0</v>
      </c>
      <c r="R344">
        <f>vlookup("921-060000-200",B:AZ,column(q1),0)*e344</f>
        <v>0</v>
      </c>
      <c r="S344">
        <f>vlookup("921-060000-200",B:AZ,column(r1),0)*e344</f>
        <v>0</v>
      </c>
      <c r="T344">
        <f>vlookup("921-060000-200",B:AZ,column(s1),0)*e344</f>
        <v>0</v>
      </c>
      <c r="U344">
        <f>vlookup("921-060000-200",B:AZ,column(t1),0)*e344</f>
        <v>0</v>
      </c>
      <c r="V344">
        <f>vlookup("921-060000-200",B:AZ,column(u1),0)*e344</f>
        <v>0</v>
      </c>
      <c r="W344">
        <f>vlookup("921-060000-200",B:AZ,column(v1),0)*e344</f>
        <v>0</v>
      </c>
      <c r="X344">
        <f>vlookup("921-060000-200",B:AZ,column(w1),0)*e344</f>
        <v>0</v>
      </c>
      <c r="Y344">
        <f>vlookup("921-060000-200",B:AZ,column(x1),0)*e344</f>
        <v>0</v>
      </c>
      <c r="Z344">
        <f>vlookup("921-060000-200",B:AZ,column(y1),0)*e344</f>
        <v>0</v>
      </c>
      <c r="AA344">
        <f>vlookup("921-060000-200",B:AZ,column(z1),0)*e344</f>
        <v>0</v>
      </c>
      <c r="AB344">
        <f>vlookup("921-060000-200",B:AZ,column(aa1),0)*e344</f>
        <v>0</v>
      </c>
      <c r="AC344">
        <f>vlookup("921-060000-200",B:AZ,column(ab1),0)*e344</f>
        <v>0</v>
      </c>
      <c r="AD344">
        <f>vlookup("921-060000-200",B:AZ,column(ac1),0)*e344</f>
        <v>0</v>
      </c>
      <c r="AE344">
        <f>vlookup("921-060000-200",B:AZ,column(ad1),0)*e344</f>
        <v>0</v>
      </c>
      <c r="AF344">
        <f>vlookup("921-060000-200",B:AZ,column(ae1),0)*e344</f>
        <v>0</v>
      </c>
      <c r="AG344">
        <f>vlookup("921-060000-200",B:AZ,column(af1),0)*e344</f>
        <v>0</v>
      </c>
      <c r="AH344">
        <f>vlookup("921-060000-200",B:AZ,column(ag1),0)*e344</f>
        <v>0</v>
      </c>
      <c r="AI344">
        <f>vlookup("921-060000-200",B:AZ,column(ah1),0)*e344</f>
        <v>0</v>
      </c>
      <c r="AJ344">
        <f>vlookup("921-060000-200",B:AZ,column(ai1),0)*e344</f>
        <v>0</v>
      </c>
      <c r="AK344">
        <f>vlookup("921-060000-200",B:AZ,column(aj1),0)*e344</f>
        <v>0</v>
      </c>
      <c r="AL344">
        <f>vlookup("921-060000-200",B:AZ,column(ak1),0)*e344</f>
        <v>0</v>
      </c>
      <c r="AM344">
        <f>vlookup("921-060000-200",B:AZ,column(al1),0)*e344</f>
        <v>0</v>
      </c>
      <c r="AN344">
        <f>vlookup("921-060000-200",B:AZ,column(am1),0)*e344</f>
        <v>0</v>
      </c>
      <c r="AO344">
        <f>vlookup("921-060000-200",B:AZ,column(an1),0)*e344</f>
        <v>0</v>
      </c>
    </row>
    <row r="345" spans="1:41">
      <c r="A345" t="s">
        <v>10</v>
      </c>
      <c r="B345" t="s">
        <v>361</v>
      </c>
      <c r="C345" t="s">
        <v>362</v>
      </c>
      <c r="E345">
        <v>1</v>
      </c>
      <c r="F345" t="s">
        <v>13</v>
      </c>
      <c r="I345" t="s">
        <v>14</v>
      </c>
      <c r="AO345">
        <f>sum(j345:an345)</f>
        <v>0</v>
      </c>
    </row>
    <row r="346" spans="1:41">
      <c r="I346" t="s">
        <v>15</v>
      </c>
      <c r="J346">
        <f>vlookup("921-059000-200",Out!B:AZ,column(i1),0)</f>
        <v>0</v>
      </c>
      <c r="K346">
        <f>vlookup("921-059000-200",Out!B:AZ,column(j1),0)</f>
        <v>0</v>
      </c>
      <c r="L346">
        <f>vlookup("921-059000-200",Out!B:AZ,column(k1),0)</f>
        <v>0</v>
      </c>
      <c r="M346">
        <f>vlookup("921-059000-200",Out!B:AZ,column(l1),0)</f>
        <v>0</v>
      </c>
      <c r="N346">
        <f>vlookup("921-059000-200",Out!B:AZ,column(m1),0)</f>
        <v>0</v>
      </c>
      <c r="O346">
        <f>vlookup("921-059000-200",Out!B:AZ,column(n1),0)</f>
        <v>0</v>
      </c>
      <c r="P346">
        <f>vlookup("921-059000-200",Out!B:AZ,column(o1),0)</f>
        <v>0</v>
      </c>
      <c r="Q346">
        <f>vlookup("921-059000-200",Out!B:AZ,column(p1),0)</f>
        <v>0</v>
      </c>
      <c r="R346">
        <f>vlookup("921-059000-200",Out!B:AZ,column(q1),0)</f>
        <v>0</v>
      </c>
      <c r="S346">
        <f>vlookup("921-059000-200",Out!B:AZ,column(r1),0)</f>
        <v>0</v>
      </c>
      <c r="T346">
        <f>vlookup("921-059000-200",Out!B:AZ,column(s1),0)</f>
        <v>0</v>
      </c>
      <c r="U346">
        <f>vlookup("921-059000-200",Out!B:AZ,column(t1),0)</f>
        <v>0</v>
      </c>
      <c r="V346">
        <f>vlookup("921-059000-200",Out!B:AZ,column(u1),0)</f>
        <v>0</v>
      </c>
      <c r="W346">
        <f>vlookup("921-059000-200",Out!B:AZ,column(v1),0)</f>
        <v>0</v>
      </c>
      <c r="X346">
        <f>vlookup("921-059000-200",Out!B:AZ,column(w1),0)</f>
        <v>0</v>
      </c>
      <c r="Y346">
        <f>vlookup("921-059000-200",Out!B:AZ,column(x1),0)</f>
        <v>0</v>
      </c>
      <c r="Z346">
        <f>vlookup("921-059000-200",Out!B:AZ,column(y1),0)</f>
        <v>0</v>
      </c>
      <c r="AA346">
        <f>vlookup("921-059000-200",Out!B:AZ,column(z1),0)</f>
        <v>0</v>
      </c>
      <c r="AB346">
        <f>vlookup("921-059000-200",Out!B:AZ,column(aa1),0)</f>
        <v>0</v>
      </c>
      <c r="AC346">
        <f>vlookup("921-059000-200",Out!B:AZ,column(ab1),0)</f>
        <v>0</v>
      </c>
      <c r="AD346">
        <f>vlookup("921-059000-200",Out!B:AZ,column(ac1),0)</f>
        <v>0</v>
      </c>
      <c r="AE346">
        <f>vlookup("921-059000-200",Out!B:AZ,column(ad1),0)</f>
        <v>0</v>
      </c>
      <c r="AF346">
        <f>vlookup("921-059000-200",Out!B:AZ,column(ae1),0)</f>
        <v>0</v>
      </c>
      <c r="AG346">
        <f>vlookup("921-059000-200",Out!B:AZ,column(af1),0)</f>
        <v>0</v>
      </c>
      <c r="AH346">
        <f>vlookup("921-059000-200",Out!B:AZ,column(ag1),0)</f>
        <v>0</v>
      </c>
      <c r="AI346">
        <f>vlookup("921-059000-200",Out!B:AZ,column(ah1),0)</f>
        <v>0</v>
      </c>
      <c r="AJ346">
        <f>vlookup("921-059000-200",Out!B:AZ,column(ai1),0)</f>
        <v>0</v>
      </c>
      <c r="AK346">
        <f>vlookup("921-059000-200",Out!B:AZ,column(aj1),0)</f>
        <v>0</v>
      </c>
      <c r="AL346">
        <f>vlookup("921-059000-200",Out!B:AZ,column(ak1),0)</f>
        <v>0</v>
      </c>
      <c r="AM346">
        <f>vlookup("921-059000-200",Out!B:AZ,column(al1),0)</f>
        <v>0</v>
      </c>
      <c r="AN346">
        <f>vlookup("921-059000-200",Out!B:AZ,column(am1),0)</f>
        <v>0</v>
      </c>
      <c r="AO346">
        <f>vlookup("921-059000-200",Out!B:AZ,column(an1),0)</f>
        <v>0</v>
      </c>
    </row>
    <row r="347" spans="1:41">
      <c r="H347" t="s">
        <v>16</v>
      </c>
      <c r="J347">
        <f>indirect(address(347,9))+indirect(address(345,10))-indirect(address(346,10))</f>
        <v>0</v>
      </c>
      <c r="K347">
        <f>indirect(address(347,10))+indirect(address(345,11))-indirect(address(346,11))</f>
        <v>0</v>
      </c>
      <c r="L347">
        <f>indirect(address(347,11))+indirect(address(345,12))-indirect(address(346,12))</f>
        <v>0</v>
      </c>
      <c r="M347">
        <f>indirect(address(347,12))+indirect(address(345,13))-indirect(address(346,13))</f>
        <v>0</v>
      </c>
      <c r="N347">
        <f>indirect(address(347,13))+indirect(address(345,14))-indirect(address(346,14))</f>
        <v>0</v>
      </c>
      <c r="O347">
        <f>indirect(address(347,14))+indirect(address(345,15))-indirect(address(346,15))</f>
        <v>0</v>
      </c>
      <c r="P347">
        <f>indirect(address(347,15))+indirect(address(345,16))-indirect(address(346,16))</f>
        <v>0</v>
      </c>
      <c r="Q347">
        <f>indirect(address(347,16))+indirect(address(345,17))-indirect(address(346,17))</f>
        <v>0</v>
      </c>
      <c r="R347">
        <f>indirect(address(347,17))+indirect(address(345,18))-indirect(address(346,18))</f>
        <v>0</v>
      </c>
      <c r="S347">
        <f>indirect(address(347,18))+indirect(address(345,19))-indirect(address(346,19))</f>
        <v>0</v>
      </c>
      <c r="T347">
        <f>indirect(address(347,19))+indirect(address(345,20))-indirect(address(346,20))</f>
        <v>0</v>
      </c>
      <c r="U347">
        <f>indirect(address(347,20))+indirect(address(345,21))-indirect(address(346,21))</f>
        <v>0</v>
      </c>
      <c r="V347">
        <f>indirect(address(347,21))+indirect(address(345,22))-indirect(address(346,22))</f>
        <v>0</v>
      </c>
      <c r="W347">
        <f>indirect(address(347,22))+indirect(address(345,23))-indirect(address(346,23))</f>
        <v>0</v>
      </c>
      <c r="X347">
        <f>indirect(address(347,23))+indirect(address(345,24))-indirect(address(346,24))</f>
        <v>0</v>
      </c>
      <c r="Y347">
        <f>indirect(address(347,24))+indirect(address(345,25))-indirect(address(346,25))</f>
        <v>0</v>
      </c>
      <c r="Z347">
        <f>indirect(address(347,25))+indirect(address(345,26))-indirect(address(346,26))</f>
        <v>0</v>
      </c>
      <c r="AA347">
        <f>indirect(address(347,26))+indirect(address(345,27))-indirect(address(346,27))</f>
        <v>0</v>
      </c>
      <c r="AB347">
        <f>indirect(address(347,27))+indirect(address(345,28))-indirect(address(346,28))</f>
        <v>0</v>
      </c>
      <c r="AC347">
        <f>indirect(address(347,28))+indirect(address(345,29))-indirect(address(346,29))</f>
        <v>0</v>
      </c>
      <c r="AD347">
        <f>indirect(address(347,29))+indirect(address(345,30))-indirect(address(346,30))</f>
        <v>0</v>
      </c>
      <c r="AE347">
        <f>indirect(address(347,30))+indirect(address(345,31))-indirect(address(346,31))</f>
        <v>0</v>
      </c>
      <c r="AF347">
        <f>indirect(address(347,31))+indirect(address(345,32))-indirect(address(346,32))</f>
        <v>0</v>
      </c>
      <c r="AG347">
        <f>indirect(address(347,32))+indirect(address(345,33))-indirect(address(346,33))</f>
        <v>0</v>
      </c>
      <c r="AH347">
        <f>indirect(address(347,33))+indirect(address(345,34))-indirect(address(346,34))</f>
        <v>0</v>
      </c>
      <c r="AI347">
        <f>indirect(address(347,34))+indirect(address(345,35))-indirect(address(346,35))</f>
        <v>0</v>
      </c>
      <c r="AJ347">
        <f>indirect(address(347,35))+indirect(address(345,36))-indirect(address(346,36))</f>
        <v>0</v>
      </c>
      <c r="AK347">
        <f>indirect(address(347,36))+indirect(address(345,37))-indirect(address(346,37))</f>
        <v>0</v>
      </c>
      <c r="AL347">
        <f>indirect(address(347,37))+indirect(address(345,38))-indirect(address(346,38))</f>
        <v>0</v>
      </c>
      <c r="AM347">
        <f>indirect(address(347,38))+indirect(address(345,39))-indirect(address(346,39))</f>
        <v>0</v>
      </c>
      <c r="AN347">
        <f>indirect(address(347,39))+indirect(address(345,40))-indirect(address(346,40))</f>
        <v>0</v>
      </c>
      <c r="AO347">
        <f>indirect(address(347,40))</f>
        <v>0</v>
      </c>
    </row>
    <row r="348" spans="1:41">
      <c r="A348" t="s">
        <v>17</v>
      </c>
      <c r="B348" t="s">
        <v>363</v>
      </c>
      <c r="C348" t="s">
        <v>364</v>
      </c>
      <c r="E348">
        <v>1</v>
      </c>
      <c r="F348" t="s">
        <v>13</v>
      </c>
      <c r="I348" t="s">
        <v>15</v>
      </c>
      <c r="J348">
        <f>vlookup("921-059000-200",B:AZ,column(i1),0)*e348</f>
        <v>0</v>
      </c>
      <c r="K348">
        <f>vlookup("921-059000-200",B:AZ,column(j1),0)*e348</f>
        <v>0</v>
      </c>
      <c r="L348">
        <f>vlookup("921-059000-200",B:AZ,column(k1),0)*e348</f>
        <v>0</v>
      </c>
      <c r="M348">
        <f>vlookup("921-059000-200",B:AZ,column(l1),0)*e348</f>
        <v>0</v>
      </c>
      <c r="N348">
        <f>vlookup("921-059000-200",B:AZ,column(m1),0)*e348</f>
        <v>0</v>
      </c>
      <c r="O348">
        <f>vlookup("921-059000-200",B:AZ,column(n1),0)*e348</f>
        <v>0</v>
      </c>
      <c r="P348">
        <f>vlookup("921-059000-200",B:AZ,column(o1),0)*e348</f>
        <v>0</v>
      </c>
      <c r="Q348">
        <f>vlookup("921-059000-200",B:AZ,column(p1),0)*e348</f>
        <v>0</v>
      </c>
      <c r="R348">
        <f>vlookup("921-059000-200",B:AZ,column(q1),0)*e348</f>
        <v>0</v>
      </c>
      <c r="S348">
        <f>vlookup("921-059000-200",B:AZ,column(r1),0)*e348</f>
        <v>0</v>
      </c>
      <c r="T348">
        <f>vlookup("921-059000-200",B:AZ,column(s1),0)*e348</f>
        <v>0</v>
      </c>
      <c r="U348">
        <f>vlookup("921-059000-200",B:AZ,column(t1),0)*e348</f>
        <v>0</v>
      </c>
      <c r="V348">
        <f>vlookup("921-059000-200",B:AZ,column(u1),0)*e348</f>
        <v>0</v>
      </c>
      <c r="W348">
        <f>vlookup("921-059000-200",B:AZ,column(v1),0)*e348</f>
        <v>0</v>
      </c>
      <c r="X348">
        <f>vlookup("921-059000-200",B:AZ,column(w1),0)*e348</f>
        <v>0</v>
      </c>
      <c r="Y348">
        <f>vlookup("921-059000-200",B:AZ,column(x1),0)*e348</f>
        <v>0</v>
      </c>
      <c r="Z348">
        <f>vlookup("921-059000-200",B:AZ,column(y1),0)*e348</f>
        <v>0</v>
      </c>
      <c r="AA348">
        <f>vlookup("921-059000-200",B:AZ,column(z1),0)*e348</f>
        <v>0</v>
      </c>
      <c r="AB348">
        <f>vlookup("921-059000-200",B:AZ,column(aa1),0)*e348</f>
        <v>0</v>
      </c>
      <c r="AC348">
        <f>vlookup("921-059000-200",B:AZ,column(ab1),0)*e348</f>
        <v>0</v>
      </c>
      <c r="AD348">
        <f>vlookup("921-059000-200",B:AZ,column(ac1),0)*e348</f>
        <v>0</v>
      </c>
      <c r="AE348">
        <f>vlookup("921-059000-200",B:AZ,column(ad1),0)*e348</f>
        <v>0</v>
      </c>
      <c r="AF348">
        <f>vlookup("921-059000-200",B:AZ,column(ae1),0)*e348</f>
        <v>0</v>
      </c>
      <c r="AG348">
        <f>vlookup("921-059000-200",B:AZ,column(af1),0)*e348</f>
        <v>0</v>
      </c>
      <c r="AH348">
        <f>vlookup("921-059000-200",B:AZ,column(ag1),0)*e348</f>
        <v>0</v>
      </c>
      <c r="AI348">
        <f>vlookup("921-059000-200",B:AZ,column(ah1),0)*e348</f>
        <v>0</v>
      </c>
      <c r="AJ348">
        <f>vlookup("921-059000-200",B:AZ,column(ai1),0)*e348</f>
        <v>0</v>
      </c>
      <c r="AK348">
        <f>vlookup("921-059000-200",B:AZ,column(aj1),0)*e348</f>
        <v>0</v>
      </c>
      <c r="AL348">
        <f>vlookup("921-059000-200",B:AZ,column(ak1),0)*e348</f>
        <v>0</v>
      </c>
      <c r="AM348">
        <f>vlookup("921-059000-200",B:AZ,column(al1),0)*e348</f>
        <v>0</v>
      </c>
      <c r="AN348">
        <f>vlookup("921-059000-200",B:AZ,column(am1),0)*e348</f>
        <v>0</v>
      </c>
      <c r="AO348">
        <f>vlookup("921-059000-200",B:AZ,column(an1),0)*e348</f>
        <v>0</v>
      </c>
    </row>
    <row r="349" spans="1:41">
      <c r="A349" t="s">
        <v>17</v>
      </c>
      <c r="B349" t="s">
        <v>365</v>
      </c>
      <c r="C349" t="s">
        <v>366</v>
      </c>
      <c r="E349">
        <v>1</v>
      </c>
      <c r="F349" t="s">
        <v>13</v>
      </c>
      <c r="I349" t="s">
        <v>15</v>
      </c>
      <c r="J349">
        <f>vlookup("921-059000-200",B:AZ,column(i1),0)*e349</f>
        <v>0</v>
      </c>
      <c r="K349">
        <f>vlookup("921-059000-200",B:AZ,column(j1),0)*e349</f>
        <v>0</v>
      </c>
      <c r="L349">
        <f>vlookup("921-059000-200",B:AZ,column(k1),0)*e349</f>
        <v>0</v>
      </c>
      <c r="M349">
        <f>vlookup("921-059000-200",B:AZ,column(l1),0)*e349</f>
        <v>0</v>
      </c>
      <c r="N349">
        <f>vlookup("921-059000-200",B:AZ,column(m1),0)*e349</f>
        <v>0</v>
      </c>
      <c r="O349">
        <f>vlookup("921-059000-200",B:AZ,column(n1),0)*e349</f>
        <v>0</v>
      </c>
      <c r="P349">
        <f>vlookup("921-059000-200",B:AZ,column(o1),0)*e349</f>
        <v>0</v>
      </c>
      <c r="Q349">
        <f>vlookup("921-059000-200",B:AZ,column(p1),0)*e349</f>
        <v>0</v>
      </c>
      <c r="R349">
        <f>vlookup("921-059000-200",B:AZ,column(q1),0)*e349</f>
        <v>0</v>
      </c>
      <c r="S349">
        <f>vlookup("921-059000-200",B:AZ,column(r1),0)*e349</f>
        <v>0</v>
      </c>
      <c r="T349">
        <f>vlookup("921-059000-200",B:AZ,column(s1),0)*e349</f>
        <v>0</v>
      </c>
      <c r="U349">
        <f>vlookup("921-059000-200",B:AZ,column(t1),0)*e349</f>
        <v>0</v>
      </c>
      <c r="V349">
        <f>vlookup("921-059000-200",B:AZ,column(u1),0)*e349</f>
        <v>0</v>
      </c>
      <c r="W349">
        <f>vlookup("921-059000-200",B:AZ,column(v1),0)*e349</f>
        <v>0</v>
      </c>
      <c r="X349">
        <f>vlookup("921-059000-200",B:AZ,column(w1),0)*e349</f>
        <v>0</v>
      </c>
      <c r="Y349">
        <f>vlookup("921-059000-200",B:AZ,column(x1),0)*e349</f>
        <v>0</v>
      </c>
      <c r="Z349">
        <f>vlookup("921-059000-200",B:AZ,column(y1),0)*e349</f>
        <v>0</v>
      </c>
      <c r="AA349">
        <f>vlookup("921-059000-200",B:AZ,column(z1),0)*e349</f>
        <v>0</v>
      </c>
      <c r="AB349">
        <f>vlookup("921-059000-200",B:AZ,column(aa1),0)*e349</f>
        <v>0</v>
      </c>
      <c r="AC349">
        <f>vlookup("921-059000-200",B:AZ,column(ab1),0)*e349</f>
        <v>0</v>
      </c>
      <c r="AD349">
        <f>vlookup("921-059000-200",B:AZ,column(ac1),0)*e349</f>
        <v>0</v>
      </c>
      <c r="AE349">
        <f>vlookup("921-059000-200",B:AZ,column(ad1),0)*e349</f>
        <v>0</v>
      </c>
      <c r="AF349">
        <f>vlookup("921-059000-200",B:AZ,column(ae1),0)*e349</f>
        <v>0</v>
      </c>
      <c r="AG349">
        <f>vlookup("921-059000-200",B:AZ,column(af1),0)*e349</f>
        <v>0</v>
      </c>
      <c r="AH349">
        <f>vlookup("921-059000-200",B:AZ,column(ag1),0)*e349</f>
        <v>0</v>
      </c>
      <c r="AI349">
        <f>vlookup("921-059000-200",B:AZ,column(ah1),0)*e349</f>
        <v>0</v>
      </c>
      <c r="AJ349">
        <f>vlookup("921-059000-200",B:AZ,column(ai1),0)*e349</f>
        <v>0</v>
      </c>
      <c r="AK349">
        <f>vlookup("921-059000-200",B:AZ,column(aj1),0)*e349</f>
        <v>0</v>
      </c>
      <c r="AL349">
        <f>vlookup("921-059000-200",B:AZ,column(ak1),0)*e349</f>
        <v>0</v>
      </c>
      <c r="AM349">
        <f>vlookup("921-059000-200",B:AZ,column(al1),0)*e349</f>
        <v>0</v>
      </c>
      <c r="AN349">
        <f>vlookup("921-059000-200",B:AZ,column(am1),0)*e349</f>
        <v>0</v>
      </c>
      <c r="AO349">
        <f>vlookup("921-059000-200",B:AZ,column(an1),0)*e349</f>
        <v>0</v>
      </c>
    </row>
    <row r="350" spans="1:41">
      <c r="A350" t="s">
        <v>17</v>
      </c>
      <c r="B350" t="s">
        <v>367</v>
      </c>
      <c r="C350" t="s">
        <v>368</v>
      </c>
      <c r="E350">
        <v>1</v>
      </c>
      <c r="F350" t="s">
        <v>13</v>
      </c>
      <c r="I350" t="s">
        <v>15</v>
      </c>
      <c r="J350">
        <f>vlookup("921-059000-200",B:AZ,column(i1),0)*e350</f>
        <v>0</v>
      </c>
      <c r="K350">
        <f>vlookup("921-059000-200",B:AZ,column(j1),0)*e350</f>
        <v>0</v>
      </c>
      <c r="L350">
        <f>vlookup("921-059000-200",B:AZ,column(k1),0)*e350</f>
        <v>0</v>
      </c>
      <c r="M350">
        <f>vlookup("921-059000-200",B:AZ,column(l1),0)*e350</f>
        <v>0</v>
      </c>
      <c r="N350">
        <f>vlookup("921-059000-200",B:AZ,column(m1),0)*e350</f>
        <v>0</v>
      </c>
      <c r="O350">
        <f>vlookup("921-059000-200",B:AZ,column(n1),0)*e350</f>
        <v>0</v>
      </c>
      <c r="P350">
        <f>vlookup("921-059000-200",B:AZ,column(o1),0)*e350</f>
        <v>0</v>
      </c>
      <c r="Q350">
        <f>vlookup("921-059000-200",B:AZ,column(p1),0)*e350</f>
        <v>0</v>
      </c>
      <c r="R350">
        <f>vlookup("921-059000-200",B:AZ,column(q1),0)*e350</f>
        <v>0</v>
      </c>
      <c r="S350">
        <f>vlookup("921-059000-200",B:AZ,column(r1),0)*e350</f>
        <v>0</v>
      </c>
      <c r="T350">
        <f>vlookup("921-059000-200",B:AZ,column(s1),0)*e350</f>
        <v>0</v>
      </c>
      <c r="U350">
        <f>vlookup("921-059000-200",B:AZ,column(t1),0)*e350</f>
        <v>0</v>
      </c>
      <c r="V350">
        <f>vlookup("921-059000-200",B:AZ,column(u1),0)*e350</f>
        <v>0</v>
      </c>
      <c r="W350">
        <f>vlookup("921-059000-200",B:AZ,column(v1),0)*e350</f>
        <v>0</v>
      </c>
      <c r="X350">
        <f>vlookup("921-059000-200",B:AZ,column(w1),0)*e350</f>
        <v>0</v>
      </c>
      <c r="Y350">
        <f>vlookup("921-059000-200",B:AZ,column(x1),0)*e350</f>
        <v>0</v>
      </c>
      <c r="Z350">
        <f>vlookup("921-059000-200",B:AZ,column(y1),0)*e350</f>
        <v>0</v>
      </c>
      <c r="AA350">
        <f>vlookup("921-059000-200",B:AZ,column(z1),0)*e350</f>
        <v>0</v>
      </c>
      <c r="AB350">
        <f>vlookup("921-059000-200",B:AZ,column(aa1),0)*e350</f>
        <v>0</v>
      </c>
      <c r="AC350">
        <f>vlookup("921-059000-200",B:AZ,column(ab1),0)*e350</f>
        <v>0</v>
      </c>
      <c r="AD350">
        <f>vlookup("921-059000-200",B:AZ,column(ac1),0)*e350</f>
        <v>0</v>
      </c>
      <c r="AE350">
        <f>vlookup("921-059000-200",B:AZ,column(ad1),0)*e350</f>
        <v>0</v>
      </c>
      <c r="AF350">
        <f>vlookup("921-059000-200",B:AZ,column(ae1),0)*e350</f>
        <v>0</v>
      </c>
      <c r="AG350">
        <f>vlookup("921-059000-200",B:AZ,column(af1),0)*e350</f>
        <v>0</v>
      </c>
      <c r="AH350">
        <f>vlookup("921-059000-200",B:AZ,column(ag1),0)*e350</f>
        <v>0</v>
      </c>
      <c r="AI350">
        <f>vlookup("921-059000-200",B:AZ,column(ah1),0)*e350</f>
        <v>0</v>
      </c>
      <c r="AJ350">
        <f>vlookup("921-059000-200",B:AZ,column(ai1),0)*e350</f>
        <v>0</v>
      </c>
      <c r="AK350">
        <f>vlookup("921-059000-200",B:AZ,column(aj1),0)*e350</f>
        <v>0</v>
      </c>
      <c r="AL350">
        <f>vlookup("921-059000-200",B:AZ,column(ak1),0)*e350</f>
        <v>0</v>
      </c>
      <c r="AM350">
        <f>vlookup("921-059000-200",B:AZ,column(al1),0)*e350</f>
        <v>0</v>
      </c>
      <c r="AN350">
        <f>vlookup("921-059000-200",B:AZ,column(am1),0)*e350</f>
        <v>0</v>
      </c>
      <c r="AO350">
        <f>vlookup("921-059000-200",B:AZ,column(an1),0)*e350</f>
        <v>0</v>
      </c>
    </row>
    <row r="351" spans="1:41">
      <c r="A351" t="s">
        <v>17</v>
      </c>
      <c r="B351" t="s">
        <v>369</v>
      </c>
      <c r="C351" t="s">
        <v>370</v>
      </c>
      <c r="E351">
        <v>1</v>
      </c>
      <c r="F351" t="s">
        <v>13</v>
      </c>
      <c r="I351" t="s">
        <v>15</v>
      </c>
      <c r="J351">
        <f>vlookup("921-059000-200",B:AZ,column(i1),0)*e351</f>
        <v>0</v>
      </c>
      <c r="K351">
        <f>vlookup("921-059000-200",B:AZ,column(j1),0)*e351</f>
        <v>0</v>
      </c>
      <c r="L351">
        <f>vlookup("921-059000-200",B:AZ,column(k1),0)*e351</f>
        <v>0</v>
      </c>
      <c r="M351">
        <f>vlookup("921-059000-200",B:AZ,column(l1),0)*e351</f>
        <v>0</v>
      </c>
      <c r="N351">
        <f>vlookup("921-059000-200",B:AZ,column(m1),0)*e351</f>
        <v>0</v>
      </c>
      <c r="O351">
        <f>vlookup("921-059000-200",B:AZ,column(n1),0)*e351</f>
        <v>0</v>
      </c>
      <c r="P351">
        <f>vlookup("921-059000-200",B:AZ,column(o1),0)*e351</f>
        <v>0</v>
      </c>
      <c r="Q351">
        <f>vlookup("921-059000-200",B:AZ,column(p1),0)*e351</f>
        <v>0</v>
      </c>
      <c r="R351">
        <f>vlookup("921-059000-200",B:AZ,column(q1),0)*e351</f>
        <v>0</v>
      </c>
      <c r="S351">
        <f>vlookup("921-059000-200",B:AZ,column(r1),0)*e351</f>
        <v>0</v>
      </c>
      <c r="T351">
        <f>vlookup("921-059000-200",B:AZ,column(s1),0)*e351</f>
        <v>0</v>
      </c>
      <c r="U351">
        <f>vlookup("921-059000-200",B:AZ,column(t1),0)*e351</f>
        <v>0</v>
      </c>
      <c r="V351">
        <f>vlookup("921-059000-200",B:AZ,column(u1),0)*e351</f>
        <v>0</v>
      </c>
      <c r="W351">
        <f>vlookup("921-059000-200",B:AZ,column(v1),0)*e351</f>
        <v>0</v>
      </c>
      <c r="X351">
        <f>vlookup("921-059000-200",B:AZ,column(w1),0)*e351</f>
        <v>0</v>
      </c>
      <c r="Y351">
        <f>vlookup("921-059000-200",B:AZ,column(x1),0)*e351</f>
        <v>0</v>
      </c>
      <c r="Z351">
        <f>vlookup("921-059000-200",B:AZ,column(y1),0)*e351</f>
        <v>0</v>
      </c>
      <c r="AA351">
        <f>vlookup("921-059000-200",B:AZ,column(z1),0)*e351</f>
        <v>0</v>
      </c>
      <c r="AB351">
        <f>vlookup("921-059000-200",B:AZ,column(aa1),0)*e351</f>
        <v>0</v>
      </c>
      <c r="AC351">
        <f>vlookup("921-059000-200",B:AZ,column(ab1),0)*e351</f>
        <v>0</v>
      </c>
      <c r="AD351">
        <f>vlookup("921-059000-200",B:AZ,column(ac1),0)*e351</f>
        <v>0</v>
      </c>
      <c r="AE351">
        <f>vlookup("921-059000-200",B:AZ,column(ad1),0)*e351</f>
        <v>0</v>
      </c>
      <c r="AF351">
        <f>vlookup("921-059000-200",B:AZ,column(ae1),0)*e351</f>
        <v>0</v>
      </c>
      <c r="AG351">
        <f>vlookup("921-059000-200",B:AZ,column(af1),0)*e351</f>
        <v>0</v>
      </c>
      <c r="AH351">
        <f>vlookup("921-059000-200",B:AZ,column(ag1),0)*e351</f>
        <v>0</v>
      </c>
      <c r="AI351">
        <f>vlookup("921-059000-200",B:AZ,column(ah1),0)*e351</f>
        <v>0</v>
      </c>
      <c r="AJ351">
        <f>vlookup("921-059000-200",B:AZ,column(ai1),0)*e351</f>
        <v>0</v>
      </c>
      <c r="AK351">
        <f>vlookup("921-059000-200",B:AZ,column(aj1),0)*e351</f>
        <v>0</v>
      </c>
      <c r="AL351">
        <f>vlookup("921-059000-200",B:AZ,column(ak1),0)*e351</f>
        <v>0</v>
      </c>
      <c r="AM351">
        <f>vlookup("921-059000-200",B:AZ,column(al1),0)*e351</f>
        <v>0</v>
      </c>
      <c r="AN351">
        <f>vlookup("921-059000-200",B:AZ,column(am1),0)*e351</f>
        <v>0</v>
      </c>
      <c r="AO351">
        <f>vlookup("921-059000-200",B:AZ,column(an1),0)*e351</f>
        <v>0</v>
      </c>
    </row>
    <row r="352" spans="1:41">
      <c r="A352" t="s">
        <v>22</v>
      </c>
      <c r="B352" t="s">
        <v>371</v>
      </c>
      <c r="C352" t="s">
        <v>372</v>
      </c>
      <c r="E352">
        <v>2</v>
      </c>
      <c r="F352" t="s">
        <v>13</v>
      </c>
      <c r="I352" t="s">
        <v>15</v>
      </c>
      <c r="J352">
        <f>vlookup("921-059000-200",B:AZ,column(i1),0)*e352</f>
        <v>0</v>
      </c>
      <c r="K352">
        <f>vlookup("921-059000-200",B:AZ,column(j1),0)*e352</f>
        <v>0</v>
      </c>
      <c r="L352">
        <f>vlookup("921-059000-200",B:AZ,column(k1),0)*e352</f>
        <v>0</v>
      </c>
      <c r="M352">
        <f>vlookup("921-059000-200",B:AZ,column(l1),0)*e352</f>
        <v>0</v>
      </c>
      <c r="N352">
        <f>vlookup("921-059000-200",B:AZ,column(m1),0)*e352</f>
        <v>0</v>
      </c>
      <c r="O352">
        <f>vlookup("921-059000-200",B:AZ,column(n1),0)*e352</f>
        <v>0</v>
      </c>
      <c r="P352">
        <f>vlookup("921-059000-200",B:AZ,column(o1),0)*e352</f>
        <v>0</v>
      </c>
      <c r="Q352">
        <f>vlookup("921-059000-200",B:AZ,column(p1),0)*e352</f>
        <v>0</v>
      </c>
      <c r="R352">
        <f>vlookup("921-059000-200",B:AZ,column(q1),0)*e352</f>
        <v>0</v>
      </c>
      <c r="S352">
        <f>vlookup("921-059000-200",B:AZ,column(r1),0)*e352</f>
        <v>0</v>
      </c>
      <c r="T352">
        <f>vlookup("921-059000-200",B:AZ,column(s1),0)*e352</f>
        <v>0</v>
      </c>
      <c r="U352">
        <f>vlookup("921-059000-200",B:AZ,column(t1),0)*e352</f>
        <v>0</v>
      </c>
      <c r="V352">
        <f>vlookup("921-059000-200",B:AZ,column(u1),0)*e352</f>
        <v>0</v>
      </c>
      <c r="W352">
        <f>vlookup("921-059000-200",B:AZ,column(v1),0)*e352</f>
        <v>0</v>
      </c>
      <c r="X352">
        <f>vlookup("921-059000-200",B:AZ,column(w1),0)*e352</f>
        <v>0</v>
      </c>
      <c r="Y352">
        <f>vlookup("921-059000-200",B:AZ,column(x1),0)*e352</f>
        <v>0</v>
      </c>
      <c r="Z352">
        <f>vlookup("921-059000-200",B:AZ,column(y1),0)*e352</f>
        <v>0</v>
      </c>
      <c r="AA352">
        <f>vlookup("921-059000-200",B:AZ,column(z1),0)*e352</f>
        <v>0</v>
      </c>
      <c r="AB352">
        <f>vlookup("921-059000-200",B:AZ,column(aa1),0)*e352</f>
        <v>0</v>
      </c>
      <c r="AC352">
        <f>vlookup("921-059000-200",B:AZ,column(ab1),0)*e352</f>
        <v>0</v>
      </c>
      <c r="AD352">
        <f>vlookup("921-059000-200",B:AZ,column(ac1),0)*e352</f>
        <v>0</v>
      </c>
      <c r="AE352">
        <f>vlookup("921-059000-200",B:AZ,column(ad1),0)*e352</f>
        <v>0</v>
      </c>
      <c r="AF352">
        <f>vlookup("921-059000-200",B:AZ,column(ae1),0)*e352</f>
        <v>0</v>
      </c>
      <c r="AG352">
        <f>vlookup("921-059000-200",B:AZ,column(af1),0)*e352</f>
        <v>0</v>
      </c>
      <c r="AH352">
        <f>vlookup("921-059000-200",B:AZ,column(ag1),0)*e352</f>
        <v>0</v>
      </c>
      <c r="AI352">
        <f>vlookup("921-059000-200",B:AZ,column(ah1),0)*e352</f>
        <v>0</v>
      </c>
      <c r="AJ352">
        <f>vlookup("921-059000-200",B:AZ,column(ai1),0)*e352</f>
        <v>0</v>
      </c>
      <c r="AK352">
        <f>vlookup("921-059000-200",B:AZ,column(aj1),0)*e352</f>
        <v>0</v>
      </c>
      <c r="AL352">
        <f>vlookup("921-059000-200",B:AZ,column(ak1),0)*e352</f>
        <v>0</v>
      </c>
      <c r="AM352">
        <f>vlookup("921-059000-200",B:AZ,column(al1),0)*e352</f>
        <v>0</v>
      </c>
      <c r="AN352">
        <f>vlookup("921-059000-200",B:AZ,column(am1),0)*e352</f>
        <v>0</v>
      </c>
      <c r="AO352">
        <f>vlookup("921-059000-200",B:AZ,column(an1),0)*e352</f>
        <v>0</v>
      </c>
    </row>
    <row r="353" spans="1:41">
      <c r="A353" t="s">
        <v>22</v>
      </c>
      <c r="B353" t="s">
        <v>373</v>
      </c>
      <c r="C353" t="s">
        <v>374</v>
      </c>
      <c r="E353">
        <v>1</v>
      </c>
      <c r="F353" t="s">
        <v>13</v>
      </c>
      <c r="I353" t="s">
        <v>15</v>
      </c>
      <c r="J353">
        <f>vlookup("921-059000-200",B:AZ,column(i1),0)*e353</f>
        <v>0</v>
      </c>
      <c r="K353">
        <f>vlookup("921-059000-200",B:AZ,column(j1),0)*e353</f>
        <v>0</v>
      </c>
      <c r="L353">
        <f>vlookup("921-059000-200",B:AZ,column(k1),0)*e353</f>
        <v>0</v>
      </c>
      <c r="M353">
        <f>vlookup("921-059000-200",B:AZ,column(l1),0)*e353</f>
        <v>0</v>
      </c>
      <c r="N353">
        <f>vlookup("921-059000-200",B:AZ,column(m1),0)*e353</f>
        <v>0</v>
      </c>
      <c r="O353">
        <f>vlookup("921-059000-200",B:AZ,column(n1),0)*e353</f>
        <v>0</v>
      </c>
      <c r="P353">
        <f>vlookup("921-059000-200",B:AZ,column(o1),0)*e353</f>
        <v>0</v>
      </c>
      <c r="Q353">
        <f>vlookup("921-059000-200",B:AZ,column(p1),0)*e353</f>
        <v>0</v>
      </c>
      <c r="R353">
        <f>vlookup("921-059000-200",B:AZ,column(q1),0)*e353</f>
        <v>0</v>
      </c>
      <c r="S353">
        <f>vlookup("921-059000-200",B:AZ,column(r1),0)*e353</f>
        <v>0</v>
      </c>
      <c r="T353">
        <f>vlookup("921-059000-200",B:AZ,column(s1),0)*e353</f>
        <v>0</v>
      </c>
      <c r="U353">
        <f>vlookup("921-059000-200",B:AZ,column(t1),0)*e353</f>
        <v>0</v>
      </c>
      <c r="V353">
        <f>vlookup("921-059000-200",B:AZ,column(u1),0)*e353</f>
        <v>0</v>
      </c>
      <c r="W353">
        <f>vlookup("921-059000-200",B:AZ,column(v1),0)*e353</f>
        <v>0</v>
      </c>
      <c r="X353">
        <f>vlookup("921-059000-200",B:AZ,column(w1),0)*e353</f>
        <v>0</v>
      </c>
      <c r="Y353">
        <f>vlookup("921-059000-200",B:AZ,column(x1),0)*e353</f>
        <v>0</v>
      </c>
      <c r="Z353">
        <f>vlookup("921-059000-200",B:AZ,column(y1),0)*e353</f>
        <v>0</v>
      </c>
      <c r="AA353">
        <f>vlookup("921-059000-200",B:AZ,column(z1),0)*e353</f>
        <v>0</v>
      </c>
      <c r="AB353">
        <f>vlookup("921-059000-200",B:AZ,column(aa1),0)*e353</f>
        <v>0</v>
      </c>
      <c r="AC353">
        <f>vlookup("921-059000-200",B:AZ,column(ab1),0)*e353</f>
        <v>0</v>
      </c>
      <c r="AD353">
        <f>vlookup("921-059000-200",B:AZ,column(ac1),0)*e353</f>
        <v>0</v>
      </c>
      <c r="AE353">
        <f>vlookup("921-059000-200",B:AZ,column(ad1),0)*e353</f>
        <v>0</v>
      </c>
      <c r="AF353">
        <f>vlookup("921-059000-200",B:AZ,column(ae1),0)*e353</f>
        <v>0</v>
      </c>
      <c r="AG353">
        <f>vlookup("921-059000-200",B:AZ,column(af1),0)*e353</f>
        <v>0</v>
      </c>
      <c r="AH353">
        <f>vlookup("921-059000-200",B:AZ,column(ag1),0)*e353</f>
        <v>0</v>
      </c>
      <c r="AI353">
        <f>vlookup("921-059000-200",B:AZ,column(ah1),0)*e353</f>
        <v>0</v>
      </c>
      <c r="AJ353">
        <f>vlookup("921-059000-200",B:AZ,column(ai1),0)*e353</f>
        <v>0</v>
      </c>
      <c r="AK353">
        <f>vlookup("921-059000-200",B:AZ,column(aj1),0)*e353</f>
        <v>0</v>
      </c>
      <c r="AL353">
        <f>vlookup("921-059000-200",B:AZ,column(ak1),0)*e353</f>
        <v>0</v>
      </c>
      <c r="AM353">
        <f>vlookup("921-059000-200",B:AZ,column(al1),0)*e353</f>
        <v>0</v>
      </c>
      <c r="AN353">
        <f>vlookup("921-059000-200",B:AZ,column(am1),0)*e353</f>
        <v>0</v>
      </c>
      <c r="AO353">
        <f>vlookup("921-059000-200",B:AZ,column(an1),0)*e353</f>
        <v>0</v>
      </c>
    </row>
    <row r="354" spans="1:41">
      <c r="A354" t="s">
        <v>22</v>
      </c>
      <c r="B354" t="s">
        <v>375</v>
      </c>
      <c r="C354" t="s">
        <v>376</v>
      </c>
      <c r="E354">
        <v>1</v>
      </c>
      <c r="F354" t="s">
        <v>13</v>
      </c>
      <c r="I354" t="s">
        <v>15</v>
      </c>
      <c r="J354">
        <f>vlookup("921-059000-200",B:AZ,column(i1),0)*e354</f>
        <v>0</v>
      </c>
      <c r="K354">
        <f>vlookup("921-059000-200",B:AZ,column(j1),0)*e354</f>
        <v>0</v>
      </c>
      <c r="L354">
        <f>vlookup("921-059000-200",B:AZ,column(k1),0)*e354</f>
        <v>0</v>
      </c>
      <c r="M354">
        <f>vlookup("921-059000-200",B:AZ,column(l1),0)*e354</f>
        <v>0</v>
      </c>
      <c r="N354">
        <f>vlookup("921-059000-200",B:AZ,column(m1),0)*e354</f>
        <v>0</v>
      </c>
      <c r="O354">
        <f>vlookup("921-059000-200",B:AZ,column(n1),0)*e354</f>
        <v>0</v>
      </c>
      <c r="P354">
        <f>vlookup("921-059000-200",B:AZ,column(o1),0)*e354</f>
        <v>0</v>
      </c>
      <c r="Q354">
        <f>vlookup("921-059000-200",B:AZ,column(p1),0)*e354</f>
        <v>0</v>
      </c>
      <c r="R354">
        <f>vlookup("921-059000-200",B:AZ,column(q1),0)*e354</f>
        <v>0</v>
      </c>
      <c r="S354">
        <f>vlookup("921-059000-200",B:AZ,column(r1),0)*e354</f>
        <v>0</v>
      </c>
      <c r="T354">
        <f>vlookup("921-059000-200",B:AZ,column(s1),0)*e354</f>
        <v>0</v>
      </c>
      <c r="U354">
        <f>vlookup("921-059000-200",B:AZ,column(t1),0)*e354</f>
        <v>0</v>
      </c>
      <c r="V354">
        <f>vlookup("921-059000-200",B:AZ,column(u1),0)*e354</f>
        <v>0</v>
      </c>
      <c r="W354">
        <f>vlookup("921-059000-200",B:AZ,column(v1),0)*e354</f>
        <v>0</v>
      </c>
      <c r="X354">
        <f>vlookup("921-059000-200",B:AZ,column(w1),0)*e354</f>
        <v>0</v>
      </c>
      <c r="Y354">
        <f>vlookup("921-059000-200",B:AZ,column(x1),0)*e354</f>
        <v>0</v>
      </c>
      <c r="Z354">
        <f>vlookup("921-059000-200",B:AZ,column(y1),0)*e354</f>
        <v>0</v>
      </c>
      <c r="AA354">
        <f>vlookup("921-059000-200",B:AZ,column(z1),0)*e354</f>
        <v>0</v>
      </c>
      <c r="AB354">
        <f>vlookup("921-059000-200",B:AZ,column(aa1),0)*e354</f>
        <v>0</v>
      </c>
      <c r="AC354">
        <f>vlookup("921-059000-200",B:AZ,column(ab1),0)*e354</f>
        <v>0</v>
      </c>
      <c r="AD354">
        <f>vlookup("921-059000-200",B:AZ,column(ac1),0)*e354</f>
        <v>0</v>
      </c>
      <c r="AE354">
        <f>vlookup("921-059000-200",B:AZ,column(ad1),0)*e354</f>
        <v>0</v>
      </c>
      <c r="AF354">
        <f>vlookup("921-059000-200",B:AZ,column(ae1),0)*e354</f>
        <v>0</v>
      </c>
      <c r="AG354">
        <f>vlookup("921-059000-200",B:AZ,column(af1),0)*e354</f>
        <v>0</v>
      </c>
      <c r="AH354">
        <f>vlookup("921-059000-200",B:AZ,column(ag1),0)*e354</f>
        <v>0</v>
      </c>
      <c r="AI354">
        <f>vlookup("921-059000-200",B:AZ,column(ah1),0)*e354</f>
        <v>0</v>
      </c>
      <c r="AJ354">
        <f>vlookup("921-059000-200",B:AZ,column(ai1),0)*e354</f>
        <v>0</v>
      </c>
      <c r="AK354">
        <f>vlookup("921-059000-200",B:AZ,column(aj1),0)*e354</f>
        <v>0</v>
      </c>
      <c r="AL354">
        <f>vlookup("921-059000-200",B:AZ,column(ak1),0)*e354</f>
        <v>0</v>
      </c>
      <c r="AM354">
        <f>vlookup("921-059000-200",B:AZ,column(al1),0)*e354</f>
        <v>0</v>
      </c>
      <c r="AN354">
        <f>vlookup("921-059000-200",B:AZ,column(am1),0)*e354</f>
        <v>0</v>
      </c>
      <c r="AO354">
        <f>vlookup("921-059000-200",B:AZ,column(an1),0)*e354</f>
        <v>0</v>
      </c>
    </row>
    <row r="355" spans="1:41">
      <c r="A355" t="s">
        <v>22</v>
      </c>
      <c r="B355" t="s">
        <v>377</v>
      </c>
      <c r="C355" t="s">
        <v>378</v>
      </c>
      <c r="E355">
        <v>1</v>
      </c>
      <c r="F355" t="s">
        <v>13</v>
      </c>
      <c r="I355" t="s">
        <v>15</v>
      </c>
      <c r="J355">
        <f>vlookup("921-059000-200",B:AZ,column(i1),0)*e355</f>
        <v>0</v>
      </c>
      <c r="K355">
        <f>vlookup("921-059000-200",B:AZ,column(j1),0)*e355</f>
        <v>0</v>
      </c>
      <c r="L355">
        <f>vlookup("921-059000-200",B:AZ,column(k1),0)*e355</f>
        <v>0</v>
      </c>
      <c r="M355">
        <f>vlookup("921-059000-200",B:AZ,column(l1),0)*e355</f>
        <v>0</v>
      </c>
      <c r="N355">
        <f>vlookup("921-059000-200",B:AZ,column(m1),0)*e355</f>
        <v>0</v>
      </c>
      <c r="O355">
        <f>vlookup("921-059000-200",B:AZ,column(n1),0)*e355</f>
        <v>0</v>
      </c>
      <c r="P355">
        <f>vlookup("921-059000-200",B:AZ,column(o1),0)*e355</f>
        <v>0</v>
      </c>
      <c r="Q355">
        <f>vlookup("921-059000-200",B:AZ,column(p1),0)*e355</f>
        <v>0</v>
      </c>
      <c r="R355">
        <f>vlookup("921-059000-200",B:AZ,column(q1),0)*e355</f>
        <v>0</v>
      </c>
      <c r="S355">
        <f>vlookup("921-059000-200",B:AZ,column(r1),0)*e355</f>
        <v>0</v>
      </c>
      <c r="T355">
        <f>vlookup("921-059000-200",B:AZ,column(s1),0)*e355</f>
        <v>0</v>
      </c>
      <c r="U355">
        <f>vlookup("921-059000-200",B:AZ,column(t1),0)*e355</f>
        <v>0</v>
      </c>
      <c r="V355">
        <f>vlookup("921-059000-200",B:AZ,column(u1),0)*e355</f>
        <v>0</v>
      </c>
      <c r="W355">
        <f>vlookup("921-059000-200",B:AZ,column(v1),0)*e355</f>
        <v>0</v>
      </c>
      <c r="X355">
        <f>vlookup("921-059000-200",B:AZ,column(w1),0)*e355</f>
        <v>0</v>
      </c>
      <c r="Y355">
        <f>vlookup("921-059000-200",B:AZ,column(x1),0)*e355</f>
        <v>0</v>
      </c>
      <c r="Z355">
        <f>vlookup("921-059000-200",B:AZ,column(y1),0)*e355</f>
        <v>0</v>
      </c>
      <c r="AA355">
        <f>vlookup("921-059000-200",B:AZ,column(z1),0)*e355</f>
        <v>0</v>
      </c>
      <c r="AB355">
        <f>vlookup("921-059000-200",B:AZ,column(aa1),0)*e355</f>
        <v>0</v>
      </c>
      <c r="AC355">
        <f>vlookup("921-059000-200",B:AZ,column(ab1),0)*e355</f>
        <v>0</v>
      </c>
      <c r="AD355">
        <f>vlookup("921-059000-200",B:AZ,column(ac1),0)*e355</f>
        <v>0</v>
      </c>
      <c r="AE355">
        <f>vlookup("921-059000-200",B:AZ,column(ad1),0)*e355</f>
        <v>0</v>
      </c>
      <c r="AF355">
        <f>vlookup("921-059000-200",B:AZ,column(ae1),0)*e355</f>
        <v>0</v>
      </c>
      <c r="AG355">
        <f>vlookup("921-059000-200",B:AZ,column(af1),0)*e355</f>
        <v>0</v>
      </c>
      <c r="AH355">
        <f>vlookup("921-059000-200",B:AZ,column(ag1),0)*e355</f>
        <v>0</v>
      </c>
      <c r="AI355">
        <f>vlookup("921-059000-200",B:AZ,column(ah1),0)*e355</f>
        <v>0</v>
      </c>
      <c r="AJ355">
        <f>vlookup("921-059000-200",B:AZ,column(ai1),0)*e355</f>
        <v>0</v>
      </c>
      <c r="AK355">
        <f>vlookup("921-059000-200",B:AZ,column(aj1),0)*e355</f>
        <v>0</v>
      </c>
      <c r="AL355">
        <f>vlookup("921-059000-200",B:AZ,column(ak1),0)*e355</f>
        <v>0</v>
      </c>
      <c r="AM355">
        <f>vlookup("921-059000-200",B:AZ,column(al1),0)*e355</f>
        <v>0</v>
      </c>
      <c r="AN355">
        <f>vlookup("921-059000-200",B:AZ,column(am1),0)*e355</f>
        <v>0</v>
      </c>
      <c r="AO355">
        <f>vlookup("921-059000-200",B:AZ,column(an1),0)*e355</f>
        <v>0</v>
      </c>
    </row>
    <row r="356" spans="1:41">
      <c r="A356" t="s">
        <v>22</v>
      </c>
      <c r="B356" t="s">
        <v>379</v>
      </c>
      <c r="C356" t="s">
        <v>380</v>
      </c>
      <c r="E356">
        <v>1</v>
      </c>
      <c r="F356" t="s">
        <v>13</v>
      </c>
      <c r="I356" t="s">
        <v>15</v>
      </c>
      <c r="J356">
        <f>vlookup("921-059000-200",B:AZ,column(i1),0)*e356</f>
        <v>0</v>
      </c>
      <c r="K356">
        <f>vlookup("921-059000-200",B:AZ,column(j1),0)*e356</f>
        <v>0</v>
      </c>
      <c r="L356">
        <f>vlookup("921-059000-200",B:AZ,column(k1),0)*e356</f>
        <v>0</v>
      </c>
      <c r="M356">
        <f>vlookup("921-059000-200",B:AZ,column(l1),0)*e356</f>
        <v>0</v>
      </c>
      <c r="N356">
        <f>vlookup("921-059000-200",B:AZ,column(m1),0)*e356</f>
        <v>0</v>
      </c>
      <c r="O356">
        <f>vlookup("921-059000-200",B:AZ,column(n1),0)*e356</f>
        <v>0</v>
      </c>
      <c r="P356">
        <f>vlookup("921-059000-200",B:AZ,column(o1),0)*e356</f>
        <v>0</v>
      </c>
      <c r="Q356">
        <f>vlookup("921-059000-200",B:AZ,column(p1),0)*e356</f>
        <v>0</v>
      </c>
      <c r="R356">
        <f>vlookup("921-059000-200",B:AZ,column(q1),0)*e356</f>
        <v>0</v>
      </c>
      <c r="S356">
        <f>vlookup("921-059000-200",B:AZ,column(r1),0)*e356</f>
        <v>0</v>
      </c>
      <c r="T356">
        <f>vlookup("921-059000-200",B:AZ,column(s1),0)*e356</f>
        <v>0</v>
      </c>
      <c r="U356">
        <f>vlookup("921-059000-200",B:AZ,column(t1),0)*e356</f>
        <v>0</v>
      </c>
      <c r="V356">
        <f>vlookup("921-059000-200",B:AZ,column(u1),0)*e356</f>
        <v>0</v>
      </c>
      <c r="W356">
        <f>vlookup("921-059000-200",B:AZ,column(v1),0)*e356</f>
        <v>0</v>
      </c>
      <c r="X356">
        <f>vlookup("921-059000-200",B:AZ,column(w1),0)*e356</f>
        <v>0</v>
      </c>
      <c r="Y356">
        <f>vlookup("921-059000-200",B:AZ,column(x1),0)*e356</f>
        <v>0</v>
      </c>
      <c r="Z356">
        <f>vlookup("921-059000-200",B:AZ,column(y1),0)*e356</f>
        <v>0</v>
      </c>
      <c r="AA356">
        <f>vlookup("921-059000-200",B:AZ,column(z1),0)*e356</f>
        <v>0</v>
      </c>
      <c r="AB356">
        <f>vlookup("921-059000-200",B:AZ,column(aa1),0)*e356</f>
        <v>0</v>
      </c>
      <c r="AC356">
        <f>vlookup("921-059000-200",B:AZ,column(ab1),0)*e356</f>
        <v>0</v>
      </c>
      <c r="AD356">
        <f>vlookup("921-059000-200",B:AZ,column(ac1),0)*e356</f>
        <v>0</v>
      </c>
      <c r="AE356">
        <f>vlookup("921-059000-200",B:AZ,column(ad1),0)*e356</f>
        <v>0</v>
      </c>
      <c r="AF356">
        <f>vlookup("921-059000-200",B:AZ,column(ae1),0)*e356</f>
        <v>0</v>
      </c>
      <c r="AG356">
        <f>vlookup("921-059000-200",B:AZ,column(af1),0)*e356</f>
        <v>0</v>
      </c>
      <c r="AH356">
        <f>vlookup("921-059000-200",B:AZ,column(ag1),0)*e356</f>
        <v>0</v>
      </c>
      <c r="AI356">
        <f>vlookup("921-059000-200",B:AZ,column(ah1),0)*e356</f>
        <v>0</v>
      </c>
      <c r="AJ356">
        <f>vlookup("921-059000-200",B:AZ,column(ai1),0)*e356</f>
        <v>0</v>
      </c>
      <c r="AK356">
        <f>vlookup("921-059000-200",B:AZ,column(aj1),0)*e356</f>
        <v>0</v>
      </c>
      <c r="AL356">
        <f>vlookup("921-059000-200",B:AZ,column(ak1),0)*e356</f>
        <v>0</v>
      </c>
      <c r="AM356">
        <f>vlookup("921-059000-200",B:AZ,column(al1),0)*e356</f>
        <v>0</v>
      </c>
      <c r="AN356">
        <f>vlookup("921-059000-200",B:AZ,column(am1),0)*e356</f>
        <v>0</v>
      </c>
      <c r="AO356">
        <f>vlookup("921-059000-200",B:AZ,column(an1),0)*e356</f>
        <v>0</v>
      </c>
    </row>
    <row r="357" spans="1:41">
      <c r="A357" t="s">
        <v>22</v>
      </c>
      <c r="B357" t="s">
        <v>381</v>
      </c>
      <c r="C357" t="s">
        <v>382</v>
      </c>
      <c r="E357">
        <v>1</v>
      </c>
      <c r="F357" t="s">
        <v>13</v>
      </c>
      <c r="I357" t="s">
        <v>15</v>
      </c>
      <c r="J357">
        <f>vlookup("921-059000-200",B:AZ,column(i1),0)*e357</f>
        <v>0</v>
      </c>
      <c r="K357">
        <f>vlookup("921-059000-200",B:AZ,column(j1),0)*e357</f>
        <v>0</v>
      </c>
      <c r="L357">
        <f>vlookup("921-059000-200",B:AZ,column(k1),0)*e357</f>
        <v>0</v>
      </c>
      <c r="M357">
        <f>vlookup("921-059000-200",B:AZ,column(l1),0)*e357</f>
        <v>0</v>
      </c>
      <c r="N357">
        <f>vlookup("921-059000-200",B:AZ,column(m1),0)*e357</f>
        <v>0</v>
      </c>
      <c r="O357">
        <f>vlookup("921-059000-200",B:AZ,column(n1),0)*e357</f>
        <v>0</v>
      </c>
      <c r="P357">
        <f>vlookup("921-059000-200",B:AZ,column(o1),0)*e357</f>
        <v>0</v>
      </c>
      <c r="Q357">
        <f>vlookup("921-059000-200",B:AZ,column(p1),0)*e357</f>
        <v>0</v>
      </c>
      <c r="R357">
        <f>vlookup("921-059000-200",B:AZ,column(q1),0)*e357</f>
        <v>0</v>
      </c>
      <c r="S357">
        <f>vlookup("921-059000-200",B:AZ,column(r1),0)*e357</f>
        <v>0</v>
      </c>
      <c r="T357">
        <f>vlookup("921-059000-200",B:AZ,column(s1),0)*e357</f>
        <v>0</v>
      </c>
      <c r="U357">
        <f>vlookup("921-059000-200",B:AZ,column(t1),0)*e357</f>
        <v>0</v>
      </c>
      <c r="V357">
        <f>vlookup("921-059000-200",B:AZ,column(u1),0)*e357</f>
        <v>0</v>
      </c>
      <c r="W357">
        <f>vlookup("921-059000-200",B:AZ,column(v1),0)*e357</f>
        <v>0</v>
      </c>
      <c r="X357">
        <f>vlookup("921-059000-200",B:AZ,column(w1),0)*e357</f>
        <v>0</v>
      </c>
      <c r="Y357">
        <f>vlookup("921-059000-200",B:AZ,column(x1),0)*e357</f>
        <v>0</v>
      </c>
      <c r="Z357">
        <f>vlookup("921-059000-200",B:AZ,column(y1),0)*e357</f>
        <v>0</v>
      </c>
      <c r="AA357">
        <f>vlookup("921-059000-200",B:AZ,column(z1),0)*e357</f>
        <v>0</v>
      </c>
      <c r="AB357">
        <f>vlookup("921-059000-200",B:AZ,column(aa1),0)*e357</f>
        <v>0</v>
      </c>
      <c r="AC357">
        <f>vlookup("921-059000-200",B:AZ,column(ab1),0)*e357</f>
        <v>0</v>
      </c>
      <c r="AD357">
        <f>vlookup("921-059000-200",B:AZ,column(ac1),0)*e357</f>
        <v>0</v>
      </c>
      <c r="AE357">
        <f>vlookup("921-059000-200",B:AZ,column(ad1),0)*e357</f>
        <v>0</v>
      </c>
      <c r="AF357">
        <f>vlookup("921-059000-200",B:AZ,column(ae1),0)*e357</f>
        <v>0</v>
      </c>
      <c r="AG357">
        <f>vlookup("921-059000-200",B:AZ,column(af1),0)*e357</f>
        <v>0</v>
      </c>
      <c r="AH357">
        <f>vlookup("921-059000-200",B:AZ,column(ag1),0)*e357</f>
        <v>0</v>
      </c>
      <c r="AI357">
        <f>vlookup("921-059000-200",B:AZ,column(ah1),0)*e357</f>
        <v>0</v>
      </c>
      <c r="AJ357">
        <f>vlookup("921-059000-200",B:AZ,column(ai1),0)*e357</f>
        <v>0</v>
      </c>
      <c r="AK357">
        <f>vlookup("921-059000-200",B:AZ,column(aj1),0)*e357</f>
        <v>0</v>
      </c>
      <c r="AL357">
        <f>vlookup("921-059000-200",B:AZ,column(ak1),0)*e357</f>
        <v>0</v>
      </c>
      <c r="AM357">
        <f>vlookup("921-059000-200",B:AZ,column(al1),0)*e357</f>
        <v>0</v>
      </c>
      <c r="AN357">
        <f>vlookup("921-059000-200",B:AZ,column(am1),0)*e357</f>
        <v>0</v>
      </c>
      <c r="AO357">
        <f>vlookup("921-059000-200",B:AZ,column(an1),0)*e357</f>
        <v>0</v>
      </c>
    </row>
    <row r="358" spans="1:41">
      <c r="A358" t="s">
        <v>22</v>
      </c>
      <c r="B358" t="s">
        <v>383</v>
      </c>
      <c r="C358" t="s">
        <v>384</v>
      </c>
      <c r="E358">
        <v>5</v>
      </c>
      <c r="F358" t="s">
        <v>13</v>
      </c>
      <c r="I358" t="s">
        <v>15</v>
      </c>
      <c r="J358">
        <f>vlookup("921-059000-200",B:AZ,column(i1),0)*e358</f>
        <v>0</v>
      </c>
      <c r="K358">
        <f>vlookup("921-059000-200",B:AZ,column(j1),0)*e358</f>
        <v>0</v>
      </c>
      <c r="L358">
        <f>vlookup("921-059000-200",B:AZ,column(k1),0)*e358</f>
        <v>0</v>
      </c>
      <c r="M358">
        <f>vlookup("921-059000-200",B:AZ,column(l1),0)*e358</f>
        <v>0</v>
      </c>
      <c r="N358">
        <f>vlookup("921-059000-200",B:AZ,column(m1),0)*e358</f>
        <v>0</v>
      </c>
      <c r="O358">
        <f>vlookup("921-059000-200",B:AZ,column(n1),0)*e358</f>
        <v>0</v>
      </c>
      <c r="P358">
        <f>vlookup("921-059000-200",B:AZ,column(o1),0)*e358</f>
        <v>0</v>
      </c>
      <c r="Q358">
        <f>vlookup("921-059000-200",B:AZ,column(p1),0)*e358</f>
        <v>0</v>
      </c>
      <c r="R358">
        <f>vlookup("921-059000-200",B:AZ,column(q1),0)*e358</f>
        <v>0</v>
      </c>
      <c r="S358">
        <f>vlookup("921-059000-200",B:AZ,column(r1),0)*e358</f>
        <v>0</v>
      </c>
      <c r="T358">
        <f>vlookup("921-059000-200",B:AZ,column(s1),0)*e358</f>
        <v>0</v>
      </c>
      <c r="U358">
        <f>vlookup("921-059000-200",B:AZ,column(t1),0)*e358</f>
        <v>0</v>
      </c>
      <c r="V358">
        <f>vlookup("921-059000-200",B:AZ,column(u1),0)*e358</f>
        <v>0</v>
      </c>
      <c r="W358">
        <f>vlookup("921-059000-200",B:AZ,column(v1),0)*e358</f>
        <v>0</v>
      </c>
      <c r="X358">
        <f>vlookup("921-059000-200",B:AZ,column(w1),0)*e358</f>
        <v>0</v>
      </c>
      <c r="Y358">
        <f>vlookup("921-059000-200",B:AZ,column(x1),0)*e358</f>
        <v>0</v>
      </c>
      <c r="Z358">
        <f>vlookup("921-059000-200",B:AZ,column(y1),0)*e358</f>
        <v>0</v>
      </c>
      <c r="AA358">
        <f>vlookup("921-059000-200",B:AZ,column(z1),0)*e358</f>
        <v>0</v>
      </c>
      <c r="AB358">
        <f>vlookup("921-059000-200",B:AZ,column(aa1),0)*e358</f>
        <v>0</v>
      </c>
      <c r="AC358">
        <f>vlookup("921-059000-200",B:AZ,column(ab1),0)*e358</f>
        <v>0</v>
      </c>
      <c r="AD358">
        <f>vlookup("921-059000-200",B:AZ,column(ac1),0)*e358</f>
        <v>0</v>
      </c>
      <c r="AE358">
        <f>vlookup("921-059000-200",B:AZ,column(ad1),0)*e358</f>
        <v>0</v>
      </c>
      <c r="AF358">
        <f>vlookup("921-059000-200",B:AZ,column(ae1),0)*e358</f>
        <v>0</v>
      </c>
      <c r="AG358">
        <f>vlookup("921-059000-200",B:AZ,column(af1),0)*e358</f>
        <v>0</v>
      </c>
      <c r="AH358">
        <f>vlookup("921-059000-200",B:AZ,column(ag1),0)*e358</f>
        <v>0</v>
      </c>
      <c r="AI358">
        <f>vlookup("921-059000-200",B:AZ,column(ah1),0)*e358</f>
        <v>0</v>
      </c>
      <c r="AJ358">
        <f>vlookup("921-059000-200",B:AZ,column(ai1),0)*e358</f>
        <v>0</v>
      </c>
      <c r="AK358">
        <f>vlookup("921-059000-200",B:AZ,column(aj1),0)*e358</f>
        <v>0</v>
      </c>
      <c r="AL358">
        <f>vlookup("921-059000-200",B:AZ,column(ak1),0)*e358</f>
        <v>0</v>
      </c>
      <c r="AM358">
        <f>vlookup("921-059000-200",B:AZ,column(al1),0)*e358</f>
        <v>0</v>
      </c>
      <c r="AN358">
        <f>vlookup("921-059000-200",B:AZ,column(am1),0)*e358</f>
        <v>0</v>
      </c>
      <c r="AO358">
        <f>vlookup("921-059000-200",B:AZ,column(an1),0)*e358</f>
        <v>0</v>
      </c>
    </row>
    <row r="359" spans="1:41">
      <c r="A359" t="s">
        <v>22</v>
      </c>
      <c r="B359" t="s">
        <v>345</v>
      </c>
      <c r="C359" t="s">
        <v>346</v>
      </c>
      <c r="E359">
        <v>1</v>
      </c>
      <c r="F359" t="s">
        <v>13</v>
      </c>
      <c r="I359" t="s">
        <v>15</v>
      </c>
      <c r="J359">
        <f>vlookup("921-059000-200",B:AZ,column(i1),0)*e359</f>
        <v>0</v>
      </c>
      <c r="K359">
        <f>vlookup("921-059000-200",B:AZ,column(j1),0)*e359</f>
        <v>0</v>
      </c>
      <c r="L359">
        <f>vlookup("921-059000-200",B:AZ,column(k1),0)*e359</f>
        <v>0</v>
      </c>
      <c r="M359">
        <f>vlookup("921-059000-200",B:AZ,column(l1),0)*e359</f>
        <v>0</v>
      </c>
      <c r="N359">
        <f>vlookup("921-059000-200",B:AZ,column(m1),0)*e359</f>
        <v>0</v>
      </c>
      <c r="O359">
        <f>vlookup("921-059000-200",B:AZ,column(n1),0)*e359</f>
        <v>0</v>
      </c>
      <c r="P359">
        <f>vlookup("921-059000-200",B:AZ,column(o1),0)*e359</f>
        <v>0</v>
      </c>
      <c r="Q359">
        <f>vlookup("921-059000-200",B:AZ,column(p1),0)*e359</f>
        <v>0</v>
      </c>
      <c r="R359">
        <f>vlookup("921-059000-200",B:AZ,column(q1),0)*e359</f>
        <v>0</v>
      </c>
      <c r="S359">
        <f>vlookup("921-059000-200",B:AZ,column(r1),0)*e359</f>
        <v>0</v>
      </c>
      <c r="T359">
        <f>vlookup("921-059000-200",B:AZ,column(s1),0)*e359</f>
        <v>0</v>
      </c>
      <c r="U359">
        <f>vlookup("921-059000-200",B:AZ,column(t1),0)*e359</f>
        <v>0</v>
      </c>
      <c r="V359">
        <f>vlookup("921-059000-200",B:AZ,column(u1),0)*e359</f>
        <v>0</v>
      </c>
      <c r="W359">
        <f>vlookup("921-059000-200",B:AZ,column(v1),0)*e359</f>
        <v>0</v>
      </c>
      <c r="X359">
        <f>vlookup("921-059000-200",B:AZ,column(w1),0)*e359</f>
        <v>0</v>
      </c>
      <c r="Y359">
        <f>vlookup("921-059000-200",B:AZ,column(x1),0)*e359</f>
        <v>0</v>
      </c>
      <c r="Z359">
        <f>vlookup("921-059000-200",B:AZ,column(y1),0)*e359</f>
        <v>0</v>
      </c>
      <c r="AA359">
        <f>vlookup("921-059000-200",B:AZ,column(z1),0)*e359</f>
        <v>0</v>
      </c>
      <c r="AB359">
        <f>vlookup("921-059000-200",B:AZ,column(aa1),0)*e359</f>
        <v>0</v>
      </c>
      <c r="AC359">
        <f>vlookup("921-059000-200",B:AZ,column(ab1),0)*e359</f>
        <v>0</v>
      </c>
      <c r="AD359">
        <f>vlookup("921-059000-200",B:AZ,column(ac1),0)*e359</f>
        <v>0</v>
      </c>
      <c r="AE359">
        <f>vlookup("921-059000-200",B:AZ,column(ad1),0)*e359</f>
        <v>0</v>
      </c>
      <c r="AF359">
        <f>vlookup("921-059000-200",B:AZ,column(ae1),0)*e359</f>
        <v>0</v>
      </c>
      <c r="AG359">
        <f>vlookup("921-059000-200",B:AZ,column(af1),0)*e359</f>
        <v>0</v>
      </c>
      <c r="AH359">
        <f>vlookup("921-059000-200",B:AZ,column(ag1),0)*e359</f>
        <v>0</v>
      </c>
      <c r="AI359">
        <f>vlookup("921-059000-200",B:AZ,column(ah1),0)*e359</f>
        <v>0</v>
      </c>
      <c r="AJ359">
        <f>vlookup("921-059000-200",B:AZ,column(ai1),0)*e359</f>
        <v>0</v>
      </c>
      <c r="AK359">
        <f>vlookup("921-059000-200",B:AZ,column(aj1),0)*e359</f>
        <v>0</v>
      </c>
      <c r="AL359">
        <f>vlookup("921-059000-200",B:AZ,column(ak1),0)*e359</f>
        <v>0</v>
      </c>
      <c r="AM359">
        <f>vlookup("921-059000-200",B:AZ,column(al1),0)*e359</f>
        <v>0</v>
      </c>
      <c r="AN359">
        <f>vlookup("921-059000-200",B:AZ,column(am1),0)*e359</f>
        <v>0</v>
      </c>
      <c r="AO359">
        <f>vlookup("921-059000-200",B:AZ,column(an1),0)*e359</f>
        <v>0</v>
      </c>
    </row>
    <row r="360" spans="1:41">
      <c r="A360" t="s">
        <v>22</v>
      </c>
      <c r="B360" t="s">
        <v>385</v>
      </c>
      <c r="C360" t="s">
        <v>386</v>
      </c>
      <c r="E360">
        <v>1</v>
      </c>
      <c r="F360" t="s">
        <v>13</v>
      </c>
      <c r="I360" t="s">
        <v>15</v>
      </c>
      <c r="J360">
        <f>vlookup("921-059000-200",B:AZ,column(i1),0)*e360</f>
        <v>0</v>
      </c>
      <c r="K360">
        <f>vlookup("921-059000-200",B:AZ,column(j1),0)*e360</f>
        <v>0</v>
      </c>
      <c r="L360">
        <f>vlookup("921-059000-200",B:AZ,column(k1),0)*e360</f>
        <v>0</v>
      </c>
      <c r="M360">
        <f>vlookup("921-059000-200",B:AZ,column(l1),0)*e360</f>
        <v>0</v>
      </c>
      <c r="N360">
        <f>vlookup("921-059000-200",B:AZ,column(m1),0)*e360</f>
        <v>0</v>
      </c>
      <c r="O360">
        <f>vlookup("921-059000-200",B:AZ,column(n1),0)*e360</f>
        <v>0</v>
      </c>
      <c r="P360">
        <f>vlookup("921-059000-200",B:AZ,column(o1),0)*e360</f>
        <v>0</v>
      </c>
      <c r="Q360">
        <f>vlookup("921-059000-200",B:AZ,column(p1),0)*e360</f>
        <v>0</v>
      </c>
      <c r="R360">
        <f>vlookup("921-059000-200",B:AZ,column(q1),0)*e360</f>
        <v>0</v>
      </c>
      <c r="S360">
        <f>vlookup("921-059000-200",B:AZ,column(r1),0)*e360</f>
        <v>0</v>
      </c>
      <c r="T360">
        <f>vlookup("921-059000-200",B:AZ,column(s1),0)*e360</f>
        <v>0</v>
      </c>
      <c r="U360">
        <f>vlookup("921-059000-200",B:AZ,column(t1),0)*e360</f>
        <v>0</v>
      </c>
      <c r="V360">
        <f>vlookup("921-059000-200",B:AZ,column(u1),0)*e360</f>
        <v>0</v>
      </c>
      <c r="W360">
        <f>vlookup("921-059000-200",B:AZ,column(v1),0)*e360</f>
        <v>0</v>
      </c>
      <c r="X360">
        <f>vlookup("921-059000-200",B:AZ,column(w1),0)*e360</f>
        <v>0</v>
      </c>
      <c r="Y360">
        <f>vlookup("921-059000-200",B:AZ,column(x1),0)*e360</f>
        <v>0</v>
      </c>
      <c r="Z360">
        <f>vlookup("921-059000-200",B:AZ,column(y1),0)*e360</f>
        <v>0</v>
      </c>
      <c r="AA360">
        <f>vlookup("921-059000-200",B:AZ,column(z1),0)*e360</f>
        <v>0</v>
      </c>
      <c r="AB360">
        <f>vlookup("921-059000-200",B:AZ,column(aa1),0)*e360</f>
        <v>0</v>
      </c>
      <c r="AC360">
        <f>vlookup("921-059000-200",B:AZ,column(ab1),0)*e360</f>
        <v>0</v>
      </c>
      <c r="AD360">
        <f>vlookup("921-059000-200",B:AZ,column(ac1),0)*e360</f>
        <v>0</v>
      </c>
      <c r="AE360">
        <f>vlookup("921-059000-200",B:AZ,column(ad1),0)*e360</f>
        <v>0</v>
      </c>
      <c r="AF360">
        <f>vlookup("921-059000-200",B:AZ,column(ae1),0)*e360</f>
        <v>0</v>
      </c>
      <c r="AG360">
        <f>vlookup("921-059000-200",B:AZ,column(af1),0)*e360</f>
        <v>0</v>
      </c>
      <c r="AH360">
        <f>vlookup("921-059000-200",B:AZ,column(ag1),0)*e360</f>
        <v>0</v>
      </c>
      <c r="AI360">
        <f>vlookup("921-059000-200",B:AZ,column(ah1),0)*e360</f>
        <v>0</v>
      </c>
      <c r="AJ360">
        <f>vlookup("921-059000-200",B:AZ,column(ai1),0)*e360</f>
        <v>0</v>
      </c>
      <c r="AK360">
        <f>vlookup("921-059000-200",B:AZ,column(aj1),0)*e360</f>
        <v>0</v>
      </c>
      <c r="AL360">
        <f>vlookup("921-059000-200",B:AZ,column(ak1),0)*e360</f>
        <v>0</v>
      </c>
      <c r="AM360">
        <f>vlookup("921-059000-200",B:AZ,column(al1),0)*e360</f>
        <v>0</v>
      </c>
      <c r="AN360">
        <f>vlookup("921-059000-200",B:AZ,column(am1),0)*e360</f>
        <v>0</v>
      </c>
      <c r="AO360">
        <f>vlookup("921-059000-200",B:AZ,column(an1),0)*e360</f>
        <v>0</v>
      </c>
    </row>
    <row r="361" spans="1:41">
      <c r="A361" t="s">
        <v>22</v>
      </c>
      <c r="B361" t="s">
        <v>387</v>
      </c>
      <c r="C361" t="s">
        <v>388</v>
      </c>
      <c r="E361">
        <v>1</v>
      </c>
      <c r="F361" t="s">
        <v>13</v>
      </c>
      <c r="I361" t="s">
        <v>15</v>
      </c>
      <c r="J361">
        <f>vlookup("921-059000-200",B:AZ,column(i1),0)*e361</f>
        <v>0</v>
      </c>
      <c r="K361">
        <f>vlookup("921-059000-200",B:AZ,column(j1),0)*e361</f>
        <v>0</v>
      </c>
      <c r="L361">
        <f>vlookup("921-059000-200",B:AZ,column(k1),0)*e361</f>
        <v>0</v>
      </c>
      <c r="M361">
        <f>vlookup("921-059000-200",B:AZ,column(l1),0)*e361</f>
        <v>0</v>
      </c>
      <c r="N361">
        <f>vlookup("921-059000-200",B:AZ,column(m1),0)*e361</f>
        <v>0</v>
      </c>
      <c r="O361">
        <f>vlookup("921-059000-200",B:AZ,column(n1),0)*e361</f>
        <v>0</v>
      </c>
      <c r="P361">
        <f>vlookup("921-059000-200",B:AZ,column(o1),0)*e361</f>
        <v>0</v>
      </c>
      <c r="Q361">
        <f>vlookup("921-059000-200",B:AZ,column(p1),0)*e361</f>
        <v>0</v>
      </c>
      <c r="R361">
        <f>vlookup("921-059000-200",B:AZ,column(q1),0)*e361</f>
        <v>0</v>
      </c>
      <c r="S361">
        <f>vlookup("921-059000-200",B:AZ,column(r1),0)*e361</f>
        <v>0</v>
      </c>
      <c r="T361">
        <f>vlookup("921-059000-200",B:AZ,column(s1),0)*e361</f>
        <v>0</v>
      </c>
      <c r="U361">
        <f>vlookup("921-059000-200",B:AZ,column(t1),0)*e361</f>
        <v>0</v>
      </c>
      <c r="V361">
        <f>vlookup("921-059000-200",B:AZ,column(u1),0)*e361</f>
        <v>0</v>
      </c>
      <c r="W361">
        <f>vlookup("921-059000-200",B:AZ,column(v1),0)*e361</f>
        <v>0</v>
      </c>
      <c r="X361">
        <f>vlookup("921-059000-200",B:AZ,column(w1),0)*e361</f>
        <v>0</v>
      </c>
      <c r="Y361">
        <f>vlookup("921-059000-200",B:AZ,column(x1),0)*e361</f>
        <v>0</v>
      </c>
      <c r="Z361">
        <f>vlookup("921-059000-200",B:AZ,column(y1),0)*e361</f>
        <v>0</v>
      </c>
      <c r="AA361">
        <f>vlookup("921-059000-200",B:AZ,column(z1),0)*e361</f>
        <v>0</v>
      </c>
      <c r="AB361">
        <f>vlookup("921-059000-200",B:AZ,column(aa1),0)*e361</f>
        <v>0</v>
      </c>
      <c r="AC361">
        <f>vlookup("921-059000-200",B:AZ,column(ab1),0)*e361</f>
        <v>0</v>
      </c>
      <c r="AD361">
        <f>vlookup("921-059000-200",B:AZ,column(ac1),0)*e361</f>
        <v>0</v>
      </c>
      <c r="AE361">
        <f>vlookup("921-059000-200",B:AZ,column(ad1),0)*e361</f>
        <v>0</v>
      </c>
      <c r="AF361">
        <f>vlookup("921-059000-200",B:AZ,column(ae1),0)*e361</f>
        <v>0</v>
      </c>
      <c r="AG361">
        <f>vlookup("921-059000-200",B:AZ,column(af1),0)*e361</f>
        <v>0</v>
      </c>
      <c r="AH361">
        <f>vlookup("921-059000-200",B:AZ,column(ag1),0)*e361</f>
        <v>0</v>
      </c>
      <c r="AI361">
        <f>vlookup("921-059000-200",B:AZ,column(ah1),0)*e361</f>
        <v>0</v>
      </c>
      <c r="AJ361">
        <f>vlookup("921-059000-200",B:AZ,column(ai1),0)*e361</f>
        <v>0</v>
      </c>
      <c r="AK361">
        <f>vlookup("921-059000-200",B:AZ,column(aj1),0)*e361</f>
        <v>0</v>
      </c>
      <c r="AL361">
        <f>vlookup("921-059000-200",B:AZ,column(ak1),0)*e361</f>
        <v>0</v>
      </c>
      <c r="AM361">
        <f>vlookup("921-059000-200",B:AZ,column(al1),0)*e361</f>
        <v>0</v>
      </c>
      <c r="AN361">
        <f>vlookup("921-059000-200",B:AZ,column(am1),0)*e361</f>
        <v>0</v>
      </c>
      <c r="AO361">
        <f>vlookup("921-059000-200",B:AZ,column(an1),0)*e361</f>
        <v>0</v>
      </c>
    </row>
    <row r="362" spans="1:41">
      <c r="A362" t="s">
        <v>22</v>
      </c>
      <c r="B362" t="s">
        <v>389</v>
      </c>
      <c r="C362" t="s">
        <v>390</v>
      </c>
      <c r="E362">
        <v>1</v>
      </c>
      <c r="F362" t="s">
        <v>13</v>
      </c>
      <c r="I362" t="s">
        <v>15</v>
      </c>
      <c r="J362">
        <f>vlookup("921-059000-200",B:AZ,column(i1),0)*e362</f>
        <v>0</v>
      </c>
      <c r="K362">
        <f>vlookup("921-059000-200",B:AZ,column(j1),0)*e362</f>
        <v>0</v>
      </c>
      <c r="L362">
        <f>vlookup("921-059000-200",B:AZ,column(k1),0)*e362</f>
        <v>0</v>
      </c>
      <c r="M362">
        <f>vlookup("921-059000-200",B:AZ,column(l1),0)*e362</f>
        <v>0</v>
      </c>
      <c r="N362">
        <f>vlookup("921-059000-200",B:AZ,column(m1),0)*e362</f>
        <v>0</v>
      </c>
      <c r="O362">
        <f>vlookup("921-059000-200",B:AZ,column(n1),0)*e362</f>
        <v>0</v>
      </c>
      <c r="P362">
        <f>vlookup("921-059000-200",B:AZ,column(o1),0)*e362</f>
        <v>0</v>
      </c>
      <c r="Q362">
        <f>vlookup("921-059000-200",B:AZ,column(p1),0)*e362</f>
        <v>0</v>
      </c>
      <c r="R362">
        <f>vlookup("921-059000-200",B:AZ,column(q1),0)*e362</f>
        <v>0</v>
      </c>
      <c r="S362">
        <f>vlookup("921-059000-200",B:AZ,column(r1),0)*e362</f>
        <v>0</v>
      </c>
      <c r="T362">
        <f>vlookup("921-059000-200",B:AZ,column(s1),0)*e362</f>
        <v>0</v>
      </c>
      <c r="U362">
        <f>vlookup("921-059000-200",B:AZ,column(t1),0)*e362</f>
        <v>0</v>
      </c>
      <c r="V362">
        <f>vlookup("921-059000-200",B:AZ,column(u1),0)*e362</f>
        <v>0</v>
      </c>
      <c r="W362">
        <f>vlookup("921-059000-200",B:AZ,column(v1),0)*e362</f>
        <v>0</v>
      </c>
      <c r="X362">
        <f>vlookup("921-059000-200",B:AZ,column(w1),0)*e362</f>
        <v>0</v>
      </c>
      <c r="Y362">
        <f>vlookup("921-059000-200",B:AZ,column(x1),0)*e362</f>
        <v>0</v>
      </c>
      <c r="Z362">
        <f>vlookup("921-059000-200",B:AZ,column(y1),0)*e362</f>
        <v>0</v>
      </c>
      <c r="AA362">
        <f>vlookup("921-059000-200",B:AZ,column(z1),0)*e362</f>
        <v>0</v>
      </c>
      <c r="AB362">
        <f>vlookup("921-059000-200",B:AZ,column(aa1),0)*e362</f>
        <v>0</v>
      </c>
      <c r="AC362">
        <f>vlookup("921-059000-200",B:AZ,column(ab1),0)*e362</f>
        <v>0</v>
      </c>
      <c r="AD362">
        <f>vlookup("921-059000-200",B:AZ,column(ac1),0)*e362</f>
        <v>0</v>
      </c>
      <c r="AE362">
        <f>vlookup("921-059000-200",B:AZ,column(ad1),0)*e362</f>
        <v>0</v>
      </c>
      <c r="AF362">
        <f>vlookup("921-059000-200",B:AZ,column(ae1),0)*e362</f>
        <v>0</v>
      </c>
      <c r="AG362">
        <f>vlookup("921-059000-200",B:AZ,column(af1),0)*e362</f>
        <v>0</v>
      </c>
      <c r="AH362">
        <f>vlookup("921-059000-200",B:AZ,column(ag1),0)*e362</f>
        <v>0</v>
      </c>
      <c r="AI362">
        <f>vlookup("921-059000-200",B:AZ,column(ah1),0)*e362</f>
        <v>0</v>
      </c>
      <c r="AJ362">
        <f>vlookup("921-059000-200",B:AZ,column(ai1),0)*e362</f>
        <v>0</v>
      </c>
      <c r="AK362">
        <f>vlookup("921-059000-200",B:AZ,column(aj1),0)*e362</f>
        <v>0</v>
      </c>
      <c r="AL362">
        <f>vlookup("921-059000-200",B:AZ,column(ak1),0)*e362</f>
        <v>0</v>
      </c>
      <c r="AM362">
        <f>vlookup("921-059000-200",B:AZ,column(al1),0)*e362</f>
        <v>0</v>
      </c>
      <c r="AN362">
        <f>vlookup("921-059000-200",B:AZ,column(am1),0)*e362</f>
        <v>0</v>
      </c>
      <c r="AO362">
        <f>vlookup("921-059000-200",B:AZ,column(an1),0)*e362</f>
        <v>0</v>
      </c>
    </row>
    <row r="363" spans="1:41">
      <c r="A363" t="s">
        <v>22</v>
      </c>
      <c r="B363" t="s">
        <v>391</v>
      </c>
      <c r="C363" t="s">
        <v>392</v>
      </c>
      <c r="E363">
        <v>1</v>
      </c>
      <c r="F363" t="s">
        <v>13</v>
      </c>
      <c r="I363" t="s">
        <v>15</v>
      </c>
      <c r="J363">
        <f>vlookup("921-059000-200",B:AZ,column(i1),0)*e363</f>
        <v>0</v>
      </c>
      <c r="K363">
        <f>vlookup("921-059000-200",B:AZ,column(j1),0)*e363</f>
        <v>0</v>
      </c>
      <c r="L363">
        <f>vlookup("921-059000-200",B:AZ,column(k1),0)*e363</f>
        <v>0</v>
      </c>
      <c r="M363">
        <f>vlookup("921-059000-200",B:AZ,column(l1),0)*e363</f>
        <v>0</v>
      </c>
      <c r="N363">
        <f>vlookup("921-059000-200",B:AZ,column(m1),0)*e363</f>
        <v>0</v>
      </c>
      <c r="O363">
        <f>vlookup("921-059000-200",B:AZ,column(n1),0)*e363</f>
        <v>0</v>
      </c>
      <c r="P363">
        <f>vlookup("921-059000-200",B:AZ,column(o1),0)*e363</f>
        <v>0</v>
      </c>
      <c r="Q363">
        <f>vlookup("921-059000-200",B:AZ,column(p1),0)*e363</f>
        <v>0</v>
      </c>
      <c r="R363">
        <f>vlookup("921-059000-200",B:AZ,column(q1),0)*e363</f>
        <v>0</v>
      </c>
      <c r="S363">
        <f>vlookup("921-059000-200",B:AZ,column(r1),0)*e363</f>
        <v>0</v>
      </c>
      <c r="T363">
        <f>vlookup("921-059000-200",B:AZ,column(s1),0)*e363</f>
        <v>0</v>
      </c>
      <c r="U363">
        <f>vlookup("921-059000-200",B:AZ,column(t1),0)*e363</f>
        <v>0</v>
      </c>
      <c r="V363">
        <f>vlookup("921-059000-200",B:AZ,column(u1),0)*e363</f>
        <v>0</v>
      </c>
      <c r="W363">
        <f>vlookup("921-059000-200",B:AZ,column(v1),0)*e363</f>
        <v>0</v>
      </c>
      <c r="X363">
        <f>vlookup("921-059000-200",B:AZ,column(w1),0)*e363</f>
        <v>0</v>
      </c>
      <c r="Y363">
        <f>vlookup("921-059000-200",B:AZ,column(x1),0)*e363</f>
        <v>0</v>
      </c>
      <c r="Z363">
        <f>vlookup("921-059000-200",B:AZ,column(y1),0)*e363</f>
        <v>0</v>
      </c>
      <c r="AA363">
        <f>vlookup("921-059000-200",B:AZ,column(z1),0)*e363</f>
        <v>0</v>
      </c>
      <c r="AB363">
        <f>vlookup("921-059000-200",B:AZ,column(aa1),0)*e363</f>
        <v>0</v>
      </c>
      <c r="AC363">
        <f>vlookup("921-059000-200",B:AZ,column(ab1),0)*e363</f>
        <v>0</v>
      </c>
      <c r="AD363">
        <f>vlookup("921-059000-200",B:AZ,column(ac1),0)*e363</f>
        <v>0</v>
      </c>
      <c r="AE363">
        <f>vlookup("921-059000-200",B:AZ,column(ad1),0)*e363</f>
        <v>0</v>
      </c>
      <c r="AF363">
        <f>vlookup("921-059000-200",B:AZ,column(ae1),0)*e363</f>
        <v>0</v>
      </c>
      <c r="AG363">
        <f>vlookup("921-059000-200",B:AZ,column(af1),0)*e363</f>
        <v>0</v>
      </c>
      <c r="AH363">
        <f>vlookup("921-059000-200",B:AZ,column(ag1),0)*e363</f>
        <v>0</v>
      </c>
      <c r="AI363">
        <f>vlookup("921-059000-200",B:AZ,column(ah1),0)*e363</f>
        <v>0</v>
      </c>
      <c r="AJ363">
        <f>vlookup("921-059000-200",B:AZ,column(ai1),0)*e363</f>
        <v>0</v>
      </c>
      <c r="AK363">
        <f>vlookup("921-059000-200",B:AZ,column(aj1),0)*e363</f>
        <v>0</v>
      </c>
      <c r="AL363">
        <f>vlookup("921-059000-200",B:AZ,column(ak1),0)*e363</f>
        <v>0</v>
      </c>
      <c r="AM363">
        <f>vlookup("921-059000-200",B:AZ,column(al1),0)*e363</f>
        <v>0</v>
      </c>
      <c r="AN363">
        <f>vlookup("921-059000-200",B:AZ,column(am1),0)*e363</f>
        <v>0</v>
      </c>
      <c r="AO363">
        <f>vlookup("921-059000-200",B:AZ,column(an1),0)*e363</f>
        <v>0</v>
      </c>
    </row>
    <row r="364" spans="1:41">
      <c r="A364" t="s">
        <v>22</v>
      </c>
      <c r="B364" t="s">
        <v>393</v>
      </c>
      <c r="C364" t="s">
        <v>394</v>
      </c>
      <c r="E364">
        <v>1</v>
      </c>
      <c r="F364" t="s">
        <v>13</v>
      </c>
      <c r="I364" t="s">
        <v>15</v>
      </c>
      <c r="J364">
        <f>vlookup("921-059000-200",B:AZ,column(i1),0)*e364</f>
        <v>0</v>
      </c>
      <c r="K364">
        <f>vlookup("921-059000-200",B:AZ,column(j1),0)*e364</f>
        <v>0</v>
      </c>
      <c r="L364">
        <f>vlookup("921-059000-200",B:AZ,column(k1),0)*e364</f>
        <v>0</v>
      </c>
      <c r="M364">
        <f>vlookup("921-059000-200",B:AZ,column(l1),0)*e364</f>
        <v>0</v>
      </c>
      <c r="N364">
        <f>vlookup("921-059000-200",B:AZ,column(m1),0)*e364</f>
        <v>0</v>
      </c>
      <c r="O364">
        <f>vlookup("921-059000-200",B:AZ,column(n1),0)*e364</f>
        <v>0</v>
      </c>
      <c r="P364">
        <f>vlookup("921-059000-200",B:AZ,column(o1),0)*e364</f>
        <v>0</v>
      </c>
      <c r="Q364">
        <f>vlookup("921-059000-200",B:AZ,column(p1),0)*e364</f>
        <v>0</v>
      </c>
      <c r="R364">
        <f>vlookup("921-059000-200",B:AZ,column(q1),0)*e364</f>
        <v>0</v>
      </c>
      <c r="S364">
        <f>vlookup("921-059000-200",B:AZ,column(r1),0)*e364</f>
        <v>0</v>
      </c>
      <c r="T364">
        <f>vlookup("921-059000-200",B:AZ,column(s1),0)*e364</f>
        <v>0</v>
      </c>
      <c r="U364">
        <f>vlookup("921-059000-200",B:AZ,column(t1),0)*e364</f>
        <v>0</v>
      </c>
      <c r="V364">
        <f>vlookup("921-059000-200",B:AZ,column(u1),0)*e364</f>
        <v>0</v>
      </c>
      <c r="W364">
        <f>vlookup("921-059000-200",B:AZ,column(v1),0)*e364</f>
        <v>0</v>
      </c>
      <c r="X364">
        <f>vlookup("921-059000-200",B:AZ,column(w1),0)*e364</f>
        <v>0</v>
      </c>
      <c r="Y364">
        <f>vlookup("921-059000-200",B:AZ,column(x1),0)*e364</f>
        <v>0</v>
      </c>
      <c r="Z364">
        <f>vlookup("921-059000-200",B:AZ,column(y1),0)*e364</f>
        <v>0</v>
      </c>
      <c r="AA364">
        <f>vlookup("921-059000-200",B:AZ,column(z1),0)*e364</f>
        <v>0</v>
      </c>
      <c r="AB364">
        <f>vlookup("921-059000-200",B:AZ,column(aa1),0)*e364</f>
        <v>0</v>
      </c>
      <c r="AC364">
        <f>vlookup("921-059000-200",B:AZ,column(ab1),0)*e364</f>
        <v>0</v>
      </c>
      <c r="AD364">
        <f>vlookup("921-059000-200",B:AZ,column(ac1),0)*e364</f>
        <v>0</v>
      </c>
      <c r="AE364">
        <f>vlookup("921-059000-200",B:AZ,column(ad1),0)*e364</f>
        <v>0</v>
      </c>
      <c r="AF364">
        <f>vlookup("921-059000-200",B:AZ,column(ae1),0)*e364</f>
        <v>0</v>
      </c>
      <c r="AG364">
        <f>vlookup("921-059000-200",B:AZ,column(af1),0)*e364</f>
        <v>0</v>
      </c>
      <c r="AH364">
        <f>vlookup("921-059000-200",B:AZ,column(ag1),0)*e364</f>
        <v>0</v>
      </c>
      <c r="AI364">
        <f>vlookup("921-059000-200",B:AZ,column(ah1),0)*e364</f>
        <v>0</v>
      </c>
      <c r="AJ364">
        <f>vlookup("921-059000-200",B:AZ,column(ai1),0)*e364</f>
        <v>0</v>
      </c>
      <c r="AK364">
        <f>vlookup("921-059000-200",B:AZ,column(aj1),0)*e364</f>
        <v>0</v>
      </c>
      <c r="AL364">
        <f>vlookup("921-059000-200",B:AZ,column(ak1),0)*e364</f>
        <v>0</v>
      </c>
      <c r="AM364">
        <f>vlookup("921-059000-200",B:AZ,column(al1),0)*e364</f>
        <v>0</v>
      </c>
      <c r="AN364">
        <f>vlookup("921-059000-200",B:AZ,column(am1),0)*e364</f>
        <v>0</v>
      </c>
      <c r="AO364">
        <f>vlookup("921-059000-200",B:AZ,column(an1),0)*e364</f>
        <v>0</v>
      </c>
    </row>
    <row r="365" spans="1:41">
      <c r="A365" t="s">
        <v>43</v>
      </c>
      <c r="B365" t="s">
        <v>393</v>
      </c>
      <c r="C365" t="s">
        <v>394</v>
      </c>
      <c r="E365">
        <v>1</v>
      </c>
      <c r="F365" t="s">
        <v>13</v>
      </c>
      <c r="I365" t="s">
        <v>15</v>
      </c>
      <c r="J365">
        <f>vlookup("921-059000-200",B:AZ,column(i1),0)*e365</f>
        <v>0</v>
      </c>
      <c r="K365">
        <f>vlookup("921-059000-200",B:AZ,column(j1),0)*e365</f>
        <v>0</v>
      </c>
      <c r="L365">
        <f>vlookup("921-059000-200",B:AZ,column(k1),0)*e365</f>
        <v>0</v>
      </c>
      <c r="M365">
        <f>vlookup("921-059000-200",B:AZ,column(l1),0)*e365</f>
        <v>0</v>
      </c>
      <c r="N365">
        <f>vlookup("921-059000-200",B:AZ,column(m1),0)*e365</f>
        <v>0</v>
      </c>
      <c r="O365">
        <f>vlookup("921-059000-200",B:AZ,column(n1),0)*e365</f>
        <v>0</v>
      </c>
      <c r="P365">
        <f>vlookup("921-059000-200",B:AZ,column(o1),0)*e365</f>
        <v>0</v>
      </c>
      <c r="Q365">
        <f>vlookup("921-059000-200",B:AZ,column(p1),0)*e365</f>
        <v>0</v>
      </c>
      <c r="R365">
        <f>vlookup("921-059000-200",B:AZ,column(q1),0)*e365</f>
        <v>0</v>
      </c>
      <c r="S365">
        <f>vlookup("921-059000-200",B:AZ,column(r1),0)*e365</f>
        <v>0</v>
      </c>
      <c r="T365">
        <f>vlookup("921-059000-200",B:AZ,column(s1),0)*e365</f>
        <v>0</v>
      </c>
      <c r="U365">
        <f>vlookup("921-059000-200",B:AZ,column(t1),0)*e365</f>
        <v>0</v>
      </c>
      <c r="V365">
        <f>vlookup("921-059000-200",B:AZ,column(u1),0)*e365</f>
        <v>0</v>
      </c>
      <c r="W365">
        <f>vlookup("921-059000-200",B:AZ,column(v1),0)*e365</f>
        <v>0</v>
      </c>
      <c r="X365">
        <f>vlookup("921-059000-200",B:AZ,column(w1),0)*e365</f>
        <v>0</v>
      </c>
      <c r="Y365">
        <f>vlookup("921-059000-200",B:AZ,column(x1),0)*e365</f>
        <v>0</v>
      </c>
      <c r="Z365">
        <f>vlookup("921-059000-200",B:AZ,column(y1),0)*e365</f>
        <v>0</v>
      </c>
      <c r="AA365">
        <f>vlookup("921-059000-200",B:AZ,column(z1),0)*e365</f>
        <v>0</v>
      </c>
      <c r="AB365">
        <f>vlookup("921-059000-200",B:AZ,column(aa1),0)*e365</f>
        <v>0</v>
      </c>
      <c r="AC365">
        <f>vlookup("921-059000-200",B:AZ,column(ab1),0)*e365</f>
        <v>0</v>
      </c>
      <c r="AD365">
        <f>vlookup("921-059000-200",B:AZ,column(ac1),0)*e365</f>
        <v>0</v>
      </c>
      <c r="AE365">
        <f>vlookup("921-059000-200",B:AZ,column(ad1),0)*e365</f>
        <v>0</v>
      </c>
      <c r="AF365">
        <f>vlookup("921-059000-200",B:AZ,column(ae1),0)*e365</f>
        <v>0</v>
      </c>
      <c r="AG365">
        <f>vlookup("921-059000-200",B:AZ,column(af1),0)*e365</f>
        <v>0</v>
      </c>
      <c r="AH365">
        <f>vlookup("921-059000-200",B:AZ,column(ag1),0)*e365</f>
        <v>0</v>
      </c>
      <c r="AI365">
        <f>vlookup("921-059000-200",B:AZ,column(ah1),0)*e365</f>
        <v>0</v>
      </c>
      <c r="AJ365">
        <f>vlookup("921-059000-200",B:AZ,column(ai1),0)*e365</f>
        <v>0</v>
      </c>
      <c r="AK365">
        <f>vlookup("921-059000-200",B:AZ,column(aj1),0)*e365</f>
        <v>0</v>
      </c>
      <c r="AL365">
        <f>vlookup("921-059000-200",B:AZ,column(ak1),0)*e365</f>
        <v>0</v>
      </c>
      <c r="AM365">
        <f>vlookup("921-059000-200",B:AZ,column(al1),0)*e365</f>
        <v>0</v>
      </c>
      <c r="AN365">
        <f>vlookup("921-059000-200",B:AZ,column(am1),0)*e365</f>
        <v>0</v>
      </c>
      <c r="AO365">
        <f>vlookup("921-059000-200",B:AZ,column(an1),0)*e365</f>
        <v>0</v>
      </c>
    </row>
    <row r="366" spans="1:41">
      <c r="A366" t="s">
        <v>41</v>
      </c>
      <c r="B366" t="s">
        <v>393</v>
      </c>
      <c r="C366" t="s">
        <v>394</v>
      </c>
      <c r="E366">
        <v>1</v>
      </c>
      <c r="F366" t="s">
        <v>13</v>
      </c>
      <c r="I366" t="s">
        <v>15</v>
      </c>
      <c r="J366">
        <f>vlookup("921-059000-200",B:AZ,column(i1),0)*e366</f>
        <v>0</v>
      </c>
      <c r="K366">
        <f>vlookup("921-059000-200",B:AZ,column(j1),0)*e366</f>
        <v>0</v>
      </c>
      <c r="L366">
        <f>vlookup("921-059000-200",B:AZ,column(k1),0)*e366</f>
        <v>0</v>
      </c>
      <c r="M366">
        <f>vlookup("921-059000-200",B:AZ,column(l1),0)*e366</f>
        <v>0</v>
      </c>
      <c r="N366">
        <f>vlookup("921-059000-200",B:AZ,column(m1),0)*e366</f>
        <v>0</v>
      </c>
      <c r="O366">
        <f>vlookup("921-059000-200",B:AZ,column(n1),0)*e366</f>
        <v>0</v>
      </c>
      <c r="P366">
        <f>vlookup("921-059000-200",B:AZ,column(o1),0)*e366</f>
        <v>0</v>
      </c>
      <c r="Q366">
        <f>vlookup("921-059000-200",B:AZ,column(p1),0)*e366</f>
        <v>0</v>
      </c>
      <c r="R366">
        <f>vlookup("921-059000-200",B:AZ,column(q1),0)*e366</f>
        <v>0</v>
      </c>
      <c r="S366">
        <f>vlookup("921-059000-200",B:AZ,column(r1),0)*e366</f>
        <v>0</v>
      </c>
      <c r="T366">
        <f>vlookup("921-059000-200",B:AZ,column(s1),0)*e366</f>
        <v>0</v>
      </c>
      <c r="U366">
        <f>vlookup("921-059000-200",B:AZ,column(t1),0)*e366</f>
        <v>0</v>
      </c>
      <c r="V366">
        <f>vlookup("921-059000-200",B:AZ,column(u1),0)*e366</f>
        <v>0</v>
      </c>
      <c r="W366">
        <f>vlookup("921-059000-200",B:AZ,column(v1),0)*e366</f>
        <v>0</v>
      </c>
      <c r="X366">
        <f>vlookup("921-059000-200",B:AZ,column(w1),0)*e366</f>
        <v>0</v>
      </c>
      <c r="Y366">
        <f>vlookup("921-059000-200",B:AZ,column(x1),0)*e366</f>
        <v>0</v>
      </c>
      <c r="Z366">
        <f>vlookup("921-059000-200",B:AZ,column(y1),0)*e366</f>
        <v>0</v>
      </c>
      <c r="AA366">
        <f>vlookup("921-059000-200",B:AZ,column(z1),0)*e366</f>
        <v>0</v>
      </c>
      <c r="AB366">
        <f>vlookup("921-059000-200",B:AZ,column(aa1),0)*e366</f>
        <v>0</v>
      </c>
      <c r="AC366">
        <f>vlookup("921-059000-200",B:AZ,column(ab1),0)*e366</f>
        <v>0</v>
      </c>
      <c r="AD366">
        <f>vlookup("921-059000-200",B:AZ,column(ac1),0)*e366</f>
        <v>0</v>
      </c>
      <c r="AE366">
        <f>vlookup("921-059000-200",B:AZ,column(ad1),0)*e366</f>
        <v>0</v>
      </c>
      <c r="AF366">
        <f>vlookup("921-059000-200",B:AZ,column(ae1),0)*e366</f>
        <v>0</v>
      </c>
      <c r="AG366">
        <f>vlookup("921-059000-200",B:AZ,column(af1),0)*e366</f>
        <v>0</v>
      </c>
      <c r="AH366">
        <f>vlookup("921-059000-200",B:AZ,column(ag1),0)*e366</f>
        <v>0</v>
      </c>
      <c r="AI366">
        <f>vlookup("921-059000-200",B:AZ,column(ah1),0)*e366</f>
        <v>0</v>
      </c>
      <c r="AJ366">
        <f>vlookup("921-059000-200",B:AZ,column(ai1),0)*e366</f>
        <v>0</v>
      </c>
      <c r="AK366">
        <f>vlookup("921-059000-200",B:AZ,column(aj1),0)*e366</f>
        <v>0</v>
      </c>
      <c r="AL366">
        <f>vlookup("921-059000-200",B:AZ,column(ak1),0)*e366</f>
        <v>0</v>
      </c>
      <c r="AM366">
        <f>vlookup("921-059000-200",B:AZ,column(al1),0)*e366</f>
        <v>0</v>
      </c>
      <c r="AN366">
        <f>vlookup("921-059000-200",B:AZ,column(am1),0)*e366</f>
        <v>0</v>
      </c>
      <c r="AO366">
        <f>vlookup("921-059000-200",B:AZ,column(an1),0)*e366</f>
        <v>0</v>
      </c>
    </row>
    <row r="367" spans="1:41">
      <c r="A367" t="s">
        <v>10</v>
      </c>
      <c r="B367" t="s">
        <v>395</v>
      </c>
      <c r="C367" t="s">
        <v>340</v>
      </c>
      <c r="E367">
        <v>1</v>
      </c>
      <c r="F367" t="s">
        <v>13</v>
      </c>
      <c r="I367" t="s">
        <v>14</v>
      </c>
      <c r="AO367">
        <f>sum(j367:an367)</f>
        <v>0</v>
      </c>
    </row>
    <row r="368" spans="1:41">
      <c r="I368" t="s">
        <v>15</v>
      </c>
      <c r="J368">
        <f>vlookup("921-000000-100",Out!B:AZ,column(i1),0)</f>
        <v>0</v>
      </c>
      <c r="K368">
        <f>vlookup("921-000000-100",Out!B:AZ,column(j1),0)</f>
        <v>0</v>
      </c>
      <c r="L368">
        <f>vlookup("921-000000-100",Out!B:AZ,column(k1),0)</f>
        <v>0</v>
      </c>
      <c r="M368">
        <f>vlookup("921-000000-100",Out!B:AZ,column(l1),0)</f>
        <v>0</v>
      </c>
      <c r="N368">
        <f>vlookup("921-000000-100",Out!B:AZ,column(m1),0)</f>
        <v>0</v>
      </c>
      <c r="O368">
        <f>vlookup("921-000000-100",Out!B:AZ,column(n1),0)</f>
        <v>0</v>
      </c>
      <c r="P368">
        <f>vlookup("921-000000-100",Out!B:AZ,column(o1),0)</f>
        <v>0</v>
      </c>
      <c r="Q368">
        <f>vlookup("921-000000-100",Out!B:AZ,column(p1),0)</f>
        <v>0</v>
      </c>
      <c r="R368">
        <f>vlookup("921-000000-100",Out!B:AZ,column(q1),0)</f>
        <v>0</v>
      </c>
      <c r="S368">
        <f>vlookup("921-000000-100",Out!B:AZ,column(r1),0)</f>
        <v>0</v>
      </c>
      <c r="T368">
        <f>vlookup("921-000000-100",Out!B:AZ,column(s1),0)</f>
        <v>0</v>
      </c>
      <c r="U368">
        <f>vlookup("921-000000-100",Out!B:AZ,column(t1),0)</f>
        <v>0</v>
      </c>
      <c r="V368">
        <f>vlookup("921-000000-100",Out!B:AZ,column(u1),0)</f>
        <v>0</v>
      </c>
      <c r="W368">
        <f>vlookup("921-000000-100",Out!B:AZ,column(v1),0)</f>
        <v>0</v>
      </c>
      <c r="X368">
        <f>vlookup("921-000000-100",Out!B:AZ,column(w1),0)</f>
        <v>0</v>
      </c>
      <c r="Y368">
        <f>vlookup("921-000000-100",Out!B:AZ,column(x1),0)</f>
        <v>0</v>
      </c>
      <c r="Z368">
        <f>vlookup("921-000000-100",Out!B:AZ,column(y1),0)</f>
        <v>0</v>
      </c>
      <c r="AA368">
        <f>vlookup("921-000000-100",Out!B:AZ,column(z1),0)</f>
        <v>0</v>
      </c>
      <c r="AB368">
        <f>vlookup("921-000000-100",Out!B:AZ,column(aa1),0)</f>
        <v>0</v>
      </c>
      <c r="AC368">
        <f>vlookup("921-000000-100",Out!B:AZ,column(ab1),0)</f>
        <v>0</v>
      </c>
      <c r="AD368">
        <f>vlookup("921-000000-100",Out!B:AZ,column(ac1),0)</f>
        <v>0</v>
      </c>
      <c r="AE368">
        <f>vlookup("921-000000-100",Out!B:AZ,column(ad1),0)</f>
        <v>0</v>
      </c>
      <c r="AF368">
        <f>vlookup("921-000000-100",Out!B:AZ,column(ae1),0)</f>
        <v>0</v>
      </c>
      <c r="AG368">
        <f>vlookup("921-000000-100",Out!B:AZ,column(af1),0)</f>
        <v>0</v>
      </c>
      <c r="AH368">
        <f>vlookup("921-000000-100",Out!B:AZ,column(ag1),0)</f>
        <v>0</v>
      </c>
      <c r="AI368">
        <f>vlookup("921-000000-100",Out!B:AZ,column(ah1),0)</f>
        <v>0</v>
      </c>
      <c r="AJ368">
        <f>vlookup("921-000000-100",Out!B:AZ,column(ai1),0)</f>
        <v>0</v>
      </c>
      <c r="AK368">
        <f>vlookup("921-000000-100",Out!B:AZ,column(aj1),0)</f>
        <v>0</v>
      </c>
      <c r="AL368">
        <f>vlookup("921-000000-100",Out!B:AZ,column(ak1),0)</f>
        <v>0</v>
      </c>
      <c r="AM368">
        <f>vlookup("921-000000-100",Out!B:AZ,column(al1),0)</f>
        <v>0</v>
      </c>
      <c r="AN368">
        <f>vlookup("921-000000-100",Out!B:AZ,column(am1),0)</f>
        <v>0</v>
      </c>
      <c r="AO368">
        <f>vlookup("921-000000-100",Out!B:AZ,column(an1),0)</f>
        <v>0</v>
      </c>
    </row>
    <row r="369" spans="1:41">
      <c r="H369" t="s">
        <v>16</v>
      </c>
      <c r="J369">
        <f>indirect(address(369,9))+indirect(address(367,10))-indirect(address(368,10))</f>
        <v>0</v>
      </c>
      <c r="K369">
        <f>indirect(address(369,10))+indirect(address(367,11))-indirect(address(368,11))</f>
        <v>0</v>
      </c>
      <c r="L369">
        <f>indirect(address(369,11))+indirect(address(367,12))-indirect(address(368,12))</f>
        <v>0</v>
      </c>
      <c r="M369">
        <f>indirect(address(369,12))+indirect(address(367,13))-indirect(address(368,13))</f>
        <v>0</v>
      </c>
      <c r="N369">
        <f>indirect(address(369,13))+indirect(address(367,14))-indirect(address(368,14))</f>
        <v>0</v>
      </c>
      <c r="O369">
        <f>indirect(address(369,14))+indirect(address(367,15))-indirect(address(368,15))</f>
        <v>0</v>
      </c>
      <c r="P369">
        <f>indirect(address(369,15))+indirect(address(367,16))-indirect(address(368,16))</f>
        <v>0</v>
      </c>
      <c r="Q369">
        <f>indirect(address(369,16))+indirect(address(367,17))-indirect(address(368,17))</f>
        <v>0</v>
      </c>
      <c r="R369">
        <f>indirect(address(369,17))+indirect(address(367,18))-indirect(address(368,18))</f>
        <v>0</v>
      </c>
      <c r="S369">
        <f>indirect(address(369,18))+indirect(address(367,19))-indirect(address(368,19))</f>
        <v>0</v>
      </c>
      <c r="T369">
        <f>indirect(address(369,19))+indirect(address(367,20))-indirect(address(368,20))</f>
        <v>0</v>
      </c>
      <c r="U369">
        <f>indirect(address(369,20))+indirect(address(367,21))-indirect(address(368,21))</f>
        <v>0</v>
      </c>
      <c r="V369">
        <f>indirect(address(369,21))+indirect(address(367,22))-indirect(address(368,22))</f>
        <v>0</v>
      </c>
      <c r="W369">
        <f>indirect(address(369,22))+indirect(address(367,23))-indirect(address(368,23))</f>
        <v>0</v>
      </c>
      <c r="X369">
        <f>indirect(address(369,23))+indirect(address(367,24))-indirect(address(368,24))</f>
        <v>0</v>
      </c>
      <c r="Y369">
        <f>indirect(address(369,24))+indirect(address(367,25))-indirect(address(368,25))</f>
        <v>0</v>
      </c>
      <c r="Z369">
        <f>indirect(address(369,25))+indirect(address(367,26))-indirect(address(368,26))</f>
        <v>0</v>
      </c>
      <c r="AA369">
        <f>indirect(address(369,26))+indirect(address(367,27))-indirect(address(368,27))</f>
        <v>0</v>
      </c>
      <c r="AB369">
        <f>indirect(address(369,27))+indirect(address(367,28))-indirect(address(368,28))</f>
        <v>0</v>
      </c>
      <c r="AC369">
        <f>indirect(address(369,28))+indirect(address(367,29))-indirect(address(368,29))</f>
        <v>0</v>
      </c>
      <c r="AD369">
        <f>indirect(address(369,29))+indirect(address(367,30))-indirect(address(368,30))</f>
        <v>0</v>
      </c>
      <c r="AE369">
        <f>indirect(address(369,30))+indirect(address(367,31))-indirect(address(368,31))</f>
        <v>0</v>
      </c>
      <c r="AF369">
        <f>indirect(address(369,31))+indirect(address(367,32))-indirect(address(368,32))</f>
        <v>0</v>
      </c>
      <c r="AG369">
        <f>indirect(address(369,32))+indirect(address(367,33))-indirect(address(368,33))</f>
        <v>0</v>
      </c>
      <c r="AH369">
        <f>indirect(address(369,33))+indirect(address(367,34))-indirect(address(368,34))</f>
        <v>0</v>
      </c>
      <c r="AI369">
        <f>indirect(address(369,34))+indirect(address(367,35))-indirect(address(368,35))</f>
        <v>0</v>
      </c>
      <c r="AJ369">
        <f>indirect(address(369,35))+indirect(address(367,36))-indirect(address(368,36))</f>
        <v>0</v>
      </c>
      <c r="AK369">
        <f>indirect(address(369,36))+indirect(address(367,37))-indirect(address(368,37))</f>
        <v>0</v>
      </c>
      <c r="AL369">
        <f>indirect(address(369,37))+indirect(address(367,38))-indirect(address(368,38))</f>
        <v>0</v>
      </c>
      <c r="AM369">
        <f>indirect(address(369,38))+indirect(address(367,39))-indirect(address(368,39))</f>
        <v>0</v>
      </c>
      <c r="AN369">
        <f>indirect(address(369,39))+indirect(address(367,40))-indirect(address(368,40))</f>
        <v>0</v>
      </c>
      <c r="AO369">
        <f>indirect(address(369,40))</f>
        <v>0</v>
      </c>
    </row>
    <row r="370" spans="1:41">
      <c r="A370" t="s">
        <v>17</v>
      </c>
      <c r="B370" t="s">
        <v>396</v>
      </c>
      <c r="C370" t="s">
        <v>397</v>
      </c>
      <c r="E370">
        <v>1</v>
      </c>
      <c r="F370" t="s">
        <v>13</v>
      </c>
      <c r="I370" t="s">
        <v>15</v>
      </c>
      <c r="J370">
        <f>vlookup("921-000000-100",B:AZ,column(i1),0)*e370</f>
        <v>0</v>
      </c>
      <c r="K370">
        <f>vlookup("921-000000-100",B:AZ,column(j1),0)*e370</f>
        <v>0</v>
      </c>
      <c r="L370">
        <f>vlookup("921-000000-100",B:AZ,column(k1),0)*e370</f>
        <v>0</v>
      </c>
      <c r="M370">
        <f>vlookup("921-000000-100",B:AZ,column(l1),0)*e370</f>
        <v>0</v>
      </c>
      <c r="N370">
        <f>vlookup("921-000000-100",B:AZ,column(m1),0)*e370</f>
        <v>0</v>
      </c>
      <c r="O370">
        <f>vlookup("921-000000-100",B:AZ,column(n1),0)*e370</f>
        <v>0</v>
      </c>
      <c r="P370">
        <f>vlookup("921-000000-100",B:AZ,column(o1),0)*e370</f>
        <v>0</v>
      </c>
      <c r="Q370">
        <f>vlookup("921-000000-100",B:AZ,column(p1),0)*e370</f>
        <v>0</v>
      </c>
      <c r="R370">
        <f>vlookup("921-000000-100",B:AZ,column(q1),0)*e370</f>
        <v>0</v>
      </c>
      <c r="S370">
        <f>vlookup("921-000000-100",B:AZ,column(r1),0)*e370</f>
        <v>0</v>
      </c>
      <c r="T370">
        <f>vlookup("921-000000-100",B:AZ,column(s1),0)*e370</f>
        <v>0</v>
      </c>
      <c r="U370">
        <f>vlookup("921-000000-100",B:AZ,column(t1),0)*e370</f>
        <v>0</v>
      </c>
      <c r="V370">
        <f>vlookup("921-000000-100",B:AZ,column(u1),0)*e370</f>
        <v>0</v>
      </c>
      <c r="W370">
        <f>vlookup("921-000000-100",B:AZ,column(v1),0)*e370</f>
        <v>0</v>
      </c>
      <c r="X370">
        <f>vlookup("921-000000-100",B:AZ,column(w1),0)*e370</f>
        <v>0</v>
      </c>
      <c r="Y370">
        <f>vlookup("921-000000-100",B:AZ,column(x1),0)*e370</f>
        <v>0</v>
      </c>
      <c r="Z370">
        <f>vlookup("921-000000-100",B:AZ,column(y1),0)*e370</f>
        <v>0</v>
      </c>
      <c r="AA370">
        <f>vlookup("921-000000-100",B:AZ,column(z1),0)*e370</f>
        <v>0</v>
      </c>
      <c r="AB370">
        <f>vlookup("921-000000-100",B:AZ,column(aa1),0)*e370</f>
        <v>0</v>
      </c>
      <c r="AC370">
        <f>vlookup("921-000000-100",B:AZ,column(ab1),0)*e370</f>
        <v>0</v>
      </c>
      <c r="AD370">
        <f>vlookup("921-000000-100",B:AZ,column(ac1),0)*e370</f>
        <v>0</v>
      </c>
      <c r="AE370">
        <f>vlookup("921-000000-100",B:AZ,column(ad1),0)*e370</f>
        <v>0</v>
      </c>
      <c r="AF370">
        <f>vlookup("921-000000-100",B:AZ,column(ae1),0)*e370</f>
        <v>0</v>
      </c>
      <c r="AG370">
        <f>vlookup("921-000000-100",B:AZ,column(af1),0)*e370</f>
        <v>0</v>
      </c>
      <c r="AH370">
        <f>vlookup("921-000000-100",B:AZ,column(ag1),0)*e370</f>
        <v>0</v>
      </c>
      <c r="AI370">
        <f>vlookup("921-000000-100",B:AZ,column(ah1),0)*e370</f>
        <v>0</v>
      </c>
      <c r="AJ370">
        <f>vlookup("921-000000-100",B:AZ,column(ai1),0)*e370</f>
        <v>0</v>
      </c>
      <c r="AK370">
        <f>vlookup("921-000000-100",B:AZ,column(aj1),0)*e370</f>
        <v>0</v>
      </c>
      <c r="AL370">
        <f>vlookup("921-000000-100",B:AZ,column(ak1),0)*e370</f>
        <v>0</v>
      </c>
      <c r="AM370">
        <f>vlookup("921-000000-100",B:AZ,column(al1),0)*e370</f>
        <v>0</v>
      </c>
      <c r="AN370">
        <f>vlookup("921-000000-100",B:AZ,column(am1),0)*e370</f>
        <v>0</v>
      </c>
      <c r="AO370">
        <f>vlookup("921-000000-100",B:AZ,column(an1),0)*e370</f>
        <v>0</v>
      </c>
    </row>
    <row r="371" spans="1:41">
      <c r="A371" t="s">
        <v>17</v>
      </c>
      <c r="B371" t="s">
        <v>343</v>
      </c>
      <c r="C371" t="s">
        <v>344</v>
      </c>
      <c r="E371">
        <v>1</v>
      </c>
      <c r="F371" t="s">
        <v>13</v>
      </c>
      <c r="I371" t="s">
        <v>15</v>
      </c>
      <c r="J371">
        <f>vlookup("921-000000-100",B:AZ,column(i1),0)*e371</f>
        <v>0</v>
      </c>
      <c r="K371">
        <f>vlookup("921-000000-100",B:AZ,column(j1),0)*e371</f>
        <v>0</v>
      </c>
      <c r="L371">
        <f>vlookup("921-000000-100",B:AZ,column(k1),0)*e371</f>
        <v>0</v>
      </c>
      <c r="M371">
        <f>vlookup("921-000000-100",B:AZ,column(l1),0)*e371</f>
        <v>0</v>
      </c>
      <c r="N371">
        <f>vlookup("921-000000-100",B:AZ,column(m1),0)*e371</f>
        <v>0</v>
      </c>
      <c r="O371">
        <f>vlookup("921-000000-100",B:AZ,column(n1),0)*e371</f>
        <v>0</v>
      </c>
      <c r="P371">
        <f>vlookup("921-000000-100",B:AZ,column(o1),0)*e371</f>
        <v>0</v>
      </c>
      <c r="Q371">
        <f>vlookup("921-000000-100",B:AZ,column(p1),0)*e371</f>
        <v>0</v>
      </c>
      <c r="R371">
        <f>vlookup("921-000000-100",B:AZ,column(q1),0)*e371</f>
        <v>0</v>
      </c>
      <c r="S371">
        <f>vlookup("921-000000-100",B:AZ,column(r1),0)*e371</f>
        <v>0</v>
      </c>
      <c r="T371">
        <f>vlookup("921-000000-100",B:AZ,column(s1),0)*e371</f>
        <v>0</v>
      </c>
      <c r="U371">
        <f>vlookup("921-000000-100",B:AZ,column(t1),0)*e371</f>
        <v>0</v>
      </c>
      <c r="V371">
        <f>vlookup("921-000000-100",B:AZ,column(u1),0)*e371</f>
        <v>0</v>
      </c>
      <c r="W371">
        <f>vlookup("921-000000-100",B:AZ,column(v1),0)*e371</f>
        <v>0</v>
      </c>
      <c r="X371">
        <f>vlookup("921-000000-100",B:AZ,column(w1),0)*e371</f>
        <v>0</v>
      </c>
      <c r="Y371">
        <f>vlookup("921-000000-100",B:AZ,column(x1),0)*e371</f>
        <v>0</v>
      </c>
      <c r="Z371">
        <f>vlookup("921-000000-100",B:AZ,column(y1),0)*e371</f>
        <v>0</v>
      </c>
      <c r="AA371">
        <f>vlookup("921-000000-100",B:AZ,column(z1),0)*e371</f>
        <v>0</v>
      </c>
      <c r="AB371">
        <f>vlookup("921-000000-100",B:AZ,column(aa1),0)*e371</f>
        <v>0</v>
      </c>
      <c r="AC371">
        <f>vlookup("921-000000-100",B:AZ,column(ab1),0)*e371</f>
        <v>0</v>
      </c>
      <c r="AD371">
        <f>vlookup("921-000000-100",B:AZ,column(ac1),0)*e371</f>
        <v>0</v>
      </c>
      <c r="AE371">
        <f>vlookup("921-000000-100",B:AZ,column(ad1),0)*e371</f>
        <v>0</v>
      </c>
      <c r="AF371">
        <f>vlookup("921-000000-100",B:AZ,column(ae1),0)*e371</f>
        <v>0</v>
      </c>
      <c r="AG371">
        <f>vlookup("921-000000-100",B:AZ,column(af1),0)*e371</f>
        <v>0</v>
      </c>
      <c r="AH371">
        <f>vlookup("921-000000-100",B:AZ,column(ag1),0)*e371</f>
        <v>0</v>
      </c>
      <c r="AI371">
        <f>vlookup("921-000000-100",B:AZ,column(ah1),0)*e371</f>
        <v>0</v>
      </c>
      <c r="AJ371">
        <f>vlookup("921-000000-100",B:AZ,column(ai1),0)*e371</f>
        <v>0</v>
      </c>
      <c r="AK371">
        <f>vlookup("921-000000-100",B:AZ,column(aj1),0)*e371</f>
        <v>0</v>
      </c>
      <c r="AL371">
        <f>vlookup("921-000000-100",B:AZ,column(ak1),0)*e371</f>
        <v>0</v>
      </c>
      <c r="AM371">
        <f>vlookup("921-000000-100",B:AZ,column(al1),0)*e371</f>
        <v>0</v>
      </c>
      <c r="AN371">
        <f>vlookup("921-000000-100",B:AZ,column(am1),0)*e371</f>
        <v>0</v>
      </c>
      <c r="AO371">
        <f>vlookup("921-000000-100",B:AZ,column(an1),0)*e371</f>
        <v>0</v>
      </c>
    </row>
    <row r="372" spans="1:41">
      <c r="A372" t="s">
        <v>22</v>
      </c>
      <c r="B372" t="s">
        <v>345</v>
      </c>
      <c r="C372" t="s">
        <v>346</v>
      </c>
      <c r="E372">
        <v>1</v>
      </c>
      <c r="F372" t="s">
        <v>13</v>
      </c>
      <c r="I372" t="s">
        <v>15</v>
      </c>
      <c r="J372">
        <f>vlookup("921-000000-100",B:AZ,column(i1),0)*e372</f>
        <v>0</v>
      </c>
      <c r="K372">
        <f>vlookup("921-000000-100",B:AZ,column(j1),0)*e372</f>
        <v>0</v>
      </c>
      <c r="L372">
        <f>vlookup("921-000000-100",B:AZ,column(k1),0)*e372</f>
        <v>0</v>
      </c>
      <c r="M372">
        <f>vlookup("921-000000-100",B:AZ,column(l1),0)*e372</f>
        <v>0</v>
      </c>
      <c r="N372">
        <f>vlookup("921-000000-100",B:AZ,column(m1),0)*e372</f>
        <v>0</v>
      </c>
      <c r="O372">
        <f>vlookup("921-000000-100",B:AZ,column(n1),0)*e372</f>
        <v>0</v>
      </c>
      <c r="P372">
        <f>vlookup("921-000000-100",B:AZ,column(o1),0)*e372</f>
        <v>0</v>
      </c>
      <c r="Q372">
        <f>vlookup("921-000000-100",B:AZ,column(p1),0)*e372</f>
        <v>0</v>
      </c>
      <c r="R372">
        <f>vlookup("921-000000-100",B:AZ,column(q1),0)*e372</f>
        <v>0</v>
      </c>
      <c r="S372">
        <f>vlookup("921-000000-100",B:AZ,column(r1),0)*e372</f>
        <v>0</v>
      </c>
      <c r="T372">
        <f>vlookup("921-000000-100",B:AZ,column(s1),0)*e372</f>
        <v>0</v>
      </c>
      <c r="U372">
        <f>vlookup("921-000000-100",B:AZ,column(t1),0)*e372</f>
        <v>0</v>
      </c>
      <c r="V372">
        <f>vlookup("921-000000-100",B:AZ,column(u1),0)*e372</f>
        <v>0</v>
      </c>
      <c r="W372">
        <f>vlookup("921-000000-100",B:AZ,column(v1),0)*e372</f>
        <v>0</v>
      </c>
      <c r="X372">
        <f>vlookup("921-000000-100",B:AZ,column(w1),0)*e372</f>
        <v>0</v>
      </c>
      <c r="Y372">
        <f>vlookup("921-000000-100",B:AZ,column(x1),0)*e372</f>
        <v>0</v>
      </c>
      <c r="Z372">
        <f>vlookup("921-000000-100",B:AZ,column(y1),0)*e372</f>
        <v>0</v>
      </c>
      <c r="AA372">
        <f>vlookup("921-000000-100",B:AZ,column(z1),0)*e372</f>
        <v>0</v>
      </c>
      <c r="AB372">
        <f>vlookup("921-000000-100",B:AZ,column(aa1),0)*e372</f>
        <v>0</v>
      </c>
      <c r="AC372">
        <f>vlookup("921-000000-100",B:AZ,column(ab1),0)*e372</f>
        <v>0</v>
      </c>
      <c r="AD372">
        <f>vlookup("921-000000-100",B:AZ,column(ac1),0)*e372</f>
        <v>0</v>
      </c>
      <c r="AE372">
        <f>vlookup("921-000000-100",B:AZ,column(ad1),0)*e372</f>
        <v>0</v>
      </c>
      <c r="AF372">
        <f>vlookup("921-000000-100",B:AZ,column(ae1),0)*e372</f>
        <v>0</v>
      </c>
      <c r="AG372">
        <f>vlookup("921-000000-100",B:AZ,column(af1),0)*e372</f>
        <v>0</v>
      </c>
      <c r="AH372">
        <f>vlookup("921-000000-100",B:AZ,column(ag1),0)*e372</f>
        <v>0</v>
      </c>
      <c r="AI372">
        <f>vlookup("921-000000-100",B:AZ,column(ah1),0)*e372</f>
        <v>0</v>
      </c>
      <c r="AJ372">
        <f>vlookup("921-000000-100",B:AZ,column(ai1),0)*e372</f>
        <v>0</v>
      </c>
      <c r="AK372">
        <f>vlookup("921-000000-100",B:AZ,column(aj1),0)*e372</f>
        <v>0</v>
      </c>
      <c r="AL372">
        <f>vlookup("921-000000-100",B:AZ,column(ak1),0)*e372</f>
        <v>0</v>
      </c>
      <c r="AM372">
        <f>vlookup("921-000000-100",B:AZ,column(al1),0)*e372</f>
        <v>0</v>
      </c>
      <c r="AN372">
        <f>vlookup("921-000000-100",B:AZ,column(am1),0)*e372</f>
        <v>0</v>
      </c>
      <c r="AO372">
        <f>vlookup("921-000000-100",B:AZ,column(an1),0)*e372</f>
        <v>0</v>
      </c>
    </row>
    <row r="373" spans="1:41">
      <c r="A373" t="s">
        <v>22</v>
      </c>
      <c r="B373" t="s">
        <v>347</v>
      </c>
      <c r="C373" t="s">
        <v>348</v>
      </c>
      <c r="E373">
        <v>1</v>
      </c>
      <c r="F373" t="s">
        <v>13</v>
      </c>
      <c r="I373" t="s">
        <v>15</v>
      </c>
      <c r="J373">
        <f>vlookup("921-000000-100",B:AZ,column(i1),0)*e373</f>
        <v>0</v>
      </c>
      <c r="K373">
        <f>vlookup("921-000000-100",B:AZ,column(j1),0)*e373</f>
        <v>0</v>
      </c>
      <c r="L373">
        <f>vlookup("921-000000-100",B:AZ,column(k1),0)*e373</f>
        <v>0</v>
      </c>
      <c r="M373">
        <f>vlookup("921-000000-100",B:AZ,column(l1),0)*e373</f>
        <v>0</v>
      </c>
      <c r="N373">
        <f>vlookup("921-000000-100",B:AZ,column(m1),0)*e373</f>
        <v>0</v>
      </c>
      <c r="O373">
        <f>vlookup("921-000000-100",B:AZ,column(n1),0)*e373</f>
        <v>0</v>
      </c>
      <c r="P373">
        <f>vlookup("921-000000-100",B:AZ,column(o1),0)*e373</f>
        <v>0</v>
      </c>
      <c r="Q373">
        <f>vlookup("921-000000-100",B:AZ,column(p1),0)*e373</f>
        <v>0</v>
      </c>
      <c r="R373">
        <f>vlookup("921-000000-100",B:AZ,column(q1),0)*e373</f>
        <v>0</v>
      </c>
      <c r="S373">
        <f>vlookup("921-000000-100",B:AZ,column(r1),0)*e373</f>
        <v>0</v>
      </c>
      <c r="T373">
        <f>vlookup("921-000000-100",B:AZ,column(s1),0)*e373</f>
        <v>0</v>
      </c>
      <c r="U373">
        <f>vlookup("921-000000-100",B:AZ,column(t1),0)*e373</f>
        <v>0</v>
      </c>
      <c r="V373">
        <f>vlookup("921-000000-100",B:AZ,column(u1),0)*e373</f>
        <v>0</v>
      </c>
      <c r="W373">
        <f>vlookup("921-000000-100",B:AZ,column(v1),0)*e373</f>
        <v>0</v>
      </c>
      <c r="X373">
        <f>vlookup("921-000000-100",B:AZ,column(w1),0)*e373</f>
        <v>0</v>
      </c>
      <c r="Y373">
        <f>vlookup("921-000000-100",B:AZ,column(x1),0)*e373</f>
        <v>0</v>
      </c>
      <c r="Z373">
        <f>vlookup("921-000000-100",B:AZ,column(y1),0)*e373</f>
        <v>0</v>
      </c>
      <c r="AA373">
        <f>vlookup("921-000000-100",B:AZ,column(z1),0)*e373</f>
        <v>0</v>
      </c>
      <c r="AB373">
        <f>vlookup("921-000000-100",B:AZ,column(aa1),0)*e373</f>
        <v>0</v>
      </c>
      <c r="AC373">
        <f>vlookup("921-000000-100",B:AZ,column(ab1),0)*e373</f>
        <v>0</v>
      </c>
      <c r="AD373">
        <f>vlookup("921-000000-100",B:AZ,column(ac1),0)*e373</f>
        <v>0</v>
      </c>
      <c r="AE373">
        <f>vlookup("921-000000-100",B:AZ,column(ad1),0)*e373</f>
        <v>0</v>
      </c>
      <c r="AF373">
        <f>vlookup("921-000000-100",B:AZ,column(ae1),0)*e373</f>
        <v>0</v>
      </c>
      <c r="AG373">
        <f>vlookup("921-000000-100",B:AZ,column(af1),0)*e373</f>
        <v>0</v>
      </c>
      <c r="AH373">
        <f>vlookup("921-000000-100",B:AZ,column(ag1),0)*e373</f>
        <v>0</v>
      </c>
      <c r="AI373">
        <f>vlookup("921-000000-100",B:AZ,column(ah1),0)*e373</f>
        <v>0</v>
      </c>
      <c r="AJ373">
        <f>vlookup("921-000000-100",B:AZ,column(ai1),0)*e373</f>
        <v>0</v>
      </c>
      <c r="AK373">
        <f>vlookup("921-000000-100",B:AZ,column(aj1),0)*e373</f>
        <v>0</v>
      </c>
      <c r="AL373">
        <f>vlookup("921-000000-100",B:AZ,column(ak1),0)*e373</f>
        <v>0</v>
      </c>
      <c r="AM373">
        <f>vlookup("921-000000-100",B:AZ,column(al1),0)*e373</f>
        <v>0</v>
      </c>
      <c r="AN373">
        <f>vlookup("921-000000-100",B:AZ,column(am1),0)*e373</f>
        <v>0</v>
      </c>
      <c r="AO373">
        <f>vlookup("921-000000-100",B:AZ,column(an1),0)*e373</f>
        <v>0</v>
      </c>
    </row>
    <row r="374" spans="1:41">
      <c r="A374" t="s">
        <v>22</v>
      </c>
      <c r="B374" t="s">
        <v>349</v>
      </c>
      <c r="C374" t="s">
        <v>350</v>
      </c>
      <c r="E374">
        <v>1</v>
      </c>
      <c r="F374" t="s">
        <v>13</v>
      </c>
      <c r="I374" t="s">
        <v>15</v>
      </c>
      <c r="J374">
        <f>vlookup("921-000000-100",B:AZ,column(i1),0)*e374</f>
        <v>0</v>
      </c>
      <c r="K374">
        <f>vlookup("921-000000-100",B:AZ,column(j1),0)*e374</f>
        <v>0</v>
      </c>
      <c r="L374">
        <f>vlookup("921-000000-100",B:AZ,column(k1),0)*e374</f>
        <v>0</v>
      </c>
      <c r="M374">
        <f>vlookup("921-000000-100",B:AZ,column(l1),0)*e374</f>
        <v>0</v>
      </c>
      <c r="N374">
        <f>vlookup("921-000000-100",B:AZ,column(m1),0)*e374</f>
        <v>0</v>
      </c>
      <c r="O374">
        <f>vlookup("921-000000-100",B:AZ,column(n1),0)*e374</f>
        <v>0</v>
      </c>
      <c r="P374">
        <f>vlookup("921-000000-100",B:AZ,column(o1),0)*e374</f>
        <v>0</v>
      </c>
      <c r="Q374">
        <f>vlookup("921-000000-100",B:AZ,column(p1),0)*e374</f>
        <v>0</v>
      </c>
      <c r="R374">
        <f>vlookup("921-000000-100",B:AZ,column(q1),0)*e374</f>
        <v>0</v>
      </c>
      <c r="S374">
        <f>vlookup("921-000000-100",B:AZ,column(r1),0)*e374</f>
        <v>0</v>
      </c>
      <c r="T374">
        <f>vlookup("921-000000-100",B:AZ,column(s1),0)*e374</f>
        <v>0</v>
      </c>
      <c r="U374">
        <f>vlookup("921-000000-100",B:AZ,column(t1),0)*e374</f>
        <v>0</v>
      </c>
      <c r="V374">
        <f>vlookup("921-000000-100",B:AZ,column(u1),0)*e374</f>
        <v>0</v>
      </c>
      <c r="W374">
        <f>vlookup("921-000000-100",B:AZ,column(v1),0)*e374</f>
        <v>0</v>
      </c>
      <c r="X374">
        <f>vlookup("921-000000-100",B:AZ,column(w1),0)*e374</f>
        <v>0</v>
      </c>
      <c r="Y374">
        <f>vlookup("921-000000-100",B:AZ,column(x1),0)*e374</f>
        <v>0</v>
      </c>
      <c r="Z374">
        <f>vlookup("921-000000-100",B:AZ,column(y1),0)*e374</f>
        <v>0</v>
      </c>
      <c r="AA374">
        <f>vlookup("921-000000-100",B:AZ,column(z1),0)*e374</f>
        <v>0</v>
      </c>
      <c r="AB374">
        <f>vlookup("921-000000-100",B:AZ,column(aa1),0)*e374</f>
        <v>0</v>
      </c>
      <c r="AC374">
        <f>vlookup("921-000000-100",B:AZ,column(ab1),0)*e374</f>
        <v>0</v>
      </c>
      <c r="AD374">
        <f>vlookup("921-000000-100",B:AZ,column(ac1),0)*e374</f>
        <v>0</v>
      </c>
      <c r="AE374">
        <f>vlookup("921-000000-100",B:AZ,column(ad1),0)*e374</f>
        <v>0</v>
      </c>
      <c r="AF374">
        <f>vlookup("921-000000-100",B:AZ,column(ae1),0)*e374</f>
        <v>0</v>
      </c>
      <c r="AG374">
        <f>vlookup("921-000000-100",B:AZ,column(af1),0)*e374</f>
        <v>0</v>
      </c>
      <c r="AH374">
        <f>vlookup("921-000000-100",B:AZ,column(ag1),0)*e374</f>
        <v>0</v>
      </c>
      <c r="AI374">
        <f>vlookup("921-000000-100",B:AZ,column(ah1),0)*e374</f>
        <v>0</v>
      </c>
      <c r="AJ374">
        <f>vlookup("921-000000-100",B:AZ,column(ai1),0)*e374</f>
        <v>0</v>
      </c>
      <c r="AK374">
        <f>vlookup("921-000000-100",B:AZ,column(aj1),0)*e374</f>
        <v>0</v>
      </c>
      <c r="AL374">
        <f>vlookup("921-000000-100",B:AZ,column(ak1),0)*e374</f>
        <v>0</v>
      </c>
      <c r="AM374">
        <f>vlookup("921-000000-100",B:AZ,column(al1),0)*e374</f>
        <v>0</v>
      </c>
      <c r="AN374">
        <f>vlookup("921-000000-100",B:AZ,column(am1),0)*e374</f>
        <v>0</v>
      </c>
      <c r="AO374">
        <f>vlookup("921-000000-100",B:AZ,column(an1),0)*e374</f>
        <v>0</v>
      </c>
    </row>
    <row r="375" spans="1:41">
      <c r="A375" t="s">
        <v>22</v>
      </c>
      <c r="B375" t="s">
        <v>351</v>
      </c>
      <c r="C375" t="s">
        <v>352</v>
      </c>
      <c r="E375">
        <v>1</v>
      </c>
      <c r="F375" t="s">
        <v>13</v>
      </c>
      <c r="I375" t="s">
        <v>15</v>
      </c>
      <c r="J375">
        <f>vlookup("921-000000-100",B:AZ,column(i1),0)*e375</f>
        <v>0</v>
      </c>
      <c r="K375">
        <f>vlookup("921-000000-100",B:AZ,column(j1),0)*e375</f>
        <v>0</v>
      </c>
      <c r="L375">
        <f>vlookup("921-000000-100",B:AZ,column(k1),0)*e375</f>
        <v>0</v>
      </c>
      <c r="M375">
        <f>vlookup("921-000000-100",B:AZ,column(l1),0)*e375</f>
        <v>0</v>
      </c>
      <c r="N375">
        <f>vlookup("921-000000-100",B:AZ,column(m1),0)*e375</f>
        <v>0</v>
      </c>
      <c r="O375">
        <f>vlookup("921-000000-100",B:AZ,column(n1),0)*e375</f>
        <v>0</v>
      </c>
      <c r="P375">
        <f>vlookup("921-000000-100",B:AZ,column(o1),0)*e375</f>
        <v>0</v>
      </c>
      <c r="Q375">
        <f>vlookup("921-000000-100",B:AZ,column(p1),0)*e375</f>
        <v>0</v>
      </c>
      <c r="R375">
        <f>vlookup("921-000000-100",B:AZ,column(q1),0)*e375</f>
        <v>0</v>
      </c>
      <c r="S375">
        <f>vlookup("921-000000-100",B:AZ,column(r1),0)*e375</f>
        <v>0</v>
      </c>
      <c r="T375">
        <f>vlookup("921-000000-100",B:AZ,column(s1),0)*e375</f>
        <v>0</v>
      </c>
      <c r="U375">
        <f>vlookup("921-000000-100",B:AZ,column(t1),0)*e375</f>
        <v>0</v>
      </c>
      <c r="V375">
        <f>vlookup("921-000000-100",B:AZ,column(u1),0)*e375</f>
        <v>0</v>
      </c>
      <c r="W375">
        <f>vlookup("921-000000-100",B:AZ,column(v1),0)*e375</f>
        <v>0</v>
      </c>
      <c r="X375">
        <f>vlookup("921-000000-100",B:AZ,column(w1),0)*e375</f>
        <v>0</v>
      </c>
      <c r="Y375">
        <f>vlookup("921-000000-100",B:AZ,column(x1),0)*e375</f>
        <v>0</v>
      </c>
      <c r="Z375">
        <f>vlookup("921-000000-100",B:AZ,column(y1),0)*e375</f>
        <v>0</v>
      </c>
      <c r="AA375">
        <f>vlookup("921-000000-100",B:AZ,column(z1),0)*e375</f>
        <v>0</v>
      </c>
      <c r="AB375">
        <f>vlookup("921-000000-100",B:AZ,column(aa1),0)*e375</f>
        <v>0</v>
      </c>
      <c r="AC375">
        <f>vlookup("921-000000-100",B:AZ,column(ab1),0)*e375</f>
        <v>0</v>
      </c>
      <c r="AD375">
        <f>vlookup("921-000000-100",B:AZ,column(ac1),0)*e375</f>
        <v>0</v>
      </c>
      <c r="AE375">
        <f>vlookup("921-000000-100",B:AZ,column(ad1),0)*e375</f>
        <v>0</v>
      </c>
      <c r="AF375">
        <f>vlookup("921-000000-100",B:AZ,column(ae1),0)*e375</f>
        <v>0</v>
      </c>
      <c r="AG375">
        <f>vlookup("921-000000-100",B:AZ,column(af1),0)*e375</f>
        <v>0</v>
      </c>
      <c r="AH375">
        <f>vlookup("921-000000-100",B:AZ,column(ag1),0)*e375</f>
        <v>0</v>
      </c>
      <c r="AI375">
        <f>vlookup("921-000000-100",B:AZ,column(ah1),0)*e375</f>
        <v>0</v>
      </c>
      <c r="AJ375">
        <f>vlookup("921-000000-100",B:AZ,column(ai1),0)*e375</f>
        <v>0</v>
      </c>
      <c r="AK375">
        <f>vlookup("921-000000-100",B:AZ,column(aj1),0)*e375</f>
        <v>0</v>
      </c>
      <c r="AL375">
        <f>vlookup("921-000000-100",B:AZ,column(ak1),0)*e375</f>
        <v>0</v>
      </c>
      <c r="AM375">
        <f>vlookup("921-000000-100",B:AZ,column(al1),0)*e375</f>
        <v>0</v>
      </c>
      <c r="AN375">
        <f>vlookup("921-000000-100",B:AZ,column(am1),0)*e375</f>
        <v>0</v>
      </c>
      <c r="AO375">
        <f>vlookup("921-000000-100",B:AZ,column(an1),0)*e375</f>
        <v>0</v>
      </c>
    </row>
    <row r="376" spans="1:41">
      <c r="A376" t="s">
        <v>22</v>
      </c>
      <c r="B376" t="s">
        <v>353</v>
      </c>
      <c r="C376" t="s">
        <v>354</v>
      </c>
      <c r="E376">
        <v>1</v>
      </c>
      <c r="F376" t="s">
        <v>13</v>
      </c>
      <c r="I376" t="s">
        <v>15</v>
      </c>
      <c r="J376">
        <f>vlookup("921-000000-100",B:AZ,column(i1),0)*e376</f>
        <v>0</v>
      </c>
      <c r="K376">
        <f>vlookup("921-000000-100",B:AZ,column(j1),0)*e376</f>
        <v>0</v>
      </c>
      <c r="L376">
        <f>vlookup("921-000000-100",B:AZ,column(k1),0)*e376</f>
        <v>0</v>
      </c>
      <c r="M376">
        <f>vlookup("921-000000-100",B:AZ,column(l1),0)*e376</f>
        <v>0</v>
      </c>
      <c r="N376">
        <f>vlookup("921-000000-100",B:AZ,column(m1),0)*e376</f>
        <v>0</v>
      </c>
      <c r="O376">
        <f>vlookup("921-000000-100",B:AZ,column(n1),0)*e376</f>
        <v>0</v>
      </c>
      <c r="P376">
        <f>vlookup("921-000000-100",B:AZ,column(o1),0)*e376</f>
        <v>0</v>
      </c>
      <c r="Q376">
        <f>vlookup("921-000000-100",B:AZ,column(p1),0)*e376</f>
        <v>0</v>
      </c>
      <c r="R376">
        <f>vlookup("921-000000-100",B:AZ,column(q1),0)*e376</f>
        <v>0</v>
      </c>
      <c r="S376">
        <f>vlookup("921-000000-100",B:AZ,column(r1),0)*e376</f>
        <v>0</v>
      </c>
      <c r="T376">
        <f>vlookup("921-000000-100",B:AZ,column(s1),0)*e376</f>
        <v>0</v>
      </c>
      <c r="U376">
        <f>vlookup("921-000000-100",B:AZ,column(t1),0)*e376</f>
        <v>0</v>
      </c>
      <c r="V376">
        <f>vlookup("921-000000-100",B:AZ,column(u1),0)*e376</f>
        <v>0</v>
      </c>
      <c r="W376">
        <f>vlookup("921-000000-100",B:AZ,column(v1),0)*e376</f>
        <v>0</v>
      </c>
      <c r="X376">
        <f>vlookup("921-000000-100",B:AZ,column(w1),0)*e376</f>
        <v>0</v>
      </c>
      <c r="Y376">
        <f>vlookup("921-000000-100",B:AZ,column(x1),0)*e376</f>
        <v>0</v>
      </c>
      <c r="Z376">
        <f>vlookup("921-000000-100",B:AZ,column(y1),0)*e376</f>
        <v>0</v>
      </c>
      <c r="AA376">
        <f>vlookup("921-000000-100",B:AZ,column(z1),0)*e376</f>
        <v>0</v>
      </c>
      <c r="AB376">
        <f>vlookup("921-000000-100",B:AZ,column(aa1),0)*e376</f>
        <v>0</v>
      </c>
      <c r="AC376">
        <f>vlookup("921-000000-100",B:AZ,column(ab1),0)*e376</f>
        <v>0</v>
      </c>
      <c r="AD376">
        <f>vlookup("921-000000-100",B:AZ,column(ac1),0)*e376</f>
        <v>0</v>
      </c>
      <c r="AE376">
        <f>vlookup("921-000000-100",B:AZ,column(ad1),0)*e376</f>
        <v>0</v>
      </c>
      <c r="AF376">
        <f>vlookup("921-000000-100",B:AZ,column(ae1),0)*e376</f>
        <v>0</v>
      </c>
      <c r="AG376">
        <f>vlookup("921-000000-100",B:AZ,column(af1),0)*e376</f>
        <v>0</v>
      </c>
      <c r="AH376">
        <f>vlookup("921-000000-100",B:AZ,column(ag1),0)*e376</f>
        <v>0</v>
      </c>
      <c r="AI376">
        <f>vlookup("921-000000-100",B:AZ,column(ah1),0)*e376</f>
        <v>0</v>
      </c>
      <c r="AJ376">
        <f>vlookup("921-000000-100",B:AZ,column(ai1),0)*e376</f>
        <v>0</v>
      </c>
      <c r="AK376">
        <f>vlookup("921-000000-100",B:AZ,column(aj1),0)*e376</f>
        <v>0</v>
      </c>
      <c r="AL376">
        <f>vlookup("921-000000-100",B:AZ,column(ak1),0)*e376</f>
        <v>0</v>
      </c>
      <c r="AM376">
        <f>vlookup("921-000000-100",B:AZ,column(al1),0)*e376</f>
        <v>0</v>
      </c>
      <c r="AN376">
        <f>vlookup("921-000000-100",B:AZ,column(am1),0)*e376</f>
        <v>0</v>
      </c>
      <c r="AO376">
        <f>vlookup("921-000000-100",B:AZ,column(an1),0)*e376</f>
        <v>0</v>
      </c>
    </row>
    <row r="377" spans="1:41">
      <c r="A377" t="s">
        <v>22</v>
      </c>
      <c r="B377" t="s">
        <v>355</v>
      </c>
      <c r="C377" t="s">
        <v>356</v>
      </c>
      <c r="E377">
        <v>1</v>
      </c>
      <c r="F377" t="s">
        <v>13</v>
      </c>
      <c r="I377" t="s">
        <v>15</v>
      </c>
      <c r="J377">
        <f>vlookup("921-000000-100",B:AZ,column(i1),0)*e377</f>
        <v>0</v>
      </c>
      <c r="K377">
        <f>vlookup("921-000000-100",B:AZ,column(j1),0)*e377</f>
        <v>0</v>
      </c>
      <c r="L377">
        <f>vlookup("921-000000-100",B:AZ,column(k1),0)*e377</f>
        <v>0</v>
      </c>
      <c r="M377">
        <f>vlookup("921-000000-100",B:AZ,column(l1),0)*e377</f>
        <v>0</v>
      </c>
      <c r="N377">
        <f>vlookup("921-000000-100",B:AZ,column(m1),0)*e377</f>
        <v>0</v>
      </c>
      <c r="O377">
        <f>vlookup("921-000000-100",B:AZ,column(n1),0)*e377</f>
        <v>0</v>
      </c>
      <c r="P377">
        <f>vlookup("921-000000-100",B:AZ,column(o1),0)*e377</f>
        <v>0</v>
      </c>
      <c r="Q377">
        <f>vlookup("921-000000-100",B:AZ,column(p1),0)*e377</f>
        <v>0</v>
      </c>
      <c r="R377">
        <f>vlookup("921-000000-100",B:AZ,column(q1),0)*e377</f>
        <v>0</v>
      </c>
      <c r="S377">
        <f>vlookup("921-000000-100",B:AZ,column(r1),0)*e377</f>
        <v>0</v>
      </c>
      <c r="T377">
        <f>vlookup("921-000000-100",B:AZ,column(s1),0)*e377</f>
        <v>0</v>
      </c>
      <c r="U377">
        <f>vlookup("921-000000-100",B:AZ,column(t1),0)*e377</f>
        <v>0</v>
      </c>
      <c r="V377">
        <f>vlookup("921-000000-100",B:AZ,column(u1),0)*e377</f>
        <v>0</v>
      </c>
      <c r="W377">
        <f>vlookup("921-000000-100",B:AZ,column(v1),0)*e377</f>
        <v>0</v>
      </c>
      <c r="X377">
        <f>vlookup("921-000000-100",B:AZ,column(w1),0)*e377</f>
        <v>0</v>
      </c>
      <c r="Y377">
        <f>vlookup("921-000000-100",B:AZ,column(x1),0)*e377</f>
        <v>0</v>
      </c>
      <c r="Z377">
        <f>vlookup("921-000000-100",B:AZ,column(y1),0)*e377</f>
        <v>0</v>
      </c>
      <c r="AA377">
        <f>vlookup("921-000000-100",B:AZ,column(z1),0)*e377</f>
        <v>0</v>
      </c>
      <c r="AB377">
        <f>vlookup("921-000000-100",B:AZ,column(aa1),0)*e377</f>
        <v>0</v>
      </c>
      <c r="AC377">
        <f>vlookup("921-000000-100",B:AZ,column(ab1),0)*e377</f>
        <v>0</v>
      </c>
      <c r="AD377">
        <f>vlookup("921-000000-100",B:AZ,column(ac1),0)*e377</f>
        <v>0</v>
      </c>
      <c r="AE377">
        <f>vlookup("921-000000-100",B:AZ,column(ad1),0)*e377</f>
        <v>0</v>
      </c>
      <c r="AF377">
        <f>vlookup("921-000000-100",B:AZ,column(ae1),0)*e377</f>
        <v>0</v>
      </c>
      <c r="AG377">
        <f>vlookup("921-000000-100",B:AZ,column(af1),0)*e377</f>
        <v>0</v>
      </c>
      <c r="AH377">
        <f>vlookup("921-000000-100",B:AZ,column(ag1),0)*e377</f>
        <v>0</v>
      </c>
      <c r="AI377">
        <f>vlookup("921-000000-100",B:AZ,column(ah1),0)*e377</f>
        <v>0</v>
      </c>
      <c r="AJ377">
        <f>vlookup("921-000000-100",B:AZ,column(ai1),0)*e377</f>
        <v>0</v>
      </c>
      <c r="AK377">
        <f>vlookup("921-000000-100",B:AZ,column(aj1),0)*e377</f>
        <v>0</v>
      </c>
      <c r="AL377">
        <f>vlookup("921-000000-100",B:AZ,column(ak1),0)*e377</f>
        <v>0</v>
      </c>
      <c r="AM377">
        <f>vlookup("921-000000-100",B:AZ,column(al1),0)*e377</f>
        <v>0</v>
      </c>
      <c r="AN377">
        <f>vlookup("921-000000-100",B:AZ,column(am1),0)*e377</f>
        <v>0</v>
      </c>
      <c r="AO377">
        <f>vlookup("921-000000-100",B:AZ,column(an1),0)*e377</f>
        <v>0</v>
      </c>
    </row>
    <row r="378" spans="1:41">
      <c r="A378" t="s">
        <v>22</v>
      </c>
      <c r="B378" t="s">
        <v>357</v>
      </c>
      <c r="C378" t="s">
        <v>358</v>
      </c>
      <c r="E378">
        <v>1</v>
      </c>
      <c r="F378" t="s">
        <v>13</v>
      </c>
      <c r="I378" t="s">
        <v>15</v>
      </c>
      <c r="J378">
        <f>vlookup("921-000000-100",B:AZ,column(i1),0)*e378</f>
        <v>0</v>
      </c>
      <c r="K378">
        <f>vlookup("921-000000-100",B:AZ,column(j1),0)*e378</f>
        <v>0</v>
      </c>
      <c r="L378">
        <f>vlookup("921-000000-100",B:AZ,column(k1),0)*e378</f>
        <v>0</v>
      </c>
      <c r="M378">
        <f>vlookup("921-000000-100",B:AZ,column(l1),0)*e378</f>
        <v>0</v>
      </c>
      <c r="N378">
        <f>vlookup("921-000000-100",B:AZ,column(m1),0)*e378</f>
        <v>0</v>
      </c>
      <c r="O378">
        <f>vlookup("921-000000-100",B:AZ,column(n1),0)*e378</f>
        <v>0</v>
      </c>
      <c r="P378">
        <f>vlookup("921-000000-100",B:AZ,column(o1),0)*e378</f>
        <v>0</v>
      </c>
      <c r="Q378">
        <f>vlookup("921-000000-100",B:AZ,column(p1),0)*e378</f>
        <v>0</v>
      </c>
      <c r="R378">
        <f>vlookup("921-000000-100",B:AZ,column(q1),0)*e378</f>
        <v>0</v>
      </c>
      <c r="S378">
        <f>vlookup("921-000000-100",B:AZ,column(r1),0)*e378</f>
        <v>0</v>
      </c>
      <c r="T378">
        <f>vlookup("921-000000-100",B:AZ,column(s1),0)*e378</f>
        <v>0</v>
      </c>
      <c r="U378">
        <f>vlookup("921-000000-100",B:AZ,column(t1),0)*e378</f>
        <v>0</v>
      </c>
      <c r="V378">
        <f>vlookup("921-000000-100",B:AZ,column(u1),0)*e378</f>
        <v>0</v>
      </c>
      <c r="W378">
        <f>vlookup("921-000000-100",B:AZ,column(v1),0)*e378</f>
        <v>0</v>
      </c>
      <c r="X378">
        <f>vlookup("921-000000-100",B:AZ,column(w1),0)*e378</f>
        <v>0</v>
      </c>
      <c r="Y378">
        <f>vlookup("921-000000-100",B:AZ,column(x1),0)*e378</f>
        <v>0</v>
      </c>
      <c r="Z378">
        <f>vlookup("921-000000-100",B:AZ,column(y1),0)*e378</f>
        <v>0</v>
      </c>
      <c r="AA378">
        <f>vlookup("921-000000-100",B:AZ,column(z1),0)*e378</f>
        <v>0</v>
      </c>
      <c r="AB378">
        <f>vlookup("921-000000-100",B:AZ,column(aa1),0)*e378</f>
        <v>0</v>
      </c>
      <c r="AC378">
        <f>vlookup("921-000000-100",B:AZ,column(ab1),0)*e378</f>
        <v>0</v>
      </c>
      <c r="AD378">
        <f>vlookup("921-000000-100",B:AZ,column(ac1),0)*e378</f>
        <v>0</v>
      </c>
      <c r="AE378">
        <f>vlookup("921-000000-100",B:AZ,column(ad1),0)*e378</f>
        <v>0</v>
      </c>
      <c r="AF378">
        <f>vlookup("921-000000-100",B:AZ,column(ae1),0)*e378</f>
        <v>0</v>
      </c>
      <c r="AG378">
        <f>vlookup("921-000000-100",B:AZ,column(af1),0)*e378</f>
        <v>0</v>
      </c>
      <c r="AH378">
        <f>vlookup("921-000000-100",B:AZ,column(ag1),0)*e378</f>
        <v>0</v>
      </c>
      <c r="AI378">
        <f>vlookup("921-000000-100",B:AZ,column(ah1),0)*e378</f>
        <v>0</v>
      </c>
      <c r="AJ378">
        <f>vlookup("921-000000-100",B:AZ,column(ai1),0)*e378</f>
        <v>0</v>
      </c>
      <c r="AK378">
        <f>vlookup("921-000000-100",B:AZ,column(aj1),0)*e378</f>
        <v>0</v>
      </c>
      <c r="AL378">
        <f>vlookup("921-000000-100",B:AZ,column(ak1),0)*e378</f>
        <v>0</v>
      </c>
      <c r="AM378">
        <f>vlookup("921-000000-100",B:AZ,column(al1),0)*e378</f>
        <v>0</v>
      </c>
      <c r="AN378">
        <f>vlookup("921-000000-100",B:AZ,column(am1),0)*e378</f>
        <v>0</v>
      </c>
      <c r="AO378">
        <f>vlookup("921-000000-100",B:AZ,column(an1),0)*e378</f>
        <v>0</v>
      </c>
    </row>
    <row r="379" spans="1:41">
      <c r="A379" t="s">
        <v>41</v>
      </c>
      <c r="B379" t="s">
        <v>357</v>
      </c>
      <c r="C379" t="s">
        <v>358</v>
      </c>
      <c r="E379">
        <v>1</v>
      </c>
      <c r="F379" t="s">
        <v>13</v>
      </c>
      <c r="I379" t="s">
        <v>15</v>
      </c>
      <c r="J379">
        <f>vlookup("921-000000-100",B:AZ,column(i1),0)*e379</f>
        <v>0</v>
      </c>
      <c r="K379">
        <f>vlookup("921-000000-100",B:AZ,column(j1),0)*e379</f>
        <v>0</v>
      </c>
      <c r="L379">
        <f>vlookup("921-000000-100",B:AZ,column(k1),0)*e379</f>
        <v>0</v>
      </c>
      <c r="M379">
        <f>vlookup("921-000000-100",B:AZ,column(l1),0)*e379</f>
        <v>0</v>
      </c>
      <c r="N379">
        <f>vlookup("921-000000-100",B:AZ,column(m1),0)*e379</f>
        <v>0</v>
      </c>
      <c r="O379">
        <f>vlookup("921-000000-100",B:AZ,column(n1),0)*e379</f>
        <v>0</v>
      </c>
      <c r="P379">
        <f>vlookup("921-000000-100",B:AZ,column(o1),0)*e379</f>
        <v>0</v>
      </c>
      <c r="Q379">
        <f>vlookup("921-000000-100",B:AZ,column(p1),0)*e379</f>
        <v>0</v>
      </c>
      <c r="R379">
        <f>vlookup("921-000000-100",B:AZ,column(q1),0)*e379</f>
        <v>0</v>
      </c>
      <c r="S379">
        <f>vlookup("921-000000-100",B:AZ,column(r1),0)*e379</f>
        <v>0</v>
      </c>
      <c r="T379">
        <f>vlookup("921-000000-100",B:AZ,column(s1),0)*e379</f>
        <v>0</v>
      </c>
      <c r="U379">
        <f>vlookup("921-000000-100",B:AZ,column(t1),0)*e379</f>
        <v>0</v>
      </c>
      <c r="V379">
        <f>vlookup("921-000000-100",B:AZ,column(u1),0)*e379</f>
        <v>0</v>
      </c>
      <c r="W379">
        <f>vlookup("921-000000-100",B:AZ,column(v1),0)*e379</f>
        <v>0</v>
      </c>
      <c r="X379">
        <f>vlookup("921-000000-100",B:AZ,column(w1),0)*e379</f>
        <v>0</v>
      </c>
      <c r="Y379">
        <f>vlookup("921-000000-100",B:AZ,column(x1),0)*e379</f>
        <v>0</v>
      </c>
      <c r="Z379">
        <f>vlookup("921-000000-100",B:AZ,column(y1),0)*e379</f>
        <v>0</v>
      </c>
      <c r="AA379">
        <f>vlookup("921-000000-100",B:AZ,column(z1),0)*e379</f>
        <v>0</v>
      </c>
      <c r="AB379">
        <f>vlookup("921-000000-100",B:AZ,column(aa1),0)*e379</f>
        <v>0</v>
      </c>
      <c r="AC379">
        <f>vlookup("921-000000-100",B:AZ,column(ab1),0)*e379</f>
        <v>0</v>
      </c>
      <c r="AD379">
        <f>vlookup("921-000000-100",B:AZ,column(ac1),0)*e379</f>
        <v>0</v>
      </c>
      <c r="AE379">
        <f>vlookup("921-000000-100",B:AZ,column(ad1),0)*e379</f>
        <v>0</v>
      </c>
      <c r="AF379">
        <f>vlookup("921-000000-100",B:AZ,column(ae1),0)*e379</f>
        <v>0</v>
      </c>
      <c r="AG379">
        <f>vlookup("921-000000-100",B:AZ,column(af1),0)*e379</f>
        <v>0</v>
      </c>
      <c r="AH379">
        <f>vlookup("921-000000-100",B:AZ,column(ag1),0)*e379</f>
        <v>0</v>
      </c>
      <c r="AI379">
        <f>vlookup("921-000000-100",B:AZ,column(ah1),0)*e379</f>
        <v>0</v>
      </c>
      <c r="AJ379">
        <f>vlookup("921-000000-100",B:AZ,column(ai1),0)*e379</f>
        <v>0</v>
      </c>
      <c r="AK379">
        <f>vlookup("921-000000-100",B:AZ,column(aj1),0)*e379</f>
        <v>0</v>
      </c>
      <c r="AL379">
        <f>vlookup("921-000000-100",B:AZ,column(ak1),0)*e379</f>
        <v>0</v>
      </c>
      <c r="AM379">
        <f>vlookup("921-000000-100",B:AZ,column(al1),0)*e379</f>
        <v>0</v>
      </c>
      <c r="AN379">
        <f>vlookup("921-000000-100",B:AZ,column(am1),0)*e379</f>
        <v>0</v>
      </c>
      <c r="AO379">
        <f>vlookup("921-000000-100",B:AZ,column(an1),0)*e379</f>
        <v>0</v>
      </c>
    </row>
    <row r="380" spans="1:41">
      <c r="A380" t="s">
        <v>43</v>
      </c>
      <c r="B380" t="s">
        <v>357</v>
      </c>
      <c r="C380" t="s">
        <v>358</v>
      </c>
      <c r="E380">
        <v>1</v>
      </c>
      <c r="F380" t="s">
        <v>13</v>
      </c>
      <c r="I380" t="s">
        <v>15</v>
      </c>
      <c r="J380">
        <f>vlookup("921-000000-100",B:AZ,column(i1),0)*e380</f>
        <v>0</v>
      </c>
      <c r="K380">
        <f>vlookup("921-000000-100",B:AZ,column(j1),0)*e380</f>
        <v>0</v>
      </c>
      <c r="L380">
        <f>vlookup("921-000000-100",B:AZ,column(k1),0)*e380</f>
        <v>0</v>
      </c>
      <c r="M380">
        <f>vlookup("921-000000-100",B:AZ,column(l1),0)*e380</f>
        <v>0</v>
      </c>
      <c r="N380">
        <f>vlookup("921-000000-100",B:AZ,column(m1),0)*e380</f>
        <v>0</v>
      </c>
      <c r="O380">
        <f>vlookup("921-000000-100",B:AZ,column(n1),0)*e380</f>
        <v>0</v>
      </c>
      <c r="P380">
        <f>vlookup("921-000000-100",B:AZ,column(o1),0)*e380</f>
        <v>0</v>
      </c>
      <c r="Q380">
        <f>vlookup("921-000000-100",B:AZ,column(p1),0)*e380</f>
        <v>0</v>
      </c>
      <c r="R380">
        <f>vlookup("921-000000-100",B:AZ,column(q1),0)*e380</f>
        <v>0</v>
      </c>
      <c r="S380">
        <f>vlookup("921-000000-100",B:AZ,column(r1),0)*e380</f>
        <v>0</v>
      </c>
      <c r="T380">
        <f>vlookup("921-000000-100",B:AZ,column(s1),0)*e380</f>
        <v>0</v>
      </c>
      <c r="U380">
        <f>vlookup("921-000000-100",B:AZ,column(t1),0)*e380</f>
        <v>0</v>
      </c>
      <c r="V380">
        <f>vlookup("921-000000-100",B:AZ,column(u1),0)*e380</f>
        <v>0</v>
      </c>
      <c r="W380">
        <f>vlookup("921-000000-100",B:AZ,column(v1),0)*e380</f>
        <v>0</v>
      </c>
      <c r="X380">
        <f>vlookup("921-000000-100",B:AZ,column(w1),0)*e380</f>
        <v>0</v>
      </c>
      <c r="Y380">
        <f>vlookup("921-000000-100",B:AZ,column(x1),0)*e380</f>
        <v>0</v>
      </c>
      <c r="Z380">
        <f>vlookup("921-000000-100",B:AZ,column(y1),0)*e380</f>
        <v>0</v>
      </c>
      <c r="AA380">
        <f>vlookup("921-000000-100",B:AZ,column(z1),0)*e380</f>
        <v>0</v>
      </c>
      <c r="AB380">
        <f>vlookup("921-000000-100",B:AZ,column(aa1),0)*e380</f>
        <v>0</v>
      </c>
      <c r="AC380">
        <f>vlookup("921-000000-100",B:AZ,column(ab1),0)*e380</f>
        <v>0</v>
      </c>
      <c r="AD380">
        <f>vlookup("921-000000-100",B:AZ,column(ac1),0)*e380</f>
        <v>0</v>
      </c>
      <c r="AE380">
        <f>vlookup("921-000000-100",B:AZ,column(ad1),0)*e380</f>
        <v>0</v>
      </c>
      <c r="AF380">
        <f>vlookup("921-000000-100",B:AZ,column(ae1),0)*e380</f>
        <v>0</v>
      </c>
      <c r="AG380">
        <f>vlookup("921-000000-100",B:AZ,column(af1),0)*e380</f>
        <v>0</v>
      </c>
      <c r="AH380">
        <f>vlookup("921-000000-100",B:AZ,column(ag1),0)*e380</f>
        <v>0</v>
      </c>
      <c r="AI380">
        <f>vlookup("921-000000-100",B:AZ,column(ah1),0)*e380</f>
        <v>0</v>
      </c>
      <c r="AJ380">
        <f>vlookup("921-000000-100",B:AZ,column(ai1),0)*e380</f>
        <v>0</v>
      </c>
      <c r="AK380">
        <f>vlookup("921-000000-100",B:AZ,column(aj1),0)*e380</f>
        <v>0</v>
      </c>
      <c r="AL380">
        <f>vlookup("921-000000-100",B:AZ,column(ak1),0)*e380</f>
        <v>0</v>
      </c>
      <c r="AM380">
        <f>vlookup("921-000000-100",B:AZ,column(al1),0)*e380</f>
        <v>0</v>
      </c>
      <c r="AN380">
        <f>vlookup("921-000000-100",B:AZ,column(am1),0)*e380</f>
        <v>0</v>
      </c>
      <c r="AO380">
        <f>vlookup("921-000000-100",B:AZ,column(an1),0)*e380</f>
        <v>0</v>
      </c>
    </row>
    <row r="381" spans="1:41">
      <c r="A381" t="s">
        <v>10</v>
      </c>
      <c r="B381" t="s">
        <v>398</v>
      </c>
      <c r="C381" t="s">
        <v>362</v>
      </c>
      <c r="E381">
        <v>1</v>
      </c>
      <c r="F381" t="s">
        <v>13</v>
      </c>
      <c r="I381" t="s">
        <v>14</v>
      </c>
      <c r="AO381">
        <f>sum(j381:an381)</f>
        <v>0</v>
      </c>
    </row>
    <row r="382" spans="1:41">
      <c r="I382" t="s">
        <v>15</v>
      </c>
      <c r="J382">
        <f>vlookup("921-000000-200",Out!B:AZ,column(i1),0)</f>
        <v>0</v>
      </c>
      <c r="K382">
        <f>vlookup("921-000000-200",Out!B:AZ,column(j1),0)</f>
        <v>0</v>
      </c>
      <c r="L382">
        <f>vlookup("921-000000-200",Out!B:AZ,column(k1),0)</f>
        <v>0</v>
      </c>
      <c r="M382">
        <f>vlookup("921-000000-200",Out!B:AZ,column(l1),0)</f>
        <v>0</v>
      </c>
      <c r="N382">
        <f>vlookup("921-000000-200",Out!B:AZ,column(m1),0)</f>
        <v>0</v>
      </c>
      <c r="O382">
        <f>vlookup("921-000000-200",Out!B:AZ,column(n1),0)</f>
        <v>0</v>
      </c>
      <c r="P382">
        <f>vlookup("921-000000-200",Out!B:AZ,column(o1),0)</f>
        <v>0</v>
      </c>
      <c r="Q382">
        <f>vlookup("921-000000-200",Out!B:AZ,column(p1),0)</f>
        <v>0</v>
      </c>
      <c r="R382">
        <f>vlookup("921-000000-200",Out!B:AZ,column(q1),0)</f>
        <v>0</v>
      </c>
      <c r="S382">
        <f>vlookup("921-000000-200",Out!B:AZ,column(r1),0)</f>
        <v>0</v>
      </c>
      <c r="T382">
        <f>vlookup("921-000000-200",Out!B:AZ,column(s1),0)</f>
        <v>0</v>
      </c>
      <c r="U382">
        <f>vlookup("921-000000-200",Out!B:AZ,column(t1),0)</f>
        <v>0</v>
      </c>
      <c r="V382">
        <f>vlookup("921-000000-200",Out!B:AZ,column(u1),0)</f>
        <v>0</v>
      </c>
      <c r="W382">
        <f>vlookup("921-000000-200",Out!B:AZ,column(v1),0)</f>
        <v>0</v>
      </c>
      <c r="X382">
        <f>vlookup("921-000000-200",Out!B:AZ,column(w1),0)</f>
        <v>0</v>
      </c>
      <c r="Y382">
        <f>vlookup("921-000000-200",Out!B:AZ,column(x1),0)</f>
        <v>0</v>
      </c>
      <c r="Z382">
        <f>vlookup("921-000000-200",Out!B:AZ,column(y1),0)</f>
        <v>0</v>
      </c>
      <c r="AA382">
        <f>vlookup("921-000000-200",Out!B:AZ,column(z1),0)</f>
        <v>0</v>
      </c>
      <c r="AB382">
        <f>vlookup("921-000000-200",Out!B:AZ,column(aa1),0)</f>
        <v>0</v>
      </c>
      <c r="AC382">
        <f>vlookup("921-000000-200",Out!B:AZ,column(ab1),0)</f>
        <v>0</v>
      </c>
      <c r="AD382">
        <f>vlookup("921-000000-200",Out!B:AZ,column(ac1),0)</f>
        <v>0</v>
      </c>
      <c r="AE382">
        <f>vlookup("921-000000-200",Out!B:AZ,column(ad1),0)</f>
        <v>0</v>
      </c>
      <c r="AF382">
        <f>vlookup("921-000000-200",Out!B:AZ,column(ae1),0)</f>
        <v>0</v>
      </c>
      <c r="AG382">
        <f>vlookup("921-000000-200",Out!B:AZ,column(af1),0)</f>
        <v>0</v>
      </c>
      <c r="AH382">
        <f>vlookup("921-000000-200",Out!B:AZ,column(ag1),0)</f>
        <v>0</v>
      </c>
      <c r="AI382">
        <f>vlookup("921-000000-200",Out!B:AZ,column(ah1),0)</f>
        <v>0</v>
      </c>
      <c r="AJ382">
        <f>vlookup("921-000000-200",Out!B:AZ,column(ai1),0)</f>
        <v>0</v>
      </c>
      <c r="AK382">
        <f>vlookup("921-000000-200",Out!B:AZ,column(aj1),0)</f>
        <v>0</v>
      </c>
      <c r="AL382">
        <f>vlookup("921-000000-200",Out!B:AZ,column(ak1),0)</f>
        <v>0</v>
      </c>
      <c r="AM382">
        <f>vlookup("921-000000-200",Out!B:AZ,column(al1),0)</f>
        <v>0</v>
      </c>
      <c r="AN382">
        <f>vlookup("921-000000-200",Out!B:AZ,column(am1),0)</f>
        <v>0</v>
      </c>
      <c r="AO382">
        <f>vlookup("921-000000-200",Out!B:AZ,column(an1),0)</f>
        <v>0</v>
      </c>
    </row>
    <row r="383" spans="1:41">
      <c r="H383" t="s">
        <v>16</v>
      </c>
      <c r="J383">
        <f>indirect(address(383,9))+indirect(address(381,10))-indirect(address(382,10))</f>
        <v>0</v>
      </c>
      <c r="K383">
        <f>indirect(address(383,10))+indirect(address(381,11))-indirect(address(382,11))</f>
        <v>0</v>
      </c>
      <c r="L383">
        <f>indirect(address(383,11))+indirect(address(381,12))-indirect(address(382,12))</f>
        <v>0</v>
      </c>
      <c r="M383">
        <f>indirect(address(383,12))+indirect(address(381,13))-indirect(address(382,13))</f>
        <v>0</v>
      </c>
      <c r="N383">
        <f>indirect(address(383,13))+indirect(address(381,14))-indirect(address(382,14))</f>
        <v>0</v>
      </c>
      <c r="O383">
        <f>indirect(address(383,14))+indirect(address(381,15))-indirect(address(382,15))</f>
        <v>0</v>
      </c>
      <c r="P383">
        <f>indirect(address(383,15))+indirect(address(381,16))-indirect(address(382,16))</f>
        <v>0</v>
      </c>
      <c r="Q383">
        <f>indirect(address(383,16))+indirect(address(381,17))-indirect(address(382,17))</f>
        <v>0</v>
      </c>
      <c r="R383">
        <f>indirect(address(383,17))+indirect(address(381,18))-indirect(address(382,18))</f>
        <v>0</v>
      </c>
      <c r="S383">
        <f>indirect(address(383,18))+indirect(address(381,19))-indirect(address(382,19))</f>
        <v>0</v>
      </c>
      <c r="T383">
        <f>indirect(address(383,19))+indirect(address(381,20))-indirect(address(382,20))</f>
        <v>0</v>
      </c>
      <c r="U383">
        <f>indirect(address(383,20))+indirect(address(381,21))-indirect(address(382,21))</f>
        <v>0</v>
      </c>
      <c r="V383">
        <f>indirect(address(383,21))+indirect(address(381,22))-indirect(address(382,22))</f>
        <v>0</v>
      </c>
      <c r="W383">
        <f>indirect(address(383,22))+indirect(address(381,23))-indirect(address(382,23))</f>
        <v>0</v>
      </c>
      <c r="X383">
        <f>indirect(address(383,23))+indirect(address(381,24))-indirect(address(382,24))</f>
        <v>0</v>
      </c>
      <c r="Y383">
        <f>indirect(address(383,24))+indirect(address(381,25))-indirect(address(382,25))</f>
        <v>0</v>
      </c>
      <c r="Z383">
        <f>indirect(address(383,25))+indirect(address(381,26))-indirect(address(382,26))</f>
        <v>0</v>
      </c>
      <c r="AA383">
        <f>indirect(address(383,26))+indirect(address(381,27))-indirect(address(382,27))</f>
        <v>0</v>
      </c>
      <c r="AB383">
        <f>indirect(address(383,27))+indirect(address(381,28))-indirect(address(382,28))</f>
        <v>0</v>
      </c>
      <c r="AC383">
        <f>indirect(address(383,28))+indirect(address(381,29))-indirect(address(382,29))</f>
        <v>0</v>
      </c>
      <c r="AD383">
        <f>indirect(address(383,29))+indirect(address(381,30))-indirect(address(382,30))</f>
        <v>0</v>
      </c>
      <c r="AE383">
        <f>indirect(address(383,30))+indirect(address(381,31))-indirect(address(382,31))</f>
        <v>0</v>
      </c>
      <c r="AF383">
        <f>indirect(address(383,31))+indirect(address(381,32))-indirect(address(382,32))</f>
        <v>0</v>
      </c>
      <c r="AG383">
        <f>indirect(address(383,32))+indirect(address(381,33))-indirect(address(382,33))</f>
        <v>0</v>
      </c>
      <c r="AH383">
        <f>indirect(address(383,33))+indirect(address(381,34))-indirect(address(382,34))</f>
        <v>0</v>
      </c>
      <c r="AI383">
        <f>indirect(address(383,34))+indirect(address(381,35))-indirect(address(382,35))</f>
        <v>0</v>
      </c>
      <c r="AJ383">
        <f>indirect(address(383,35))+indirect(address(381,36))-indirect(address(382,36))</f>
        <v>0</v>
      </c>
      <c r="AK383">
        <f>indirect(address(383,36))+indirect(address(381,37))-indirect(address(382,37))</f>
        <v>0</v>
      </c>
      <c r="AL383">
        <f>indirect(address(383,37))+indirect(address(381,38))-indirect(address(382,38))</f>
        <v>0</v>
      </c>
      <c r="AM383">
        <f>indirect(address(383,38))+indirect(address(381,39))-indirect(address(382,39))</f>
        <v>0</v>
      </c>
      <c r="AN383">
        <f>indirect(address(383,39))+indirect(address(381,40))-indirect(address(382,40))</f>
        <v>0</v>
      </c>
      <c r="AO383">
        <f>indirect(address(383,40))</f>
        <v>0</v>
      </c>
    </row>
    <row r="384" spans="1:41">
      <c r="A384" t="s">
        <v>17</v>
      </c>
      <c r="B384" t="s">
        <v>399</v>
      </c>
      <c r="C384" t="s">
        <v>400</v>
      </c>
      <c r="E384">
        <v>1</v>
      </c>
      <c r="F384" t="s">
        <v>13</v>
      </c>
      <c r="I384" t="s">
        <v>15</v>
      </c>
      <c r="J384">
        <f>vlookup("921-000000-200",B:AZ,column(i1),0)*e384</f>
        <v>0</v>
      </c>
      <c r="K384">
        <f>vlookup("921-000000-200",B:AZ,column(j1),0)*e384</f>
        <v>0</v>
      </c>
      <c r="L384">
        <f>vlookup("921-000000-200",B:AZ,column(k1),0)*e384</f>
        <v>0</v>
      </c>
      <c r="M384">
        <f>vlookup("921-000000-200",B:AZ,column(l1),0)*e384</f>
        <v>0</v>
      </c>
      <c r="N384">
        <f>vlookup("921-000000-200",B:AZ,column(m1),0)*e384</f>
        <v>0</v>
      </c>
      <c r="O384">
        <f>vlookup("921-000000-200",B:AZ,column(n1),0)*e384</f>
        <v>0</v>
      </c>
      <c r="P384">
        <f>vlookup("921-000000-200",B:AZ,column(o1),0)*e384</f>
        <v>0</v>
      </c>
      <c r="Q384">
        <f>vlookup("921-000000-200",B:AZ,column(p1),0)*e384</f>
        <v>0</v>
      </c>
      <c r="R384">
        <f>vlookup("921-000000-200",B:AZ,column(q1),0)*e384</f>
        <v>0</v>
      </c>
      <c r="S384">
        <f>vlookup("921-000000-200",B:AZ,column(r1),0)*e384</f>
        <v>0</v>
      </c>
      <c r="T384">
        <f>vlookup("921-000000-200",B:AZ,column(s1),0)*e384</f>
        <v>0</v>
      </c>
      <c r="U384">
        <f>vlookup("921-000000-200",B:AZ,column(t1),0)*e384</f>
        <v>0</v>
      </c>
      <c r="V384">
        <f>vlookup("921-000000-200",B:AZ,column(u1),0)*e384</f>
        <v>0</v>
      </c>
      <c r="W384">
        <f>vlookup("921-000000-200",B:AZ,column(v1),0)*e384</f>
        <v>0</v>
      </c>
      <c r="X384">
        <f>vlookup("921-000000-200",B:AZ,column(w1),0)*e384</f>
        <v>0</v>
      </c>
      <c r="Y384">
        <f>vlookup("921-000000-200",B:AZ,column(x1),0)*e384</f>
        <v>0</v>
      </c>
      <c r="Z384">
        <f>vlookup("921-000000-200",B:AZ,column(y1),0)*e384</f>
        <v>0</v>
      </c>
      <c r="AA384">
        <f>vlookup("921-000000-200",B:AZ,column(z1),0)*e384</f>
        <v>0</v>
      </c>
      <c r="AB384">
        <f>vlookup("921-000000-200",B:AZ,column(aa1),0)*e384</f>
        <v>0</v>
      </c>
      <c r="AC384">
        <f>vlookup("921-000000-200",B:AZ,column(ab1),0)*e384</f>
        <v>0</v>
      </c>
      <c r="AD384">
        <f>vlookup("921-000000-200",B:AZ,column(ac1),0)*e384</f>
        <v>0</v>
      </c>
      <c r="AE384">
        <f>vlookup("921-000000-200",B:AZ,column(ad1),0)*e384</f>
        <v>0</v>
      </c>
      <c r="AF384">
        <f>vlookup("921-000000-200",B:AZ,column(ae1),0)*e384</f>
        <v>0</v>
      </c>
      <c r="AG384">
        <f>vlookup("921-000000-200",B:AZ,column(af1),0)*e384</f>
        <v>0</v>
      </c>
      <c r="AH384">
        <f>vlookup("921-000000-200",B:AZ,column(ag1),0)*e384</f>
        <v>0</v>
      </c>
      <c r="AI384">
        <f>vlookup("921-000000-200",B:AZ,column(ah1),0)*e384</f>
        <v>0</v>
      </c>
      <c r="AJ384">
        <f>vlookup("921-000000-200",B:AZ,column(ai1),0)*e384</f>
        <v>0</v>
      </c>
      <c r="AK384">
        <f>vlookup("921-000000-200",B:AZ,column(aj1),0)*e384</f>
        <v>0</v>
      </c>
      <c r="AL384">
        <f>vlookup("921-000000-200",B:AZ,column(ak1),0)*e384</f>
        <v>0</v>
      </c>
      <c r="AM384">
        <f>vlookup("921-000000-200",B:AZ,column(al1),0)*e384</f>
        <v>0</v>
      </c>
      <c r="AN384">
        <f>vlookup("921-000000-200",B:AZ,column(am1),0)*e384</f>
        <v>0</v>
      </c>
      <c r="AO384">
        <f>vlookup("921-000000-200",B:AZ,column(an1),0)*e384</f>
        <v>0</v>
      </c>
    </row>
    <row r="385" spans="1:41">
      <c r="A385" t="s">
        <v>17</v>
      </c>
      <c r="B385" t="s">
        <v>401</v>
      </c>
      <c r="C385" t="s">
        <v>402</v>
      </c>
      <c r="E385">
        <v>1</v>
      </c>
      <c r="F385" t="s">
        <v>13</v>
      </c>
      <c r="I385" t="s">
        <v>15</v>
      </c>
      <c r="J385">
        <f>vlookup("921-000000-200",B:AZ,column(i1),0)*e385</f>
        <v>0</v>
      </c>
      <c r="K385">
        <f>vlookup("921-000000-200",B:AZ,column(j1),0)*e385</f>
        <v>0</v>
      </c>
      <c r="L385">
        <f>vlookup("921-000000-200",B:AZ,column(k1),0)*e385</f>
        <v>0</v>
      </c>
      <c r="M385">
        <f>vlookup("921-000000-200",B:AZ,column(l1),0)*e385</f>
        <v>0</v>
      </c>
      <c r="N385">
        <f>vlookup("921-000000-200",B:AZ,column(m1),0)*e385</f>
        <v>0</v>
      </c>
      <c r="O385">
        <f>vlookup("921-000000-200",B:AZ,column(n1),0)*e385</f>
        <v>0</v>
      </c>
      <c r="P385">
        <f>vlookup("921-000000-200",B:AZ,column(o1),0)*e385</f>
        <v>0</v>
      </c>
      <c r="Q385">
        <f>vlookup("921-000000-200",B:AZ,column(p1),0)*e385</f>
        <v>0</v>
      </c>
      <c r="R385">
        <f>vlookup("921-000000-200",B:AZ,column(q1),0)*e385</f>
        <v>0</v>
      </c>
      <c r="S385">
        <f>vlookup("921-000000-200",B:AZ,column(r1),0)*e385</f>
        <v>0</v>
      </c>
      <c r="T385">
        <f>vlookup("921-000000-200",B:AZ,column(s1),0)*e385</f>
        <v>0</v>
      </c>
      <c r="U385">
        <f>vlookup("921-000000-200",B:AZ,column(t1),0)*e385</f>
        <v>0</v>
      </c>
      <c r="V385">
        <f>vlookup("921-000000-200",B:AZ,column(u1),0)*e385</f>
        <v>0</v>
      </c>
      <c r="W385">
        <f>vlookup("921-000000-200",B:AZ,column(v1),0)*e385</f>
        <v>0</v>
      </c>
      <c r="X385">
        <f>vlookup("921-000000-200",B:AZ,column(w1),0)*e385</f>
        <v>0</v>
      </c>
      <c r="Y385">
        <f>vlookup("921-000000-200",B:AZ,column(x1),0)*e385</f>
        <v>0</v>
      </c>
      <c r="Z385">
        <f>vlookup("921-000000-200",B:AZ,column(y1),0)*e385</f>
        <v>0</v>
      </c>
      <c r="AA385">
        <f>vlookup("921-000000-200",B:AZ,column(z1),0)*e385</f>
        <v>0</v>
      </c>
      <c r="AB385">
        <f>vlookup("921-000000-200",B:AZ,column(aa1),0)*e385</f>
        <v>0</v>
      </c>
      <c r="AC385">
        <f>vlookup("921-000000-200",B:AZ,column(ab1),0)*e385</f>
        <v>0</v>
      </c>
      <c r="AD385">
        <f>vlookup("921-000000-200",B:AZ,column(ac1),0)*e385</f>
        <v>0</v>
      </c>
      <c r="AE385">
        <f>vlookup("921-000000-200",B:AZ,column(ad1),0)*e385</f>
        <v>0</v>
      </c>
      <c r="AF385">
        <f>vlookup("921-000000-200",B:AZ,column(ae1),0)*e385</f>
        <v>0</v>
      </c>
      <c r="AG385">
        <f>vlookup("921-000000-200",B:AZ,column(af1),0)*e385</f>
        <v>0</v>
      </c>
      <c r="AH385">
        <f>vlookup("921-000000-200",B:AZ,column(ag1),0)*e385</f>
        <v>0</v>
      </c>
      <c r="AI385">
        <f>vlookup("921-000000-200",B:AZ,column(ah1),0)*e385</f>
        <v>0</v>
      </c>
      <c r="AJ385">
        <f>vlookup("921-000000-200",B:AZ,column(ai1),0)*e385</f>
        <v>0</v>
      </c>
      <c r="AK385">
        <f>vlookup("921-000000-200",B:AZ,column(aj1),0)*e385</f>
        <v>0</v>
      </c>
      <c r="AL385">
        <f>vlookup("921-000000-200",B:AZ,column(ak1),0)*e385</f>
        <v>0</v>
      </c>
      <c r="AM385">
        <f>vlookup("921-000000-200",B:AZ,column(al1),0)*e385</f>
        <v>0</v>
      </c>
      <c r="AN385">
        <f>vlookup("921-000000-200",B:AZ,column(am1),0)*e385</f>
        <v>0</v>
      </c>
      <c r="AO385">
        <f>vlookup("921-000000-200",B:AZ,column(an1),0)*e385</f>
        <v>0</v>
      </c>
    </row>
    <row r="386" spans="1:41">
      <c r="A386" t="s">
        <v>17</v>
      </c>
      <c r="B386" t="s">
        <v>403</v>
      </c>
      <c r="C386" t="s">
        <v>404</v>
      </c>
      <c r="E386">
        <v>1</v>
      </c>
      <c r="F386" t="s">
        <v>13</v>
      </c>
      <c r="I386" t="s">
        <v>15</v>
      </c>
      <c r="J386">
        <f>vlookup("921-000000-200",B:AZ,column(i1),0)*e386</f>
        <v>0</v>
      </c>
      <c r="K386">
        <f>vlookup("921-000000-200",B:AZ,column(j1),0)*e386</f>
        <v>0</v>
      </c>
      <c r="L386">
        <f>vlookup("921-000000-200",B:AZ,column(k1),0)*e386</f>
        <v>0</v>
      </c>
      <c r="M386">
        <f>vlookup("921-000000-200",B:AZ,column(l1),0)*e386</f>
        <v>0</v>
      </c>
      <c r="N386">
        <f>vlookup("921-000000-200",B:AZ,column(m1),0)*e386</f>
        <v>0</v>
      </c>
      <c r="O386">
        <f>vlookup("921-000000-200",B:AZ,column(n1),0)*e386</f>
        <v>0</v>
      </c>
      <c r="P386">
        <f>vlookup("921-000000-200",B:AZ,column(o1),0)*e386</f>
        <v>0</v>
      </c>
      <c r="Q386">
        <f>vlookup("921-000000-200",B:AZ,column(p1),0)*e386</f>
        <v>0</v>
      </c>
      <c r="R386">
        <f>vlookup("921-000000-200",B:AZ,column(q1),0)*e386</f>
        <v>0</v>
      </c>
      <c r="S386">
        <f>vlookup("921-000000-200",B:AZ,column(r1),0)*e386</f>
        <v>0</v>
      </c>
      <c r="T386">
        <f>vlookup("921-000000-200",B:AZ,column(s1),0)*e386</f>
        <v>0</v>
      </c>
      <c r="U386">
        <f>vlookup("921-000000-200",B:AZ,column(t1),0)*e386</f>
        <v>0</v>
      </c>
      <c r="V386">
        <f>vlookup("921-000000-200",B:AZ,column(u1),0)*e386</f>
        <v>0</v>
      </c>
      <c r="W386">
        <f>vlookup("921-000000-200",B:AZ,column(v1),0)*e386</f>
        <v>0</v>
      </c>
      <c r="X386">
        <f>vlookup("921-000000-200",B:AZ,column(w1),0)*e386</f>
        <v>0</v>
      </c>
      <c r="Y386">
        <f>vlookup("921-000000-200",B:AZ,column(x1),0)*e386</f>
        <v>0</v>
      </c>
      <c r="Z386">
        <f>vlookup("921-000000-200",B:AZ,column(y1),0)*e386</f>
        <v>0</v>
      </c>
      <c r="AA386">
        <f>vlookup("921-000000-200",B:AZ,column(z1),0)*e386</f>
        <v>0</v>
      </c>
      <c r="AB386">
        <f>vlookup("921-000000-200",B:AZ,column(aa1),0)*e386</f>
        <v>0</v>
      </c>
      <c r="AC386">
        <f>vlookup("921-000000-200",B:AZ,column(ab1),0)*e386</f>
        <v>0</v>
      </c>
      <c r="AD386">
        <f>vlookup("921-000000-200",B:AZ,column(ac1),0)*e386</f>
        <v>0</v>
      </c>
      <c r="AE386">
        <f>vlookup("921-000000-200",B:AZ,column(ad1),0)*e386</f>
        <v>0</v>
      </c>
      <c r="AF386">
        <f>vlookup("921-000000-200",B:AZ,column(ae1),0)*e386</f>
        <v>0</v>
      </c>
      <c r="AG386">
        <f>vlookup("921-000000-200",B:AZ,column(af1),0)*e386</f>
        <v>0</v>
      </c>
      <c r="AH386">
        <f>vlookup("921-000000-200",B:AZ,column(ag1),0)*e386</f>
        <v>0</v>
      </c>
      <c r="AI386">
        <f>vlookup("921-000000-200",B:AZ,column(ah1),0)*e386</f>
        <v>0</v>
      </c>
      <c r="AJ386">
        <f>vlookup("921-000000-200",B:AZ,column(ai1),0)*e386</f>
        <v>0</v>
      </c>
      <c r="AK386">
        <f>vlookup("921-000000-200",B:AZ,column(aj1),0)*e386</f>
        <v>0</v>
      </c>
      <c r="AL386">
        <f>vlookup("921-000000-200",B:AZ,column(ak1),0)*e386</f>
        <v>0</v>
      </c>
      <c r="AM386">
        <f>vlookup("921-000000-200",B:AZ,column(al1),0)*e386</f>
        <v>0</v>
      </c>
      <c r="AN386">
        <f>vlookup("921-000000-200",B:AZ,column(am1),0)*e386</f>
        <v>0</v>
      </c>
      <c r="AO386">
        <f>vlookup("921-000000-200",B:AZ,column(an1),0)*e386</f>
        <v>0</v>
      </c>
    </row>
    <row r="387" spans="1:41">
      <c r="A387" t="s">
        <v>17</v>
      </c>
      <c r="B387" t="s">
        <v>369</v>
      </c>
      <c r="C387" t="s">
        <v>370</v>
      </c>
      <c r="E387">
        <v>1</v>
      </c>
      <c r="F387" t="s">
        <v>13</v>
      </c>
      <c r="I387" t="s">
        <v>15</v>
      </c>
      <c r="J387">
        <f>vlookup("921-000000-200",B:AZ,column(i1),0)*e387</f>
        <v>0</v>
      </c>
      <c r="K387">
        <f>vlookup("921-000000-200",B:AZ,column(j1),0)*e387</f>
        <v>0</v>
      </c>
      <c r="L387">
        <f>vlookup("921-000000-200",B:AZ,column(k1),0)*e387</f>
        <v>0</v>
      </c>
      <c r="M387">
        <f>vlookup("921-000000-200",B:AZ,column(l1),0)*e387</f>
        <v>0</v>
      </c>
      <c r="N387">
        <f>vlookup("921-000000-200",B:AZ,column(m1),0)*e387</f>
        <v>0</v>
      </c>
      <c r="O387">
        <f>vlookup("921-000000-200",B:AZ,column(n1),0)*e387</f>
        <v>0</v>
      </c>
      <c r="P387">
        <f>vlookup("921-000000-200",B:AZ,column(o1),0)*e387</f>
        <v>0</v>
      </c>
      <c r="Q387">
        <f>vlookup("921-000000-200",B:AZ,column(p1),0)*e387</f>
        <v>0</v>
      </c>
      <c r="R387">
        <f>vlookup("921-000000-200",B:AZ,column(q1),0)*e387</f>
        <v>0</v>
      </c>
      <c r="S387">
        <f>vlookup("921-000000-200",B:AZ,column(r1),0)*e387</f>
        <v>0</v>
      </c>
      <c r="T387">
        <f>vlookup("921-000000-200",B:AZ,column(s1),0)*e387</f>
        <v>0</v>
      </c>
      <c r="U387">
        <f>vlookup("921-000000-200",B:AZ,column(t1),0)*e387</f>
        <v>0</v>
      </c>
      <c r="V387">
        <f>vlookup("921-000000-200",B:AZ,column(u1),0)*e387</f>
        <v>0</v>
      </c>
      <c r="W387">
        <f>vlookup("921-000000-200",B:AZ,column(v1),0)*e387</f>
        <v>0</v>
      </c>
      <c r="X387">
        <f>vlookup("921-000000-200",B:AZ,column(w1),0)*e387</f>
        <v>0</v>
      </c>
      <c r="Y387">
        <f>vlookup("921-000000-200",B:AZ,column(x1),0)*e387</f>
        <v>0</v>
      </c>
      <c r="Z387">
        <f>vlookup("921-000000-200",B:AZ,column(y1),0)*e387</f>
        <v>0</v>
      </c>
      <c r="AA387">
        <f>vlookup("921-000000-200",B:AZ,column(z1),0)*e387</f>
        <v>0</v>
      </c>
      <c r="AB387">
        <f>vlookup("921-000000-200",B:AZ,column(aa1),0)*e387</f>
        <v>0</v>
      </c>
      <c r="AC387">
        <f>vlookup("921-000000-200",B:AZ,column(ab1),0)*e387</f>
        <v>0</v>
      </c>
      <c r="AD387">
        <f>vlookup("921-000000-200",B:AZ,column(ac1),0)*e387</f>
        <v>0</v>
      </c>
      <c r="AE387">
        <f>vlookup("921-000000-200",B:AZ,column(ad1),0)*e387</f>
        <v>0</v>
      </c>
      <c r="AF387">
        <f>vlookup("921-000000-200",B:AZ,column(ae1),0)*e387</f>
        <v>0</v>
      </c>
      <c r="AG387">
        <f>vlookup("921-000000-200",B:AZ,column(af1),0)*e387</f>
        <v>0</v>
      </c>
      <c r="AH387">
        <f>vlookup("921-000000-200",B:AZ,column(ag1),0)*e387</f>
        <v>0</v>
      </c>
      <c r="AI387">
        <f>vlookup("921-000000-200",B:AZ,column(ah1),0)*e387</f>
        <v>0</v>
      </c>
      <c r="AJ387">
        <f>vlookup("921-000000-200",B:AZ,column(ai1),0)*e387</f>
        <v>0</v>
      </c>
      <c r="AK387">
        <f>vlookup("921-000000-200",B:AZ,column(aj1),0)*e387</f>
        <v>0</v>
      </c>
      <c r="AL387">
        <f>vlookup("921-000000-200",B:AZ,column(ak1),0)*e387</f>
        <v>0</v>
      </c>
      <c r="AM387">
        <f>vlookup("921-000000-200",B:AZ,column(al1),0)*e387</f>
        <v>0</v>
      </c>
      <c r="AN387">
        <f>vlookup("921-000000-200",B:AZ,column(am1),0)*e387</f>
        <v>0</v>
      </c>
      <c r="AO387">
        <f>vlookup("921-000000-200",B:AZ,column(an1),0)*e387</f>
        <v>0</v>
      </c>
    </row>
    <row r="388" spans="1:41">
      <c r="A388" t="s">
        <v>22</v>
      </c>
      <c r="B388" t="s">
        <v>371</v>
      </c>
      <c r="C388" t="s">
        <v>372</v>
      </c>
      <c r="E388">
        <v>2</v>
      </c>
      <c r="F388" t="s">
        <v>13</v>
      </c>
      <c r="I388" t="s">
        <v>15</v>
      </c>
      <c r="J388">
        <f>vlookup("921-000000-200",B:AZ,column(i1),0)*e388</f>
        <v>0</v>
      </c>
      <c r="K388">
        <f>vlookup("921-000000-200",B:AZ,column(j1),0)*e388</f>
        <v>0</v>
      </c>
      <c r="L388">
        <f>vlookup("921-000000-200",B:AZ,column(k1),0)*e388</f>
        <v>0</v>
      </c>
      <c r="M388">
        <f>vlookup("921-000000-200",B:AZ,column(l1),0)*e388</f>
        <v>0</v>
      </c>
      <c r="N388">
        <f>vlookup("921-000000-200",B:AZ,column(m1),0)*e388</f>
        <v>0</v>
      </c>
      <c r="O388">
        <f>vlookup("921-000000-200",B:AZ,column(n1),0)*e388</f>
        <v>0</v>
      </c>
      <c r="P388">
        <f>vlookup("921-000000-200",B:AZ,column(o1),0)*e388</f>
        <v>0</v>
      </c>
      <c r="Q388">
        <f>vlookup("921-000000-200",B:AZ,column(p1),0)*e388</f>
        <v>0</v>
      </c>
      <c r="R388">
        <f>vlookup("921-000000-200",B:AZ,column(q1),0)*e388</f>
        <v>0</v>
      </c>
      <c r="S388">
        <f>vlookup("921-000000-200",B:AZ,column(r1),0)*e388</f>
        <v>0</v>
      </c>
      <c r="T388">
        <f>vlookup("921-000000-200",B:AZ,column(s1),0)*e388</f>
        <v>0</v>
      </c>
      <c r="U388">
        <f>vlookup("921-000000-200",B:AZ,column(t1),0)*e388</f>
        <v>0</v>
      </c>
      <c r="V388">
        <f>vlookup("921-000000-200",B:AZ,column(u1),0)*e388</f>
        <v>0</v>
      </c>
      <c r="W388">
        <f>vlookup("921-000000-200",B:AZ,column(v1),0)*e388</f>
        <v>0</v>
      </c>
      <c r="X388">
        <f>vlookup("921-000000-200",B:AZ,column(w1),0)*e388</f>
        <v>0</v>
      </c>
      <c r="Y388">
        <f>vlookup("921-000000-200",B:AZ,column(x1),0)*e388</f>
        <v>0</v>
      </c>
      <c r="Z388">
        <f>vlookup("921-000000-200",B:AZ,column(y1),0)*e388</f>
        <v>0</v>
      </c>
      <c r="AA388">
        <f>vlookup("921-000000-200",B:AZ,column(z1),0)*e388</f>
        <v>0</v>
      </c>
      <c r="AB388">
        <f>vlookup("921-000000-200",B:AZ,column(aa1),0)*e388</f>
        <v>0</v>
      </c>
      <c r="AC388">
        <f>vlookup("921-000000-200",B:AZ,column(ab1),0)*e388</f>
        <v>0</v>
      </c>
      <c r="AD388">
        <f>vlookup("921-000000-200",B:AZ,column(ac1),0)*e388</f>
        <v>0</v>
      </c>
      <c r="AE388">
        <f>vlookup("921-000000-200",B:AZ,column(ad1),0)*e388</f>
        <v>0</v>
      </c>
      <c r="AF388">
        <f>vlookup("921-000000-200",B:AZ,column(ae1),0)*e388</f>
        <v>0</v>
      </c>
      <c r="AG388">
        <f>vlookup("921-000000-200",B:AZ,column(af1),0)*e388</f>
        <v>0</v>
      </c>
      <c r="AH388">
        <f>vlookup("921-000000-200",B:AZ,column(ag1),0)*e388</f>
        <v>0</v>
      </c>
      <c r="AI388">
        <f>vlookup("921-000000-200",B:AZ,column(ah1),0)*e388</f>
        <v>0</v>
      </c>
      <c r="AJ388">
        <f>vlookup("921-000000-200",B:AZ,column(ai1),0)*e388</f>
        <v>0</v>
      </c>
      <c r="AK388">
        <f>vlookup("921-000000-200",B:AZ,column(aj1),0)*e388</f>
        <v>0</v>
      </c>
      <c r="AL388">
        <f>vlookup("921-000000-200",B:AZ,column(ak1),0)*e388</f>
        <v>0</v>
      </c>
      <c r="AM388">
        <f>vlookup("921-000000-200",B:AZ,column(al1),0)*e388</f>
        <v>0</v>
      </c>
      <c r="AN388">
        <f>vlookup("921-000000-200",B:AZ,column(am1),0)*e388</f>
        <v>0</v>
      </c>
      <c r="AO388">
        <f>vlookup("921-000000-200",B:AZ,column(an1),0)*e388</f>
        <v>0</v>
      </c>
    </row>
    <row r="389" spans="1:41">
      <c r="A389" t="s">
        <v>22</v>
      </c>
      <c r="B389" t="s">
        <v>373</v>
      </c>
      <c r="C389" t="s">
        <v>374</v>
      </c>
      <c r="E389">
        <v>1</v>
      </c>
      <c r="F389" t="s">
        <v>13</v>
      </c>
      <c r="I389" t="s">
        <v>15</v>
      </c>
      <c r="J389">
        <f>vlookup("921-000000-200",B:AZ,column(i1),0)*e389</f>
        <v>0</v>
      </c>
      <c r="K389">
        <f>vlookup("921-000000-200",B:AZ,column(j1),0)*e389</f>
        <v>0</v>
      </c>
      <c r="L389">
        <f>vlookup("921-000000-200",B:AZ,column(k1),0)*e389</f>
        <v>0</v>
      </c>
      <c r="M389">
        <f>vlookup("921-000000-200",B:AZ,column(l1),0)*e389</f>
        <v>0</v>
      </c>
      <c r="N389">
        <f>vlookup("921-000000-200",B:AZ,column(m1),0)*e389</f>
        <v>0</v>
      </c>
      <c r="O389">
        <f>vlookup("921-000000-200",B:AZ,column(n1),0)*e389</f>
        <v>0</v>
      </c>
      <c r="P389">
        <f>vlookup("921-000000-200",B:AZ,column(o1),0)*e389</f>
        <v>0</v>
      </c>
      <c r="Q389">
        <f>vlookup("921-000000-200",B:AZ,column(p1),0)*e389</f>
        <v>0</v>
      </c>
      <c r="R389">
        <f>vlookup("921-000000-200",B:AZ,column(q1),0)*e389</f>
        <v>0</v>
      </c>
      <c r="S389">
        <f>vlookup("921-000000-200",B:AZ,column(r1),0)*e389</f>
        <v>0</v>
      </c>
      <c r="T389">
        <f>vlookup("921-000000-200",B:AZ,column(s1),0)*e389</f>
        <v>0</v>
      </c>
      <c r="U389">
        <f>vlookup("921-000000-200",B:AZ,column(t1),0)*e389</f>
        <v>0</v>
      </c>
      <c r="V389">
        <f>vlookup("921-000000-200",B:AZ,column(u1),0)*e389</f>
        <v>0</v>
      </c>
      <c r="W389">
        <f>vlookup("921-000000-200",B:AZ,column(v1),0)*e389</f>
        <v>0</v>
      </c>
      <c r="X389">
        <f>vlookup("921-000000-200",B:AZ,column(w1),0)*e389</f>
        <v>0</v>
      </c>
      <c r="Y389">
        <f>vlookup("921-000000-200",B:AZ,column(x1),0)*e389</f>
        <v>0</v>
      </c>
      <c r="Z389">
        <f>vlookup("921-000000-200",B:AZ,column(y1),0)*e389</f>
        <v>0</v>
      </c>
      <c r="AA389">
        <f>vlookup("921-000000-200",B:AZ,column(z1),0)*e389</f>
        <v>0</v>
      </c>
      <c r="AB389">
        <f>vlookup("921-000000-200",B:AZ,column(aa1),0)*e389</f>
        <v>0</v>
      </c>
      <c r="AC389">
        <f>vlookup("921-000000-200",B:AZ,column(ab1),0)*e389</f>
        <v>0</v>
      </c>
      <c r="AD389">
        <f>vlookup("921-000000-200",B:AZ,column(ac1),0)*e389</f>
        <v>0</v>
      </c>
      <c r="AE389">
        <f>vlookup("921-000000-200",B:AZ,column(ad1),0)*e389</f>
        <v>0</v>
      </c>
      <c r="AF389">
        <f>vlookup("921-000000-200",B:AZ,column(ae1),0)*e389</f>
        <v>0</v>
      </c>
      <c r="AG389">
        <f>vlookup("921-000000-200",B:AZ,column(af1),0)*e389</f>
        <v>0</v>
      </c>
      <c r="AH389">
        <f>vlookup("921-000000-200",B:AZ,column(ag1),0)*e389</f>
        <v>0</v>
      </c>
      <c r="AI389">
        <f>vlookup("921-000000-200",B:AZ,column(ah1),0)*e389</f>
        <v>0</v>
      </c>
      <c r="AJ389">
        <f>vlookup("921-000000-200",B:AZ,column(ai1),0)*e389</f>
        <v>0</v>
      </c>
      <c r="AK389">
        <f>vlookup("921-000000-200",B:AZ,column(aj1),0)*e389</f>
        <v>0</v>
      </c>
      <c r="AL389">
        <f>vlookup("921-000000-200",B:AZ,column(ak1),0)*e389</f>
        <v>0</v>
      </c>
      <c r="AM389">
        <f>vlookup("921-000000-200",B:AZ,column(al1),0)*e389</f>
        <v>0</v>
      </c>
      <c r="AN389">
        <f>vlookup("921-000000-200",B:AZ,column(am1),0)*e389</f>
        <v>0</v>
      </c>
      <c r="AO389">
        <f>vlookup("921-000000-200",B:AZ,column(an1),0)*e389</f>
        <v>0</v>
      </c>
    </row>
    <row r="390" spans="1:41">
      <c r="A390" t="s">
        <v>22</v>
      </c>
      <c r="B390" t="s">
        <v>375</v>
      </c>
      <c r="C390" t="s">
        <v>376</v>
      </c>
      <c r="E390">
        <v>1</v>
      </c>
      <c r="F390" t="s">
        <v>13</v>
      </c>
      <c r="I390" t="s">
        <v>15</v>
      </c>
      <c r="J390">
        <f>vlookup("921-000000-200",B:AZ,column(i1),0)*e390</f>
        <v>0</v>
      </c>
      <c r="K390">
        <f>vlookup("921-000000-200",B:AZ,column(j1),0)*e390</f>
        <v>0</v>
      </c>
      <c r="L390">
        <f>vlookup("921-000000-200",B:AZ,column(k1),0)*e390</f>
        <v>0</v>
      </c>
      <c r="M390">
        <f>vlookup("921-000000-200",B:AZ,column(l1),0)*e390</f>
        <v>0</v>
      </c>
      <c r="N390">
        <f>vlookup("921-000000-200",B:AZ,column(m1),0)*e390</f>
        <v>0</v>
      </c>
      <c r="O390">
        <f>vlookup("921-000000-200",B:AZ,column(n1),0)*e390</f>
        <v>0</v>
      </c>
      <c r="P390">
        <f>vlookup("921-000000-200",B:AZ,column(o1),0)*e390</f>
        <v>0</v>
      </c>
      <c r="Q390">
        <f>vlookup("921-000000-200",B:AZ,column(p1),0)*e390</f>
        <v>0</v>
      </c>
      <c r="R390">
        <f>vlookup("921-000000-200",B:AZ,column(q1),0)*e390</f>
        <v>0</v>
      </c>
      <c r="S390">
        <f>vlookup("921-000000-200",B:AZ,column(r1),0)*e390</f>
        <v>0</v>
      </c>
      <c r="T390">
        <f>vlookup("921-000000-200",B:AZ,column(s1),0)*e390</f>
        <v>0</v>
      </c>
      <c r="U390">
        <f>vlookup("921-000000-200",B:AZ,column(t1),0)*e390</f>
        <v>0</v>
      </c>
      <c r="V390">
        <f>vlookup("921-000000-200",B:AZ,column(u1),0)*e390</f>
        <v>0</v>
      </c>
      <c r="W390">
        <f>vlookup("921-000000-200",B:AZ,column(v1),0)*e390</f>
        <v>0</v>
      </c>
      <c r="X390">
        <f>vlookup("921-000000-200",B:AZ,column(w1),0)*e390</f>
        <v>0</v>
      </c>
      <c r="Y390">
        <f>vlookup("921-000000-200",B:AZ,column(x1),0)*e390</f>
        <v>0</v>
      </c>
      <c r="Z390">
        <f>vlookup("921-000000-200",B:AZ,column(y1),0)*e390</f>
        <v>0</v>
      </c>
      <c r="AA390">
        <f>vlookup("921-000000-200",B:AZ,column(z1),0)*e390</f>
        <v>0</v>
      </c>
      <c r="AB390">
        <f>vlookup("921-000000-200",B:AZ,column(aa1),0)*e390</f>
        <v>0</v>
      </c>
      <c r="AC390">
        <f>vlookup("921-000000-200",B:AZ,column(ab1),0)*e390</f>
        <v>0</v>
      </c>
      <c r="AD390">
        <f>vlookup("921-000000-200",B:AZ,column(ac1),0)*e390</f>
        <v>0</v>
      </c>
      <c r="AE390">
        <f>vlookup("921-000000-200",B:AZ,column(ad1),0)*e390</f>
        <v>0</v>
      </c>
      <c r="AF390">
        <f>vlookup("921-000000-200",B:AZ,column(ae1),0)*e390</f>
        <v>0</v>
      </c>
      <c r="AG390">
        <f>vlookup("921-000000-200",B:AZ,column(af1),0)*e390</f>
        <v>0</v>
      </c>
      <c r="AH390">
        <f>vlookup("921-000000-200",B:AZ,column(ag1),0)*e390</f>
        <v>0</v>
      </c>
      <c r="AI390">
        <f>vlookup("921-000000-200",B:AZ,column(ah1),0)*e390</f>
        <v>0</v>
      </c>
      <c r="AJ390">
        <f>vlookup("921-000000-200",B:AZ,column(ai1),0)*e390</f>
        <v>0</v>
      </c>
      <c r="AK390">
        <f>vlookup("921-000000-200",B:AZ,column(aj1),0)*e390</f>
        <v>0</v>
      </c>
      <c r="AL390">
        <f>vlookup("921-000000-200",B:AZ,column(ak1),0)*e390</f>
        <v>0</v>
      </c>
      <c r="AM390">
        <f>vlookup("921-000000-200",B:AZ,column(al1),0)*e390</f>
        <v>0</v>
      </c>
      <c r="AN390">
        <f>vlookup("921-000000-200",B:AZ,column(am1),0)*e390</f>
        <v>0</v>
      </c>
      <c r="AO390">
        <f>vlookup("921-000000-200",B:AZ,column(an1),0)*e390</f>
        <v>0</v>
      </c>
    </row>
    <row r="391" spans="1:41">
      <c r="A391" t="s">
        <v>22</v>
      </c>
      <c r="B391" t="s">
        <v>377</v>
      </c>
      <c r="C391" t="s">
        <v>378</v>
      </c>
      <c r="E391">
        <v>1</v>
      </c>
      <c r="F391" t="s">
        <v>13</v>
      </c>
      <c r="I391" t="s">
        <v>15</v>
      </c>
      <c r="J391">
        <f>vlookup("921-000000-200",B:AZ,column(i1),0)*e391</f>
        <v>0</v>
      </c>
      <c r="K391">
        <f>vlookup("921-000000-200",B:AZ,column(j1),0)*e391</f>
        <v>0</v>
      </c>
      <c r="L391">
        <f>vlookup("921-000000-200",B:AZ,column(k1),0)*e391</f>
        <v>0</v>
      </c>
      <c r="M391">
        <f>vlookup("921-000000-200",B:AZ,column(l1),0)*e391</f>
        <v>0</v>
      </c>
      <c r="N391">
        <f>vlookup("921-000000-200",B:AZ,column(m1),0)*e391</f>
        <v>0</v>
      </c>
      <c r="O391">
        <f>vlookup("921-000000-200",B:AZ,column(n1),0)*e391</f>
        <v>0</v>
      </c>
      <c r="P391">
        <f>vlookup("921-000000-200",B:AZ,column(o1),0)*e391</f>
        <v>0</v>
      </c>
      <c r="Q391">
        <f>vlookup("921-000000-200",B:AZ,column(p1),0)*e391</f>
        <v>0</v>
      </c>
      <c r="R391">
        <f>vlookup("921-000000-200",B:AZ,column(q1),0)*e391</f>
        <v>0</v>
      </c>
      <c r="S391">
        <f>vlookup("921-000000-200",B:AZ,column(r1),0)*e391</f>
        <v>0</v>
      </c>
      <c r="T391">
        <f>vlookup("921-000000-200",B:AZ,column(s1),0)*e391</f>
        <v>0</v>
      </c>
      <c r="U391">
        <f>vlookup("921-000000-200",B:AZ,column(t1),0)*e391</f>
        <v>0</v>
      </c>
      <c r="V391">
        <f>vlookup("921-000000-200",B:AZ,column(u1),0)*e391</f>
        <v>0</v>
      </c>
      <c r="W391">
        <f>vlookup("921-000000-200",B:AZ,column(v1),0)*e391</f>
        <v>0</v>
      </c>
      <c r="X391">
        <f>vlookup("921-000000-200",B:AZ,column(w1),0)*e391</f>
        <v>0</v>
      </c>
      <c r="Y391">
        <f>vlookup("921-000000-200",B:AZ,column(x1),0)*e391</f>
        <v>0</v>
      </c>
      <c r="Z391">
        <f>vlookup("921-000000-200",B:AZ,column(y1),0)*e391</f>
        <v>0</v>
      </c>
      <c r="AA391">
        <f>vlookup("921-000000-200",B:AZ,column(z1),0)*e391</f>
        <v>0</v>
      </c>
      <c r="AB391">
        <f>vlookup("921-000000-200",B:AZ,column(aa1),0)*e391</f>
        <v>0</v>
      </c>
      <c r="AC391">
        <f>vlookup("921-000000-200",B:AZ,column(ab1),0)*e391</f>
        <v>0</v>
      </c>
      <c r="AD391">
        <f>vlookup("921-000000-200",B:AZ,column(ac1),0)*e391</f>
        <v>0</v>
      </c>
      <c r="AE391">
        <f>vlookup("921-000000-200",B:AZ,column(ad1),0)*e391</f>
        <v>0</v>
      </c>
      <c r="AF391">
        <f>vlookup("921-000000-200",B:AZ,column(ae1),0)*e391</f>
        <v>0</v>
      </c>
      <c r="AG391">
        <f>vlookup("921-000000-200",B:AZ,column(af1),0)*e391</f>
        <v>0</v>
      </c>
      <c r="AH391">
        <f>vlookup("921-000000-200",B:AZ,column(ag1),0)*e391</f>
        <v>0</v>
      </c>
      <c r="AI391">
        <f>vlookup("921-000000-200",B:AZ,column(ah1),0)*e391</f>
        <v>0</v>
      </c>
      <c r="AJ391">
        <f>vlookup("921-000000-200",B:AZ,column(ai1),0)*e391</f>
        <v>0</v>
      </c>
      <c r="AK391">
        <f>vlookup("921-000000-200",B:AZ,column(aj1),0)*e391</f>
        <v>0</v>
      </c>
      <c r="AL391">
        <f>vlookup("921-000000-200",B:AZ,column(ak1),0)*e391</f>
        <v>0</v>
      </c>
      <c r="AM391">
        <f>vlookup("921-000000-200",B:AZ,column(al1),0)*e391</f>
        <v>0</v>
      </c>
      <c r="AN391">
        <f>vlookup("921-000000-200",B:AZ,column(am1),0)*e391</f>
        <v>0</v>
      </c>
      <c r="AO391">
        <f>vlookup("921-000000-200",B:AZ,column(an1),0)*e391</f>
        <v>0</v>
      </c>
    </row>
    <row r="392" spans="1:41">
      <c r="A392" t="s">
        <v>22</v>
      </c>
      <c r="B392" t="s">
        <v>379</v>
      </c>
      <c r="C392" t="s">
        <v>380</v>
      </c>
      <c r="E392">
        <v>1</v>
      </c>
      <c r="F392" t="s">
        <v>13</v>
      </c>
      <c r="I392" t="s">
        <v>15</v>
      </c>
      <c r="J392">
        <f>vlookup("921-000000-200",B:AZ,column(i1),0)*e392</f>
        <v>0</v>
      </c>
      <c r="K392">
        <f>vlookup("921-000000-200",B:AZ,column(j1),0)*e392</f>
        <v>0</v>
      </c>
      <c r="L392">
        <f>vlookup("921-000000-200",B:AZ,column(k1),0)*e392</f>
        <v>0</v>
      </c>
      <c r="M392">
        <f>vlookup("921-000000-200",B:AZ,column(l1),0)*e392</f>
        <v>0</v>
      </c>
      <c r="N392">
        <f>vlookup("921-000000-200",B:AZ,column(m1),0)*e392</f>
        <v>0</v>
      </c>
      <c r="O392">
        <f>vlookup("921-000000-200",B:AZ,column(n1),0)*e392</f>
        <v>0</v>
      </c>
      <c r="P392">
        <f>vlookup("921-000000-200",B:AZ,column(o1),0)*e392</f>
        <v>0</v>
      </c>
      <c r="Q392">
        <f>vlookup("921-000000-200",B:AZ,column(p1),0)*e392</f>
        <v>0</v>
      </c>
      <c r="R392">
        <f>vlookup("921-000000-200",B:AZ,column(q1),0)*e392</f>
        <v>0</v>
      </c>
      <c r="S392">
        <f>vlookup("921-000000-200",B:AZ,column(r1),0)*e392</f>
        <v>0</v>
      </c>
      <c r="T392">
        <f>vlookup("921-000000-200",B:AZ,column(s1),0)*e392</f>
        <v>0</v>
      </c>
      <c r="U392">
        <f>vlookup("921-000000-200",B:AZ,column(t1),0)*e392</f>
        <v>0</v>
      </c>
      <c r="V392">
        <f>vlookup("921-000000-200",B:AZ,column(u1),0)*e392</f>
        <v>0</v>
      </c>
      <c r="W392">
        <f>vlookup("921-000000-200",B:AZ,column(v1),0)*e392</f>
        <v>0</v>
      </c>
      <c r="X392">
        <f>vlookup("921-000000-200",B:AZ,column(w1),0)*e392</f>
        <v>0</v>
      </c>
      <c r="Y392">
        <f>vlookup("921-000000-200",B:AZ,column(x1),0)*e392</f>
        <v>0</v>
      </c>
      <c r="Z392">
        <f>vlookup("921-000000-200",B:AZ,column(y1),0)*e392</f>
        <v>0</v>
      </c>
      <c r="AA392">
        <f>vlookup("921-000000-200",B:AZ,column(z1),0)*e392</f>
        <v>0</v>
      </c>
      <c r="AB392">
        <f>vlookup("921-000000-200",B:AZ,column(aa1),0)*e392</f>
        <v>0</v>
      </c>
      <c r="AC392">
        <f>vlookup("921-000000-200",B:AZ,column(ab1),0)*e392</f>
        <v>0</v>
      </c>
      <c r="AD392">
        <f>vlookup("921-000000-200",B:AZ,column(ac1),0)*e392</f>
        <v>0</v>
      </c>
      <c r="AE392">
        <f>vlookup("921-000000-200",B:AZ,column(ad1),0)*e392</f>
        <v>0</v>
      </c>
      <c r="AF392">
        <f>vlookup("921-000000-200",B:AZ,column(ae1),0)*e392</f>
        <v>0</v>
      </c>
      <c r="AG392">
        <f>vlookup("921-000000-200",B:AZ,column(af1),0)*e392</f>
        <v>0</v>
      </c>
      <c r="AH392">
        <f>vlookup("921-000000-200",B:AZ,column(ag1),0)*e392</f>
        <v>0</v>
      </c>
      <c r="AI392">
        <f>vlookup("921-000000-200",B:AZ,column(ah1),0)*e392</f>
        <v>0</v>
      </c>
      <c r="AJ392">
        <f>vlookup("921-000000-200",B:AZ,column(ai1),0)*e392</f>
        <v>0</v>
      </c>
      <c r="AK392">
        <f>vlookup("921-000000-200",B:AZ,column(aj1),0)*e392</f>
        <v>0</v>
      </c>
      <c r="AL392">
        <f>vlookup("921-000000-200",B:AZ,column(ak1),0)*e392</f>
        <v>0</v>
      </c>
      <c r="AM392">
        <f>vlookup("921-000000-200",B:AZ,column(al1),0)*e392</f>
        <v>0</v>
      </c>
      <c r="AN392">
        <f>vlookup("921-000000-200",B:AZ,column(am1),0)*e392</f>
        <v>0</v>
      </c>
      <c r="AO392">
        <f>vlookup("921-000000-200",B:AZ,column(an1),0)*e392</f>
        <v>0</v>
      </c>
    </row>
    <row r="393" spans="1:41">
      <c r="A393" t="s">
        <v>22</v>
      </c>
      <c r="B393" t="s">
        <v>405</v>
      </c>
      <c r="C393" t="s">
        <v>406</v>
      </c>
      <c r="E393">
        <v>1</v>
      </c>
      <c r="F393" t="s">
        <v>13</v>
      </c>
      <c r="I393" t="s">
        <v>15</v>
      </c>
      <c r="J393">
        <f>vlookup("921-000000-200",B:AZ,column(i1),0)*e393</f>
        <v>0</v>
      </c>
      <c r="K393">
        <f>vlookup("921-000000-200",B:AZ,column(j1),0)*e393</f>
        <v>0</v>
      </c>
      <c r="L393">
        <f>vlookup("921-000000-200",B:AZ,column(k1),0)*e393</f>
        <v>0</v>
      </c>
      <c r="M393">
        <f>vlookup("921-000000-200",B:AZ,column(l1),0)*e393</f>
        <v>0</v>
      </c>
      <c r="N393">
        <f>vlookup("921-000000-200",B:AZ,column(m1),0)*e393</f>
        <v>0</v>
      </c>
      <c r="O393">
        <f>vlookup("921-000000-200",B:AZ,column(n1),0)*e393</f>
        <v>0</v>
      </c>
      <c r="P393">
        <f>vlookup("921-000000-200",B:AZ,column(o1),0)*e393</f>
        <v>0</v>
      </c>
      <c r="Q393">
        <f>vlookup("921-000000-200",B:AZ,column(p1),0)*e393</f>
        <v>0</v>
      </c>
      <c r="R393">
        <f>vlookup("921-000000-200",B:AZ,column(q1),0)*e393</f>
        <v>0</v>
      </c>
      <c r="S393">
        <f>vlookup("921-000000-200",B:AZ,column(r1),0)*e393</f>
        <v>0</v>
      </c>
      <c r="T393">
        <f>vlookup("921-000000-200",B:AZ,column(s1),0)*e393</f>
        <v>0</v>
      </c>
      <c r="U393">
        <f>vlookup("921-000000-200",B:AZ,column(t1),0)*e393</f>
        <v>0</v>
      </c>
      <c r="V393">
        <f>vlookup("921-000000-200",B:AZ,column(u1),0)*e393</f>
        <v>0</v>
      </c>
      <c r="W393">
        <f>vlookup("921-000000-200",B:AZ,column(v1),0)*e393</f>
        <v>0</v>
      </c>
      <c r="X393">
        <f>vlookup("921-000000-200",B:AZ,column(w1),0)*e393</f>
        <v>0</v>
      </c>
      <c r="Y393">
        <f>vlookup("921-000000-200",B:AZ,column(x1),0)*e393</f>
        <v>0</v>
      </c>
      <c r="Z393">
        <f>vlookup("921-000000-200",B:AZ,column(y1),0)*e393</f>
        <v>0</v>
      </c>
      <c r="AA393">
        <f>vlookup("921-000000-200",B:AZ,column(z1),0)*e393</f>
        <v>0</v>
      </c>
      <c r="AB393">
        <f>vlookup("921-000000-200",B:AZ,column(aa1),0)*e393</f>
        <v>0</v>
      </c>
      <c r="AC393">
        <f>vlookup("921-000000-200",B:AZ,column(ab1),0)*e393</f>
        <v>0</v>
      </c>
      <c r="AD393">
        <f>vlookup("921-000000-200",B:AZ,column(ac1),0)*e393</f>
        <v>0</v>
      </c>
      <c r="AE393">
        <f>vlookup("921-000000-200",B:AZ,column(ad1),0)*e393</f>
        <v>0</v>
      </c>
      <c r="AF393">
        <f>vlookup("921-000000-200",B:AZ,column(ae1),0)*e393</f>
        <v>0</v>
      </c>
      <c r="AG393">
        <f>vlookup("921-000000-200",B:AZ,column(af1),0)*e393</f>
        <v>0</v>
      </c>
      <c r="AH393">
        <f>vlookup("921-000000-200",B:AZ,column(ag1),0)*e393</f>
        <v>0</v>
      </c>
      <c r="AI393">
        <f>vlookup("921-000000-200",B:AZ,column(ah1),0)*e393</f>
        <v>0</v>
      </c>
      <c r="AJ393">
        <f>vlookup("921-000000-200",B:AZ,column(ai1),0)*e393</f>
        <v>0</v>
      </c>
      <c r="AK393">
        <f>vlookup("921-000000-200",B:AZ,column(aj1),0)*e393</f>
        <v>0</v>
      </c>
      <c r="AL393">
        <f>vlookup("921-000000-200",B:AZ,column(ak1),0)*e393</f>
        <v>0</v>
      </c>
      <c r="AM393">
        <f>vlookup("921-000000-200",B:AZ,column(al1),0)*e393</f>
        <v>0</v>
      </c>
      <c r="AN393">
        <f>vlookup("921-000000-200",B:AZ,column(am1),0)*e393</f>
        <v>0</v>
      </c>
      <c r="AO393">
        <f>vlookup("921-000000-200",B:AZ,column(an1),0)*e393</f>
        <v>0</v>
      </c>
    </row>
    <row r="394" spans="1:41">
      <c r="A394" t="s">
        <v>22</v>
      </c>
      <c r="B394" t="s">
        <v>383</v>
      </c>
      <c r="C394" t="s">
        <v>384</v>
      </c>
      <c r="E394">
        <v>5</v>
      </c>
      <c r="F394" t="s">
        <v>13</v>
      </c>
      <c r="I394" t="s">
        <v>15</v>
      </c>
      <c r="J394">
        <f>vlookup("921-000000-200",B:AZ,column(i1),0)*e394</f>
        <v>0</v>
      </c>
      <c r="K394">
        <f>vlookup("921-000000-200",B:AZ,column(j1),0)*e394</f>
        <v>0</v>
      </c>
      <c r="L394">
        <f>vlookup("921-000000-200",B:AZ,column(k1),0)*e394</f>
        <v>0</v>
      </c>
      <c r="M394">
        <f>vlookup("921-000000-200",B:AZ,column(l1),0)*e394</f>
        <v>0</v>
      </c>
      <c r="N394">
        <f>vlookup("921-000000-200",B:AZ,column(m1),0)*e394</f>
        <v>0</v>
      </c>
      <c r="O394">
        <f>vlookup("921-000000-200",B:AZ,column(n1),0)*e394</f>
        <v>0</v>
      </c>
      <c r="P394">
        <f>vlookup("921-000000-200",B:AZ,column(o1),0)*e394</f>
        <v>0</v>
      </c>
      <c r="Q394">
        <f>vlookup("921-000000-200",B:AZ,column(p1),0)*e394</f>
        <v>0</v>
      </c>
      <c r="R394">
        <f>vlookup("921-000000-200",B:AZ,column(q1),0)*e394</f>
        <v>0</v>
      </c>
      <c r="S394">
        <f>vlookup("921-000000-200",B:AZ,column(r1),0)*e394</f>
        <v>0</v>
      </c>
      <c r="T394">
        <f>vlookup("921-000000-200",B:AZ,column(s1),0)*e394</f>
        <v>0</v>
      </c>
      <c r="U394">
        <f>vlookup("921-000000-200",B:AZ,column(t1),0)*e394</f>
        <v>0</v>
      </c>
      <c r="V394">
        <f>vlookup("921-000000-200",B:AZ,column(u1),0)*e394</f>
        <v>0</v>
      </c>
      <c r="W394">
        <f>vlookup("921-000000-200",B:AZ,column(v1),0)*e394</f>
        <v>0</v>
      </c>
      <c r="X394">
        <f>vlookup("921-000000-200",B:AZ,column(w1),0)*e394</f>
        <v>0</v>
      </c>
      <c r="Y394">
        <f>vlookup("921-000000-200",B:AZ,column(x1),0)*e394</f>
        <v>0</v>
      </c>
      <c r="Z394">
        <f>vlookup("921-000000-200",B:AZ,column(y1),0)*e394</f>
        <v>0</v>
      </c>
      <c r="AA394">
        <f>vlookup("921-000000-200",B:AZ,column(z1),0)*e394</f>
        <v>0</v>
      </c>
      <c r="AB394">
        <f>vlookup("921-000000-200",B:AZ,column(aa1),0)*e394</f>
        <v>0</v>
      </c>
      <c r="AC394">
        <f>vlookup("921-000000-200",B:AZ,column(ab1),0)*e394</f>
        <v>0</v>
      </c>
      <c r="AD394">
        <f>vlookup("921-000000-200",B:AZ,column(ac1),0)*e394</f>
        <v>0</v>
      </c>
      <c r="AE394">
        <f>vlookup("921-000000-200",B:AZ,column(ad1),0)*e394</f>
        <v>0</v>
      </c>
      <c r="AF394">
        <f>vlookup("921-000000-200",B:AZ,column(ae1),0)*e394</f>
        <v>0</v>
      </c>
      <c r="AG394">
        <f>vlookup("921-000000-200",B:AZ,column(af1),0)*e394</f>
        <v>0</v>
      </c>
      <c r="AH394">
        <f>vlookup("921-000000-200",B:AZ,column(ag1),0)*e394</f>
        <v>0</v>
      </c>
      <c r="AI394">
        <f>vlookup("921-000000-200",B:AZ,column(ah1),0)*e394</f>
        <v>0</v>
      </c>
      <c r="AJ394">
        <f>vlookup("921-000000-200",B:AZ,column(ai1),0)*e394</f>
        <v>0</v>
      </c>
      <c r="AK394">
        <f>vlookup("921-000000-200",B:AZ,column(aj1),0)*e394</f>
        <v>0</v>
      </c>
      <c r="AL394">
        <f>vlookup("921-000000-200",B:AZ,column(ak1),0)*e394</f>
        <v>0</v>
      </c>
      <c r="AM394">
        <f>vlookup("921-000000-200",B:AZ,column(al1),0)*e394</f>
        <v>0</v>
      </c>
      <c r="AN394">
        <f>vlookup("921-000000-200",B:AZ,column(am1),0)*e394</f>
        <v>0</v>
      </c>
      <c r="AO394">
        <f>vlookup("921-000000-200",B:AZ,column(an1),0)*e394</f>
        <v>0</v>
      </c>
    </row>
    <row r="395" spans="1:41">
      <c r="A395" t="s">
        <v>22</v>
      </c>
      <c r="B395" t="s">
        <v>345</v>
      </c>
      <c r="C395" t="s">
        <v>346</v>
      </c>
      <c r="E395">
        <v>1</v>
      </c>
      <c r="F395" t="s">
        <v>13</v>
      </c>
      <c r="I395" t="s">
        <v>15</v>
      </c>
      <c r="J395">
        <f>vlookup("921-000000-200",B:AZ,column(i1),0)*e395</f>
        <v>0</v>
      </c>
      <c r="K395">
        <f>vlookup("921-000000-200",B:AZ,column(j1),0)*e395</f>
        <v>0</v>
      </c>
      <c r="L395">
        <f>vlookup("921-000000-200",B:AZ,column(k1),0)*e395</f>
        <v>0</v>
      </c>
      <c r="M395">
        <f>vlookup("921-000000-200",B:AZ,column(l1),0)*e395</f>
        <v>0</v>
      </c>
      <c r="N395">
        <f>vlookup("921-000000-200",B:AZ,column(m1),0)*e395</f>
        <v>0</v>
      </c>
      <c r="O395">
        <f>vlookup("921-000000-200",B:AZ,column(n1),0)*e395</f>
        <v>0</v>
      </c>
      <c r="P395">
        <f>vlookup("921-000000-200",B:AZ,column(o1),0)*e395</f>
        <v>0</v>
      </c>
      <c r="Q395">
        <f>vlookup("921-000000-200",B:AZ,column(p1),0)*e395</f>
        <v>0</v>
      </c>
      <c r="R395">
        <f>vlookup("921-000000-200",B:AZ,column(q1),0)*e395</f>
        <v>0</v>
      </c>
      <c r="S395">
        <f>vlookup("921-000000-200",B:AZ,column(r1),0)*e395</f>
        <v>0</v>
      </c>
      <c r="T395">
        <f>vlookup("921-000000-200",B:AZ,column(s1),0)*e395</f>
        <v>0</v>
      </c>
      <c r="U395">
        <f>vlookup("921-000000-200",B:AZ,column(t1),0)*e395</f>
        <v>0</v>
      </c>
      <c r="V395">
        <f>vlookup("921-000000-200",B:AZ,column(u1),0)*e395</f>
        <v>0</v>
      </c>
      <c r="W395">
        <f>vlookup("921-000000-200",B:AZ,column(v1),0)*e395</f>
        <v>0</v>
      </c>
      <c r="X395">
        <f>vlookup("921-000000-200",B:AZ,column(w1),0)*e395</f>
        <v>0</v>
      </c>
      <c r="Y395">
        <f>vlookup("921-000000-200",B:AZ,column(x1),0)*e395</f>
        <v>0</v>
      </c>
      <c r="Z395">
        <f>vlookup("921-000000-200",B:AZ,column(y1),0)*e395</f>
        <v>0</v>
      </c>
      <c r="AA395">
        <f>vlookup("921-000000-200",B:AZ,column(z1),0)*e395</f>
        <v>0</v>
      </c>
      <c r="AB395">
        <f>vlookup("921-000000-200",B:AZ,column(aa1),0)*e395</f>
        <v>0</v>
      </c>
      <c r="AC395">
        <f>vlookup("921-000000-200",B:AZ,column(ab1),0)*e395</f>
        <v>0</v>
      </c>
      <c r="AD395">
        <f>vlookup("921-000000-200",B:AZ,column(ac1),0)*e395</f>
        <v>0</v>
      </c>
      <c r="AE395">
        <f>vlookup("921-000000-200",B:AZ,column(ad1),0)*e395</f>
        <v>0</v>
      </c>
      <c r="AF395">
        <f>vlookup("921-000000-200",B:AZ,column(ae1),0)*e395</f>
        <v>0</v>
      </c>
      <c r="AG395">
        <f>vlookup("921-000000-200",B:AZ,column(af1),0)*e395</f>
        <v>0</v>
      </c>
      <c r="AH395">
        <f>vlookup("921-000000-200",B:AZ,column(ag1),0)*e395</f>
        <v>0</v>
      </c>
      <c r="AI395">
        <f>vlookup("921-000000-200",B:AZ,column(ah1),0)*e395</f>
        <v>0</v>
      </c>
      <c r="AJ395">
        <f>vlookup("921-000000-200",B:AZ,column(ai1),0)*e395</f>
        <v>0</v>
      </c>
      <c r="AK395">
        <f>vlookup("921-000000-200",B:AZ,column(aj1),0)*e395</f>
        <v>0</v>
      </c>
      <c r="AL395">
        <f>vlookup("921-000000-200",B:AZ,column(ak1),0)*e395</f>
        <v>0</v>
      </c>
      <c r="AM395">
        <f>vlookup("921-000000-200",B:AZ,column(al1),0)*e395</f>
        <v>0</v>
      </c>
      <c r="AN395">
        <f>vlookup("921-000000-200",B:AZ,column(am1),0)*e395</f>
        <v>0</v>
      </c>
      <c r="AO395">
        <f>vlookup("921-000000-200",B:AZ,column(an1),0)*e395</f>
        <v>0</v>
      </c>
    </row>
    <row r="396" spans="1:41">
      <c r="A396" t="s">
        <v>22</v>
      </c>
      <c r="B396" t="s">
        <v>385</v>
      </c>
      <c r="C396" t="s">
        <v>386</v>
      </c>
      <c r="E396">
        <v>1</v>
      </c>
      <c r="F396" t="s">
        <v>13</v>
      </c>
      <c r="I396" t="s">
        <v>15</v>
      </c>
      <c r="J396">
        <f>vlookup("921-000000-200",B:AZ,column(i1),0)*e396</f>
        <v>0</v>
      </c>
      <c r="K396">
        <f>vlookup("921-000000-200",B:AZ,column(j1),0)*e396</f>
        <v>0</v>
      </c>
      <c r="L396">
        <f>vlookup("921-000000-200",B:AZ,column(k1),0)*e396</f>
        <v>0</v>
      </c>
      <c r="M396">
        <f>vlookup("921-000000-200",B:AZ,column(l1),0)*e396</f>
        <v>0</v>
      </c>
      <c r="N396">
        <f>vlookup("921-000000-200",B:AZ,column(m1),0)*e396</f>
        <v>0</v>
      </c>
      <c r="O396">
        <f>vlookup("921-000000-200",B:AZ,column(n1),0)*e396</f>
        <v>0</v>
      </c>
      <c r="P396">
        <f>vlookup("921-000000-200",B:AZ,column(o1),0)*e396</f>
        <v>0</v>
      </c>
      <c r="Q396">
        <f>vlookup("921-000000-200",B:AZ,column(p1),0)*e396</f>
        <v>0</v>
      </c>
      <c r="R396">
        <f>vlookup("921-000000-200",B:AZ,column(q1),0)*e396</f>
        <v>0</v>
      </c>
      <c r="S396">
        <f>vlookup("921-000000-200",B:AZ,column(r1),0)*e396</f>
        <v>0</v>
      </c>
      <c r="T396">
        <f>vlookup("921-000000-200",B:AZ,column(s1),0)*e396</f>
        <v>0</v>
      </c>
      <c r="U396">
        <f>vlookup("921-000000-200",B:AZ,column(t1),0)*e396</f>
        <v>0</v>
      </c>
      <c r="V396">
        <f>vlookup("921-000000-200",B:AZ,column(u1),0)*e396</f>
        <v>0</v>
      </c>
      <c r="W396">
        <f>vlookup("921-000000-200",B:AZ,column(v1),0)*e396</f>
        <v>0</v>
      </c>
      <c r="X396">
        <f>vlookup("921-000000-200",B:AZ,column(w1),0)*e396</f>
        <v>0</v>
      </c>
      <c r="Y396">
        <f>vlookup("921-000000-200",B:AZ,column(x1),0)*e396</f>
        <v>0</v>
      </c>
      <c r="Z396">
        <f>vlookup("921-000000-200",B:AZ,column(y1),0)*e396</f>
        <v>0</v>
      </c>
      <c r="AA396">
        <f>vlookup("921-000000-200",B:AZ,column(z1),0)*e396</f>
        <v>0</v>
      </c>
      <c r="AB396">
        <f>vlookup("921-000000-200",B:AZ,column(aa1),0)*e396</f>
        <v>0</v>
      </c>
      <c r="AC396">
        <f>vlookup("921-000000-200",B:AZ,column(ab1),0)*e396</f>
        <v>0</v>
      </c>
      <c r="AD396">
        <f>vlookup("921-000000-200",B:AZ,column(ac1),0)*e396</f>
        <v>0</v>
      </c>
      <c r="AE396">
        <f>vlookup("921-000000-200",B:AZ,column(ad1),0)*e396</f>
        <v>0</v>
      </c>
      <c r="AF396">
        <f>vlookup("921-000000-200",B:AZ,column(ae1),0)*e396</f>
        <v>0</v>
      </c>
      <c r="AG396">
        <f>vlookup("921-000000-200",B:AZ,column(af1),0)*e396</f>
        <v>0</v>
      </c>
      <c r="AH396">
        <f>vlookup("921-000000-200",B:AZ,column(ag1),0)*e396</f>
        <v>0</v>
      </c>
      <c r="AI396">
        <f>vlookup("921-000000-200",B:AZ,column(ah1),0)*e396</f>
        <v>0</v>
      </c>
      <c r="AJ396">
        <f>vlookup("921-000000-200",B:AZ,column(ai1),0)*e396</f>
        <v>0</v>
      </c>
      <c r="AK396">
        <f>vlookup("921-000000-200",B:AZ,column(aj1),0)*e396</f>
        <v>0</v>
      </c>
      <c r="AL396">
        <f>vlookup("921-000000-200",B:AZ,column(ak1),0)*e396</f>
        <v>0</v>
      </c>
      <c r="AM396">
        <f>vlookup("921-000000-200",B:AZ,column(al1),0)*e396</f>
        <v>0</v>
      </c>
      <c r="AN396">
        <f>vlookup("921-000000-200",B:AZ,column(am1),0)*e396</f>
        <v>0</v>
      </c>
      <c r="AO396">
        <f>vlookup("921-000000-200",B:AZ,column(an1),0)*e396</f>
        <v>0</v>
      </c>
    </row>
    <row r="397" spans="1:41">
      <c r="A397" t="s">
        <v>22</v>
      </c>
      <c r="B397" t="s">
        <v>387</v>
      </c>
      <c r="C397" t="s">
        <v>388</v>
      </c>
      <c r="E397">
        <v>1</v>
      </c>
      <c r="F397" t="s">
        <v>13</v>
      </c>
      <c r="I397" t="s">
        <v>15</v>
      </c>
      <c r="J397">
        <f>vlookup("921-000000-200",B:AZ,column(i1),0)*e397</f>
        <v>0</v>
      </c>
      <c r="K397">
        <f>vlookup("921-000000-200",B:AZ,column(j1),0)*e397</f>
        <v>0</v>
      </c>
      <c r="L397">
        <f>vlookup("921-000000-200",B:AZ,column(k1),0)*e397</f>
        <v>0</v>
      </c>
      <c r="M397">
        <f>vlookup("921-000000-200",B:AZ,column(l1),0)*e397</f>
        <v>0</v>
      </c>
      <c r="N397">
        <f>vlookup("921-000000-200",B:AZ,column(m1),0)*e397</f>
        <v>0</v>
      </c>
      <c r="O397">
        <f>vlookup("921-000000-200",B:AZ,column(n1),0)*e397</f>
        <v>0</v>
      </c>
      <c r="P397">
        <f>vlookup("921-000000-200",B:AZ,column(o1),0)*e397</f>
        <v>0</v>
      </c>
      <c r="Q397">
        <f>vlookup("921-000000-200",B:AZ,column(p1),0)*e397</f>
        <v>0</v>
      </c>
      <c r="R397">
        <f>vlookup("921-000000-200",B:AZ,column(q1),0)*e397</f>
        <v>0</v>
      </c>
      <c r="S397">
        <f>vlookup("921-000000-200",B:AZ,column(r1),0)*e397</f>
        <v>0</v>
      </c>
      <c r="T397">
        <f>vlookup("921-000000-200",B:AZ,column(s1),0)*e397</f>
        <v>0</v>
      </c>
      <c r="U397">
        <f>vlookup("921-000000-200",B:AZ,column(t1),0)*e397</f>
        <v>0</v>
      </c>
      <c r="V397">
        <f>vlookup("921-000000-200",B:AZ,column(u1),0)*e397</f>
        <v>0</v>
      </c>
      <c r="W397">
        <f>vlookup("921-000000-200",B:AZ,column(v1),0)*e397</f>
        <v>0</v>
      </c>
      <c r="X397">
        <f>vlookup("921-000000-200",B:AZ,column(w1),0)*e397</f>
        <v>0</v>
      </c>
      <c r="Y397">
        <f>vlookup("921-000000-200",B:AZ,column(x1),0)*e397</f>
        <v>0</v>
      </c>
      <c r="Z397">
        <f>vlookup("921-000000-200",B:AZ,column(y1),0)*e397</f>
        <v>0</v>
      </c>
      <c r="AA397">
        <f>vlookup("921-000000-200",B:AZ,column(z1),0)*e397</f>
        <v>0</v>
      </c>
      <c r="AB397">
        <f>vlookup("921-000000-200",B:AZ,column(aa1),0)*e397</f>
        <v>0</v>
      </c>
      <c r="AC397">
        <f>vlookup("921-000000-200",B:AZ,column(ab1),0)*e397</f>
        <v>0</v>
      </c>
      <c r="AD397">
        <f>vlookup("921-000000-200",B:AZ,column(ac1),0)*e397</f>
        <v>0</v>
      </c>
      <c r="AE397">
        <f>vlookup("921-000000-200",B:AZ,column(ad1),0)*e397</f>
        <v>0</v>
      </c>
      <c r="AF397">
        <f>vlookup("921-000000-200",B:AZ,column(ae1),0)*e397</f>
        <v>0</v>
      </c>
      <c r="AG397">
        <f>vlookup("921-000000-200",B:AZ,column(af1),0)*e397</f>
        <v>0</v>
      </c>
      <c r="AH397">
        <f>vlookup("921-000000-200",B:AZ,column(ag1),0)*e397</f>
        <v>0</v>
      </c>
      <c r="AI397">
        <f>vlookup("921-000000-200",B:AZ,column(ah1),0)*e397</f>
        <v>0</v>
      </c>
      <c r="AJ397">
        <f>vlookup("921-000000-200",B:AZ,column(ai1),0)*e397</f>
        <v>0</v>
      </c>
      <c r="AK397">
        <f>vlookup("921-000000-200",B:AZ,column(aj1),0)*e397</f>
        <v>0</v>
      </c>
      <c r="AL397">
        <f>vlookup("921-000000-200",B:AZ,column(ak1),0)*e397</f>
        <v>0</v>
      </c>
      <c r="AM397">
        <f>vlookup("921-000000-200",B:AZ,column(al1),0)*e397</f>
        <v>0</v>
      </c>
      <c r="AN397">
        <f>vlookup("921-000000-200",B:AZ,column(am1),0)*e397</f>
        <v>0</v>
      </c>
      <c r="AO397">
        <f>vlookup("921-000000-200",B:AZ,column(an1),0)*e397</f>
        <v>0</v>
      </c>
    </row>
    <row r="398" spans="1:41">
      <c r="A398" t="s">
        <v>22</v>
      </c>
      <c r="B398" t="s">
        <v>389</v>
      </c>
      <c r="C398" t="s">
        <v>390</v>
      </c>
      <c r="E398">
        <v>1</v>
      </c>
      <c r="F398" t="s">
        <v>13</v>
      </c>
      <c r="I398" t="s">
        <v>15</v>
      </c>
      <c r="J398">
        <f>vlookup("921-000000-200",B:AZ,column(i1),0)*e398</f>
        <v>0</v>
      </c>
      <c r="K398">
        <f>vlookup("921-000000-200",B:AZ,column(j1),0)*e398</f>
        <v>0</v>
      </c>
      <c r="L398">
        <f>vlookup("921-000000-200",B:AZ,column(k1),0)*e398</f>
        <v>0</v>
      </c>
      <c r="M398">
        <f>vlookup("921-000000-200",B:AZ,column(l1),0)*e398</f>
        <v>0</v>
      </c>
      <c r="N398">
        <f>vlookup("921-000000-200",B:AZ,column(m1),0)*e398</f>
        <v>0</v>
      </c>
      <c r="O398">
        <f>vlookup("921-000000-200",B:AZ,column(n1),0)*e398</f>
        <v>0</v>
      </c>
      <c r="P398">
        <f>vlookup("921-000000-200",B:AZ,column(o1),0)*e398</f>
        <v>0</v>
      </c>
      <c r="Q398">
        <f>vlookup("921-000000-200",B:AZ,column(p1),0)*e398</f>
        <v>0</v>
      </c>
      <c r="R398">
        <f>vlookup("921-000000-200",B:AZ,column(q1),0)*e398</f>
        <v>0</v>
      </c>
      <c r="S398">
        <f>vlookup("921-000000-200",B:AZ,column(r1),0)*e398</f>
        <v>0</v>
      </c>
      <c r="T398">
        <f>vlookup("921-000000-200",B:AZ,column(s1),0)*e398</f>
        <v>0</v>
      </c>
      <c r="U398">
        <f>vlookup("921-000000-200",B:AZ,column(t1),0)*e398</f>
        <v>0</v>
      </c>
      <c r="V398">
        <f>vlookup("921-000000-200",B:AZ,column(u1),0)*e398</f>
        <v>0</v>
      </c>
      <c r="W398">
        <f>vlookup("921-000000-200",B:AZ,column(v1),0)*e398</f>
        <v>0</v>
      </c>
      <c r="X398">
        <f>vlookup("921-000000-200",B:AZ,column(w1),0)*e398</f>
        <v>0</v>
      </c>
      <c r="Y398">
        <f>vlookup("921-000000-200",B:AZ,column(x1),0)*e398</f>
        <v>0</v>
      </c>
      <c r="Z398">
        <f>vlookup("921-000000-200",B:AZ,column(y1),0)*e398</f>
        <v>0</v>
      </c>
      <c r="AA398">
        <f>vlookup("921-000000-200",B:AZ,column(z1),0)*e398</f>
        <v>0</v>
      </c>
      <c r="AB398">
        <f>vlookup("921-000000-200",B:AZ,column(aa1),0)*e398</f>
        <v>0</v>
      </c>
      <c r="AC398">
        <f>vlookup("921-000000-200",B:AZ,column(ab1),0)*e398</f>
        <v>0</v>
      </c>
      <c r="AD398">
        <f>vlookup("921-000000-200",B:AZ,column(ac1),0)*e398</f>
        <v>0</v>
      </c>
      <c r="AE398">
        <f>vlookup("921-000000-200",B:AZ,column(ad1),0)*e398</f>
        <v>0</v>
      </c>
      <c r="AF398">
        <f>vlookup("921-000000-200",B:AZ,column(ae1),0)*e398</f>
        <v>0</v>
      </c>
      <c r="AG398">
        <f>vlookup("921-000000-200",B:AZ,column(af1),0)*e398</f>
        <v>0</v>
      </c>
      <c r="AH398">
        <f>vlookup("921-000000-200",B:AZ,column(ag1),0)*e398</f>
        <v>0</v>
      </c>
      <c r="AI398">
        <f>vlookup("921-000000-200",B:AZ,column(ah1),0)*e398</f>
        <v>0</v>
      </c>
      <c r="AJ398">
        <f>vlookup("921-000000-200",B:AZ,column(ai1),0)*e398</f>
        <v>0</v>
      </c>
      <c r="AK398">
        <f>vlookup("921-000000-200",B:AZ,column(aj1),0)*e398</f>
        <v>0</v>
      </c>
      <c r="AL398">
        <f>vlookup("921-000000-200",B:AZ,column(ak1),0)*e398</f>
        <v>0</v>
      </c>
      <c r="AM398">
        <f>vlookup("921-000000-200",B:AZ,column(al1),0)*e398</f>
        <v>0</v>
      </c>
      <c r="AN398">
        <f>vlookup("921-000000-200",B:AZ,column(am1),0)*e398</f>
        <v>0</v>
      </c>
      <c r="AO398">
        <f>vlookup("921-000000-200",B:AZ,column(an1),0)*e398</f>
        <v>0</v>
      </c>
    </row>
    <row r="399" spans="1:41">
      <c r="A399" t="s">
        <v>22</v>
      </c>
      <c r="B399" t="s">
        <v>391</v>
      </c>
      <c r="C399" t="s">
        <v>392</v>
      </c>
      <c r="E399">
        <v>1</v>
      </c>
      <c r="F399" t="s">
        <v>13</v>
      </c>
      <c r="I399" t="s">
        <v>15</v>
      </c>
      <c r="J399">
        <f>vlookup("921-000000-200",B:AZ,column(i1),0)*e399</f>
        <v>0</v>
      </c>
      <c r="K399">
        <f>vlookup("921-000000-200",B:AZ,column(j1),0)*e399</f>
        <v>0</v>
      </c>
      <c r="L399">
        <f>vlookup("921-000000-200",B:AZ,column(k1),0)*e399</f>
        <v>0</v>
      </c>
      <c r="M399">
        <f>vlookup("921-000000-200",B:AZ,column(l1),0)*e399</f>
        <v>0</v>
      </c>
      <c r="N399">
        <f>vlookup("921-000000-200",B:AZ,column(m1),0)*e399</f>
        <v>0</v>
      </c>
      <c r="O399">
        <f>vlookup("921-000000-200",B:AZ,column(n1),0)*e399</f>
        <v>0</v>
      </c>
      <c r="P399">
        <f>vlookup("921-000000-200",B:AZ,column(o1),0)*e399</f>
        <v>0</v>
      </c>
      <c r="Q399">
        <f>vlookup("921-000000-200",B:AZ,column(p1),0)*e399</f>
        <v>0</v>
      </c>
      <c r="R399">
        <f>vlookup("921-000000-200",B:AZ,column(q1),0)*e399</f>
        <v>0</v>
      </c>
      <c r="S399">
        <f>vlookup("921-000000-200",B:AZ,column(r1),0)*e399</f>
        <v>0</v>
      </c>
      <c r="T399">
        <f>vlookup("921-000000-200",B:AZ,column(s1),0)*e399</f>
        <v>0</v>
      </c>
      <c r="U399">
        <f>vlookup("921-000000-200",B:AZ,column(t1),0)*e399</f>
        <v>0</v>
      </c>
      <c r="V399">
        <f>vlookup("921-000000-200",B:AZ,column(u1),0)*e399</f>
        <v>0</v>
      </c>
      <c r="W399">
        <f>vlookup("921-000000-200",B:AZ,column(v1),0)*e399</f>
        <v>0</v>
      </c>
      <c r="X399">
        <f>vlookup("921-000000-200",B:AZ,column(w1),0)*e399</f>
        <v>0</v>
      </c>
      <c r="Y399">
        <f>vlookup("921-000000-200",B:AZ,column(x1),0)*e399</f>
        <v>0</v>
      </c>
      <c r="Z399">
        <f>vlookup("921-000000-200",B:AZ,column(y1),0)*e399</f>
        <v>0</v>
      </c>
      <c r="AA399">
        <f>vlookup("921-000000-200",B:AZ,column(z1),0)*e399</f>
        <v>0</v>
      </c>
      <c r="AB399">
        <f>vlookup("921-000000-200",B:AZ,column(aa1),0)*e399</f>
        <v>0</v>
      </c>
      <c r="AC399">
        <f>vlookup("921-000000-200",B:AZ,column(ab1),0)*e399</f>
        <v>0</v>
      </c>
      <c r="AD399">
        <f>vlookup("921-000000-200",B:AZ,column(ac1),0)*e399</f>
        <v>0</v>
      </c>
      <c r="AE399">
        <f>vlookup("921-000000-200",B:AZ,column(ad1),0)*e399</f>
        <v>0</v>
      </c>
      <c r="AF399">
        <f>vlookup("921-000000-200",B:AZ,column(ae1),0)*e399</f>
        <v>0</v>
      </c>
      <c r="AG399">
        <f>vlookup("921-000000-200",B:AZ,column(af1),0)*e399</f>
        <v>0</v>
      </c>
      <c r="AH399">
        <f>vlookup("921-000000-200",B:AZ,column(ag1),0)*e399</f>
        <v>0</v>
      </c>
      <c r="AI399">
        <f>vlookup("921-000000-200",B:AZ,column(ah1),0)*e399</f>
        <v>0</v>
      </c>
      <c r="AJ399">
        <f>vlookup("921-000000-200",B:AZ,column(ai1),0)*e399</f>
        <v>0</v>
      </c>
      <c r="AK399">
        <f>vlookup("921-000000-200",B:AZ,column(aj1),0)*e399</f>
        <v>0</v>
      </c>
      <c r="AL399">
        <f>vlookup("921-000000-200",B:AZ,column(ak1),0)*e399</f>
        <v>0</v>
      </c>
      <c r="AM399">
        <f>vlookup("921-000000-200",B:AZ,column(al1),0)*e399</f>
        <v>0</v>
      </c>
      <c r="AN399">
        <f>vlookup("921-000000-200",B:AZ,column(am1),0)*e399</f>
        <v>0</v>
      </c>
      <c r="AO399">
        <f>vlookup("921-000000-200",B:AZ,column(an1),0)*e399</f>
        <v>0</v>
      </c>
    </row>
    <row r="400" spans="1:41">
      <c r="A400" t="s">
        <v>22</v>
      </c>
      <c r="B400" t="s">
        <v>393</v>
      </c>
      <c r="C400" t="s">
        <v>394</v>
      </c>
      <c r="E400">
        <v>1</v>
      </c>
      <c r="F400" t="s">
        <v>13</v>
      </c>
      <c r="I400" t="s">
        <v>15</v>
      </c>
      <c r="J400">
        <f>vlookup("921-000000-200",B:AZ,column(i1),0)*e400</f>
        <v>0</v>
      </c>
      <c r="K400">
        <f>vlookup("921-000000-200",B:AZ,column(j1),0)*e400</f>
        <v>0</v>
      </c>
      <c r="L400">
        <f>vlookup("921-000000-200",B:AZ,column(k1),0)*e400</f>
        <v>0</v>
      </c>
      <c r="M400">
        <f>vlookup("921-000000-200",B:AZ,column(l1),0)*e400</f>
        <v>0</v>
      </c>
      <c r="N400">
        <f>vlookup("921-000000-200",B:AZ,column(m1),0)*e400</f>
        <v>0</v>
      </c>
      <c r="O400">
        <f>vlookup("921-000000-200",B:AZ,column(n1),0)*e400</f>
        <v>0</v>
      </c>
      <c r="P400">
        <f>vlookup("921-000000-200",B:AZ,column(o1),0)*e400</f>
        <v>0</v>
      </c>
      <c r="Q400">
        <f>vlookup("921-000000-200",B:AZ,column(p1),0)*e400</f>
        <v>0</v>
      </c>
      <c r="R400">
        <f>vlookup("921-000000-200",B:AZ,column(q1),0)*e400</f>
        <v>0</v>
      </c>
      <c r="S400">
        <f>vlookup("921-000000-200",B:AZ,column(r1),0)*e400</f>
        <v>0</v>
      </c>
      <c r="T400">
        <f>vlookup("921-000000-200",B:AZ,column(s1),0)*e400</f>
        <v>0</v>
      </c>
      <c r="U400">
        <f>vlookup("921-000000-200",B:AZ,column(t1),0)*e400</f>
        <v>0</v>
      </c>
      <c r="V400">
        <f>vlookup("921-000000-200",B:AZ,column(u1),0)*e400</f>
        <v>0</v>
      </c>
      <c r="W400">
        <f>vlookup("921-000000-200",B:AZ,column(v1),0)*e400</f>
        <v>0</v>
      </c>
      <c r="X400">
        <f>vlookup("921-000000-200",B:AZ,column(w1),0)*e400</f>
        <v>0</v>
      </c>
      <c r="Y400">
        <f>vlookup("921-000000-200",B:AZ,column(x1),0)*e400</f>
        <v>0</v>
      </c>
      <c r="Z400">
        <f>vlookup("921-000000-200",B:AZ,column(y1),0)*e400</f>
        <v>0</v>
      </c>
      <c r="AA400">
        <f>vlookup("921-000000-200",B:AZ,column(z1),0)*e400</f>
        <v>0</v>
      </c>
      <c r="AB400">
        <f>vlookup("921-000000-200",B:AZ,column(aa1),0)*e400</f>
        <v>0</v>
      </c>
      <c r="AC400">
        <f>vlookup("921-000000-200",B:AZ,column(ab1),0)*e400</f>
        <v>0</v>
      </c>
      <c r="AD400">
        <f>vlookup("921-000000-200",B:AZ,column(ac1),0)*e400</f>
        <v>0</v>
      </c>
      <c r="AE400">
        <f>vlookup("921-000000-200",B:AZ,column(ad1),0)*e400</f>
        <v>0</v>
      </c>
      <c r="AF400">
        <f>vlookup("921-000000-200",B:AZ,column(ae1),0)*e400</f>
        <v>0</v>
      </c>
      <c r="AG400">
        <f>vlookup("921-000000-200",B:AZ,column(af1),0)*e400</f>
        <v>0</v>
      </c>
      <c r="AH400">
        <f>vlookup("921-000000-200",B:AZ,column(ag1),0)*e400</f>
        <v>0</v>
      </c>
      <c r="AI400">
        <f>vlookup("921-000000-200",B:AZ,column(ah1),0)*e400</f>
        <v>0</v>
      </c>
      <c r="AJ400">
        <f>vlookup("921-000000-200",B:AZ,column(ai1),0)*e400</f>
        <v>0</v>
      </c>
      <c r="AK400">
        <f>vlookup("921-000000-200",B:AZ,column(aj1),0)*e400</f>
        <v>0</v>
      </c>
      <c r="AL400">
        <f>vlookup("921-000000-200",B:AZ,column(ak1),0)*e400</f>
        <v>0</v>
      </c>
      <c r="AM400">
        <f>vlookup("921-000000-200",B:AZ,column(al1),0)*e400</f>
        <v>0</v>
      </c>
      <c r="AN400">
        <f>vlookup("921-000000-200",B:AZ,column(am1),0)*e400</f>
        <v>0</v>
      </c>
      <c r="AO400">
        <f>vlookup("921-000000-200",B:AZ,column(an1),0)*e400</f>
        <v>0</v>
      </c>
    </row>
    <row r="401" spans="1:41">
      <c r="A401" t="s">
        <v>10</v>
      </c>
      <c r="B401" t="s">
        <v>407</v>
      </c>
      <c r="C401" t="s">
        <v>408</v>
      </c>
      <c r="E401">
        <v>1</v>
      </c>
      <c r="F401" t="s">
        <v>13</v>
      </c>
      <c r="I401" t="s">
        <v>14</v>
      </c>
      <c r="AO401">
        <f>sum(j401:an401)</f>
        <v>0</v>
      </c>
    </row>
    <row r="402" spans="1:41">
      <c r="I402" t="s">
        <v>15</v>
      </c>
      <c r="J402">
        <f>vlookup("926-044000-100",Out!B:AZ,column(i1),0)</f>
        <v>0</v>
      </c>
      <c r="K402">
        <f>vlookup("926-044000-100",Out!B:AZ,column(j1),0)</f>
        <v>0</v>
      </c>
      <c r="L402">
        <f>vlookup("926-044000-100",Out!B:AZ,column(k1),0)</f>
        <v>0</v>
      </c>
      <c r="M402">
        <f>vlookup("926-044000-100",Out!B:AZ,column(l1),0)</f>
        <v>0</v>
      </c>
      <c r="N402">
        <f>vlookup("926-044000-100",Out!B:AZ,column(m1),0)</f>
        <v>0</v>
      </c>
      <c r="O402">
        <f>vlookup("926-044000-100",Out!B:AZ,column(n1),0)</f>
        <v>0</v>
      </c>
      <c r="P402">
        <f>vlookup("926-044000-100",Out!B:AZ,column(o1),0)</f>
        <v>0</v>
      </c>
      <c r="Q402">
        <f>vlookup("926-044000-100",Out!B:AZ,column(p1),0)</f>
        <v>0</v>
      </c>
      <c r="R402">
        <f>vlookup("926-044000-100",Out!B:AZ,column(q1),0)</f>
        <v>0</v>
      </c>
      <c r="S402">
        <f>vlookup("926-044000-100",Out!B:AZ,column(r1),0)</f>
        <v>0</v>
      </c>
      <c r="T402">
        <f>vlookup("926-044000-100",Out!B:AZ,column(s1),0)</f>
        <v>0</v>
      </c>
      <c r="U402">
        <f>vlookup("926-044000-100",Out!B:AZ,column(t1),0)</f>
        <v>0</v>
      </c>
      <c r="V402">
        <f>vlookup("926-044000-100",Out!B:AZ,column(u1),0)</f>
        <v>0</v>
      </c>
      <c r="W402">
        <f>vlookup("926-044000-100",Out!B:AZ,column(v1),0)</f>
        <v>0</v>
      </c>
      <c r="X402">
        <f>vlookup("926-044000-100",Out!B:AZ,column(w1),0)</f>
        <v>0</v>
      </c>
      <c r="Y402">
        <f>vlookup("926-044000-100",Out!B:AZ,column(x1),0)</f>
        <v>0</v>
      </c>
      <c r="Z402">
        <f>vlookup("926-044000-100",Out!B:AZ,column(y1),0)</f>
        <v>0</v>
      </c>
      <c r="AA402">
        <f>vlookup("926-044000-100",Out!B:AZ,column(z1),0)</f>
        <v>0</v>
      </c>
      <c r="AB402">
        <f>vlookup("926-044000-100",Out!B:AZ,column(aa1),0)</f>
        <v>0</v>
      </c>
      <c r="AC402">
        <f>vlookup("926-044000-100",Out!B:AZ,column(ab1),0)</f>
        <v>0</v>
      </c>
      <c r="AD402">
        <f>vlookup("926-044000-100",Out!B:AZ,column(ac1),0)</f>
        <v>0</v>
      </c>
      <c r="AE402">
        <f>vlookup("926-044000-100",Out!B:AZ,column(ad1),0)</f>
        <v>0</v>
      </c>
      <c r="AF402">
        <f>vlookup("926-044000-100",Out!B:AZ,column(ae1),0)</f>
        <v>0</v>
      </c>
      <c r="AG402">
        <f>vlookup("926-044000-100",Out!B:AZ,column(af1),0)</f>
        <v>0</v>
      </c>
      <c r="AH402">
        <f>vlookup("926-044000-100",Out!B:AZ,column(ag1),0)</f>
        <v>0</v>
      </c>
      <c r="AI402">
        <f>vlookup("926-044000-100",Out!B:AZ,column(ah1),0)</f>
        <v>0</v>
      </c>
      <c r="AJ402">
        <f>vlookup("926-044000-100",Out!B:AZ,column(ai1),0)</f>
        <v>0</v>
      </c>
      <c r="AK402">
        <f>vlookup("926-044000-100",Out!B:AZ,column(aj1),0)</f>
        <v>0</v>
      </c>
      <c r="AL402">
        <f>vlookup("926-044000-100",Out!B:AZ,column(ak1),0)</f>
        <v>0</v>
      </c>
      <c r="AM402">
        <f>vlookup("926-044000-100",Out!B:AZ,column(al1),0)</f>
        <v>0</v>
      </c>
      <c r="AN402">
        <f>vlookup("926-044000-100",Out!B:AZ,column(am1),0)</f>
        <v>0</v>
      </c>
      <c r="AO402">
        <f>vlookup("926-044000-100",Out!B:AZ,column(an1),0)</f>
        <v>0</v>
      </c>
    </row>
    <row r="403" spans="1:41">
      <c r="H403" t="s">
        <v>16</v>
      </c>
      <c r="J403">
        <f>indirect(address(403,9))+indirect(address(401,10))-indirect(address(402,10))</f>
        <v>0</v>
      </c>
      <c r="K403">
        <f>indirect(address(403,10))+indirect(address(401,11))-indirect(address(402,11))</f>
        <v>0</v>
      </c>
      <c r="L403">
        <f>indirect(address(403,11))+indirect(address(401,12))-indirect(address(402,12))</f>
        <v>0</v>
      </c>
      <c r="M403">
        <f>indirect(address(403,12))+indirect(address(401,13))-indirect(address(402,13))</f>
        <v>0</v>
      </c>
      <c r="N403">
        <f>indirect(address(403,13))+indirect(address(401,14))-indirect(address(402,14))</f>
        <v>0</v>
      </c>
      <c r="O403">
        <f>indirect(address(403,14))+indirect(address(401,15))-indirect(address(402,15))</f>
        <v>0</v>
      </c>
      <c r="P403">
        <f>indirect(address(403,15))+indirect(address(401,16))-indirect(address(402,16))</f>
        <v>0</v>
      </c>
      <c r="Q403">
        <f>indirect(address(403,16))+indirect(address(401,17))-indirect(address(402,17))</f>
        <v>0</v>
      </c>
      <c r="R403">
        <f>indirect(address(403,17))+indirect(address(401,18))-indirect(address(402,18))</f>
        <v>0</v>
      </c>
      <c r="S403">
        <f>indirect(address(403,18))+indirect(address(401,19))-indirect(address(402,19))</f>
        <v>0</v>
      </c>
      <c r="T403">
        <f>indirect(address(403,19))+indirect(address(401,20))-indirect(address(402,20))</f>
        <v>0</v>
      </c>
      <c r="U403">
        <f>indirect(address(403,20))+indirect(address(401,21))-indirect(address(402,21))</f>
        <v>0</v>
      </c>
      <c r="V403">
        <f>indirect(address(403,21))+indirect(address(401,22))-indirect(address(402,22))</f>
        <v>0</v>
      </c>
      <c r="W403">
        <f>indirect(address(403,22))+indirect(address(401,23))-indirect(address(402,23))</f>
        <v>0</v>
      </c>
      <c r="X403">
        <f>indirect(address(403,23))+indirect(address(401,24))-indirect(address(402,24))</f>
        <v>0</v>
      </c>
      <c r="Y403">
        <f>indirect(address(403,24))+indirect(address(401,25))-indirect(address(402,25))</f>
        <v>0</v>
      </c>
      <c r="Z403">
        <f>indirect(address(403,25))+indirect(address(401,26))-indirect(address(402,26))</f>
        <v>0</v>
      </c>
      <c r="AA403">
        <f>indirect(address(403,26))+indirect(address(401,27))-indirect(address(402,27))</f>
        <v>0</v>
      </c>
      <c r="AB403">
        <f>indirect(address(403,27))+indirect(address(401,28))-indirect(address(402,28))</f>
        <v>0</v>
      </c>
      <c r="AC403">
        <f>indirect(address(403,28))+indirect(address(401,29))-indirect(address(402,29))</f>
        <v>0</v>
      </c>
      <c r="AD403">
        <f>indirect(address(403,29))+indirect(address(401,30))-indirect(address(402,30))</f>
        <v>0</v>
      </c>
      <c r="AE403">
        <f>indirect(address(403,30))+indirect(address(401,31))-indirect(address(402,31))</f>
        <v>0</v>
      </c>
      <c r="AF403">
        <f>indirect(address(403,31))+indirect(address(401,32))-indirect(address(402,32))</f>
        <v>0</v>
      </c>
      <c r="AG403">
        <f>indirect(address(403,32))+indirect(address(401,33))-indirect(address(402,33))</f>
        <v>0</v>
      </c>
      <c r="AH403">
        <f>indirect(address(403,33))+indirect(address(401,34))-indirect(address(402,34))</f>
        <v>0</v>
      </c>
      <c r="AI403">
        <f>indirect(address(403,34))+indirect(address(401,35))-indirect(address(402,35))</f>
        <v>0</v>
      </c>
      <c r="AJ403">
        <f>indirect(address(403,35))+indirect(address(401,36))-indirect(address(402,36))</f>
        <v>0</v>
      </c>
      <c r="AK403">
        <f>indirect(address(403,36))+indirect(address(401,37))-indirect(address(402,37))</f>
        <v>0</v>
      </c>
      <c r="AL403">
        <f>indirect(address(403,37))+indirect(address(401,38))-indirect(address(402,38))</f>
        <v>0</v>
      </c>
      <c r="AM403">
        <f>indirect(address(403,38))+indirect(address(401,39))-indirect(address(402,39))</f>
        <v>0</v>
      </c>
      <c r="AN403">
        <f>indirect(address(403,39))+indirect(address(401,40))-indirect(address(402,40))</f>
        <v>0</v>
      </c>
      <c r="AO403">
        <f>indirect(address(403,40))</f>
        <v>0</v>
      </c>
    </row>
    <row r="404" spans="1:41">
      <c r="A404" t="s">
        <v>22</v>
      </c>
      <c r="B404" t="s">
        <v>409</v>
      </c>
      <c r="C404" t="s">
        <v>410</v>
      </c>
      <c r="E404">
        <v>3</v>
      </c>
      <c r="F404" t="s">
        <v>13</v>
      </c>
      <c r="I404" t="s">
        <v>15</v>
      </c>
      <c r="J404">
        <f>vlookup("926-044000-100",B:AZ,column(i1),0)*e404</f>
        <v>0</v>
      </c>
      <c r="K404">
        <f>vlookup("926-044000-100",B:AZ,column(j1),0)*e404</f>
        <v>0</v>
      </c>
      <c r="L404">
        <f>vlookup("926-044000-100",B:AZ,column(k1),0)*e404</f>
        <v>0</v>
      </c>
      <c r="M404">
        <f>vlookup("926-044000-100",B:AZ,column(l1),0)*e404</f>
        <v>0</v>
      </c>
      <c r="N404">
        <f>vlookup("926-044000-100",B:AZ,column(m1),0)*e404</f>
        <v>0</v>
      </c>
      <c r="O404">
        <f>vlookup("926-044000-100",B:AZ,column(n1),0)*e404</f>
        <v>0</v>
      </c>
      <c r="P404">
        <f>vlookup("926-044000-100",B:AZ,column(o1),0)*e404</f>
        <v>0</v>
      </c>
      <c r="Q404">
        <f>vlookup("926-044000-100",B:AZ,column(p1),0)*e404</f>
        <v>0</v>
      </c>
      <c r="R404">
        <f>vlookup("926-044000-100",B:AZ,column(q1),0)*e404</f>
        <v>0</v>
      </c>
      <c r="S404">
        <f>vlookup("926-044000-100",B:AZ,column(r1),0)*e404</f>
        <v>0</v>
      </c>
      <c r="T404">
        <f>vlookup("926-044000-100",B:AZ,column(s1),0)*e404</f>
        <v>0</v>
      </c>
      <c r="U404">
        <f>vlookup("926-044000-100",B:AZ,column(t1),0)*e404</f>
        <v>0</v>
      </c>
      <c r="V404">
        <f>vlookup("926-044000-100",B:AZ,column(u1),0)*e404</f>
        <v>0</v>
      </c>
      <c r="W404">
        <f>vlookup("926-044000-100",B:AZ,column(v1),0)*e404</f>
        <v>0</v>
      </c>
      <c r="X404">
        <f>vlookup("926-044000-100",B:AZ,column(w1),0)*e404</f>
        <v>0</v>
      </c>
      <c r="Y404">
        <f>vlookup("926-044000-100",B:AZ,column(x1),0)*e404</f>
        <v>0</v>
      </c>
      <c r="Z404">
        <f>vlookup("926-044000-100",B:AZ,column(y1),0)*e404</f>
        <v>0</v>
      </c>
      <c r="AA404">
        <f>vlookup("926-044000-100",B:AZ,column(z1),0)*e404</f>
        <v>0</v>
      </c>
      <c r="AB404">
        <f>vlookup("926-044000-100",B:AZ,column(aa1),0)*e404</f>
        <v>0</v>
      </c>
      <c r="AC404">
        <f>vlookup("926-044000-100",B:AZ,column(ab1),0)*e404</f>
        <v>0</v>
      </c>
      <c r="AD404">
        <f>vlookup("926-044000-100",B:AZ,column(ac1),0)*e404</f>
        <v>0</v>
      </c>
      <c r="AE404">
        <f>vlookup("926-044000-100",B:AZ,column(ad1),0)*e404</f>
        <v>0</v>
      </c>
      <c r="AF404">
        <f>vlookup("926-044000-100",B:AZ,column(ae1),0)*e404</f>
        <v>0</v>
      </c>
      <c r="AG404">
        <f>vlookup("926-044000-100",B:AZ,column(af1),0)*e404</f>
        <v>0</v>
      </c>
      <c r="AH404">
        <f>vlookup("926-044000-100",B:AZ,column(ag1),0)*e404</f>
        <v>0</v>
      </c>
      <c r="AI404">
        <f>vlookup("926-044000-100",B:AZ,column(ah1),0)*e404</f>
        <v>0</v>
      </c>
      <c r="AJ404">
        <f>vlookup("926-044000-100",B:AZ,column(ai1),0)*e404</f>
        <v>0</v>
      </c>
      <c r="AK404">
        <f>vlookup("926-044000-100",B:AZ,column(aj1),0)*e404</f>
        <v>0</v>
      </c>
      <c r="AL404">
        <f>vlookup("926-044000-100",B:AZ,column(ak1),0)*e404</f>
        <v>0</v>
      </c>
      <c r="AM404">
        <f>vlookup("926-044000-100",B:AZ,column(al1),0)*e404</f>
        <v>0</v>
      </c>
      <c r="AN404">
        <f>vlookup("926-044000-100",B:AZ,column(am1),0)*e404</f>
        <v>0</v>
      </c>
      <c r="AO404">
        <f>vlookup("926-044000-100",B:AZ,column(an1),0)*e404</f>
        <v>0</v>
      </c>
    </row>
    <row r="405" spans="1:41">
      <c r="A405" t="s">
        <v>78</v>
      </c>
      <c r="B405" t="s">
        <v>409</v>
      </c>
      <c r="C405" t="s">
        <v>411</v>
      </c>
      <c r="E405">
        <v>0.034</v>
      </c>
      <c r="F405" t="s">
        <v>13</v>
      </c>
      <c r="I405" t="s">
        <v>15</v>
      </c>
      <c r="J405">
        <f>vlookup("926-044000-100",B:AZ,column(i1),0)*e405</f>
        <v>0</v>
      </c>
      <c r="K405">
        <f>vlookup("926-044000-100",B:AZ,column(j1),0)*e405</f>
        <v>0</v>
      </c>
      <c r="L405">
        <f>vlookup("926-044000-100",B:AZ,column(k1),0)*e405</f>
        <v>0</v>
      </c>
      <c r="M405">
        <f>vlookup("926-044000-100",B:AZ,column(l1),0)*e405</f>
        <v>0</v>
      </c>
      <c r="N405">
        <f>vlookup("926-044000-100",B:AZ,column(m1),0)*e405</f>
        <v>0</v>
      </c>
      <c r="O405">
        <f>vlookup("926-044000-100",B:AZ,column(n1),0)*e405</f>
        <v>0</v>
      </c>
      <c r="P405">
        <f>vlookup("926-044000-100",B:AZ,column(o1),0)*e405</f>
        <v>0</v>
      </c>
      <c r="Q405">
        <f>vlookup("926-044000-100",B:AZ,column(p1),0)*e405</f>
        <v>0</v>
      </c>
      <c r="R405">
        <f>vlookup("926-044000-100",B:AZ,column(q1),0)*e405</f>
        <v>0</v>
      </c>
      <c r="S405">
        <f>vlookup("926-044000-100",B:AZ,column(r1),0)*e405</f>
        <v>0</v>
      </c>
      <c r="T405">
        <f>vlookup("926-044000-100",B:AZ,column(s1),0)*e405</f>
        <v>0</v>
      </c>
      <c r="U405">
        <f>vlookup("926-044000-100",B:AZ,column(t1),0)*e405</f>
        <v>0</v>
      </c>
      <c r="V405">
        <f>vlookup("926-044000-100",B:AZ,column(u1),0)*e405</f>
        <v>0</v>
      </c>
      <c r="W405">
        <f>vlookup("926-044000-100",B:AZ,column(v1),0)*e405</f>
        <v>0</v>
      </c>
      <c r="X405">
        <f>vlookup("926-044000-100",B:AZ,column(w1),0)*e405</f>
        <v>0</v>
      </c>
      <c r="Y405">
        <f>vlookup("926-044000-100",B:AZ,column(x1),0)*e405</f>
        <v>0</v>
      </c>
      <c r="Z405">
        <f>vlookup("926-044000-100",B:AZ,column(y1),0)*e405</f>
        <v>0</v>
      </c>
      <c r="AA405">
        <f>vlookup("926-044000-100",B:AZ,column(z1),0)*e405</f>
        <v>0</v>
      </c>
      <c r="AB405">
        <f>vlookup("926-044000-100",B:AZ,column(aa1),0)*e405</f>
        <v>0</v>
      </c>
      <c r="AC405">
        <f>vlookup("926-044000-100",B:AZ,column(ab1),0)*e405</f>
        <v>0</v>
      </c>
      <c r="AD405">
        <f>vlookup("926-044000-100",B:AZ,column(ac1),0)*e405</f>
        <v>0</v>
      </c>
      <c r="AE405">
        <f>vlookup("926-044000-100",B:AZ,column(ad1),0)*e405</f>
        <v>0</v>
      </c>
      <c r="AF405">
        <f>vlookup("926-044000-100",B:AZ,column(ae1),0)*e405</f>
        <v>0</v>
      </c>
      <c r="AG405">
        <f>vlookup("926-044000-100",B:AZ,column(af1),0)*e405</f>
        <v>0</v>
      </c>
      <c r="AH405">
        <f>vlookup("926-044000-100",B:AZ,column(ag1),0)*e405</f>
        <v>0</v>
      </c>
      <c r="AI405">
        <f>vlookup("926-044000-100",B:AZ,column(ah1),0)*e405</f>
        <v>0</v>
      </c>
      <c r="AJ405">
        <f>vlookup("926-044000-100",B:AZ,column(ai1),0)*e405</f>
        <v>0</v>
      </c>
      <c r="AK405">
        <f>vlookup("926-044000-100",B:AZ,column(aj1),0)*e405</f>
        <v>0</v>
      </c>
      <c r="AL405">
        <f>vlookup("926-044000-100",B:AZ,column(ak1),0)*e405</f>
        <v>0</v>
      </c>
      <c r="AM405">
        <f>vlookup("926-044000-100",B:AZ,column(al1),0)*e405</f>
        <v>0</v>
      </c>
      <c r="AN405">
        <f>vlookup("926-044000-100",B:AZ,column(am1),0)*e405</f>
        <v>0</v>
      </c>
      <c r="AO405">
        <f>vlookup("926-044000-100",B:AZ,column(an1),0)*e405</f>
        <v>0</v>
      </c>
    </row>
    <row r="406" spans="1:41">
      <c r="A406" t="s">
        <v>10</v>
      </c>
      <c r="B406" t="s">
        <v>412</v>
      </c>
      <c r="C406" t="s">
        <v>413</v>
      </c>
      <c r="E406">
        <v>1</v>
      </c>
      <c r="F406" t="s">
        <v>13</v>
      </c>
      <c r="I406" t="s">
        <v>14</v>
      </c>
      <c r="AO406">
        <f>sum(j406:an406)</f>
        <v>0</v>
      </c>
    </row>
    <row r="407" spans="1:41">
      <c r="I407" t="s">
        <v>15</v>
      </c>
      <c r="J407">
        <f>vlookup("922-096465-100",Out!B:AZ,column(i1),0)</f>
        <v>0</v>
      </c>
      <c r="K407">
        <f>vlookup("922-096465-100",Out!B:AZ,column(j1),0)</f>
        <v>0</v>
      </c>
      <c r="L407">
        <f>vlookup("922-096465-100",Out!B:AZ,column(k1),0)</f>
        <v>0</v>
      </c>
      <c r="M407">
        <f>vlookup("922-096465-100",Out!B:AZ,column(l1),0)</f>
        <v>0</v>
      </c>
      <c r="N407">
        <f>vlookup("922-096465-100",Out!B:AZ,column(m1),0)</f>
        <v>0</v>
      </c>
      <c r="O407">
        <f>vlookup("922-096465-100",Out!B:AZ,column(n1),0)</f>
        <v>0</v>
      </c>
      <c r="P407">
        <f>vlookup("922-096465-100",Out!B:AZ,column(o1),0)</f>
        <v>0</v>
      </c>
      <c r="Q407">
        <f>vlookup("922-096465-100",Out!B:AZ,column(p1),0)</f>
        <v>0</v>
      </c>
      <c r="R407">
        <f>vlookup("922-096465-100",Out!B:AZ,column(q1),0)</f>
        <v>0</v>
      </c>
      <c r="S407">
        <f>vlookup("922-096465-100",Out!B:AZ,column(r1),0)</f>
        <v>0</v>
      </c>
      <c r="T407">
        <f>vlookup("922-096465-100",Out!B:AZ,column(s1),0)</f>
        <v>0</v>
      </c>
      <c r="U407">
        <f>vlookup("922-096465-100",Out!B:AZ,column(t1),0)</f>
        <v>0</v>
      </c>
      <c r="V407">
        <f>vlookup("922-096465-100",Out!B:AZ,column(u1),0)</f>
        <v>0</v>
      </c>
      <c r="W407">
        <f>vlookup("922-096465-100",Out!B:AZ,column(v1),0)</f>
        <v>0</v>
      </c>
      <c r="X407">
        <f>vlookup("922-096465-100",Out!B:AZ,column(w1),0)</f>
        <v>0</v>
      </c>
      <c r="Y407">
        <f>vlookup("922-096465-100",Out!B:AZ,column(x1),0)</f>
        <v>0</v>
      </c>
      <c r="Z407">
        <f>vlookup("922-096465-100",Out!B:AZ,column(y1),0)</f>
        <v>0</v>
      </c>
      <c r="AA407">
        <f>vlookup("922-096465-100",Out!B:AZ,column(z1),0)</f>
        <v>0</v>
      </c>
      <c r="AB407">
        <f>vlookup("922-096465-100",Out!B:AZ,column(aa1),0)</f>
        <v>0</v>
      </c>
      <c r="AC407">
        <f>vlookup("922-096465-100",Out!B:AZ,column(ab1),0)</f>
        <v>0</v>
      </c>
      <c r="AD407">
        <f>vlookup("922-096465-100",Out!B:AZ,column(ac1),0)</f>
        <v>0</v>
      </c>
      <c r="AE407">
        <f>vlookup("922-096465-100",Out!B:AZ,column(ad1),0)</f>
        <v>0</v>
      </c>
      <c r="AF407">
        <f>vlookup("922-096465-100",Out!B:AZ,column(ae1),0)</f>
        <v>0</v>
      </c>
      <c r="AG407">
        <f>vlookup("922-096465-100",Out!B:AZ,column(af1),0)</f>
        <v>0</v>
      </c>
      <c r="AH407">
        <f>vlookup("922-096465-100",Out!B:AZ,column(ag1),0)</f>
        <v>0</v>
      </c>
      <c r="AI407">
        <f>vlookup("922-096465-100",Out!B:AZ,column(ah1),0)</f>
        <v>0</v>
      </c>
      <c r="AJ407">
        <f>vlookup("922-096465-100",Out!B:AZ,column(ai1),0)</f>
        <v>0</v>
      </c>
      <c r="AK407">
        <f>vlookup("922-096465-100",Out!B:AZ,column(aj1),0)</f>
        <v>0</v>
      </c>
      <c r="AL407">
        <f>vlookup("922-096465-100",Out!B:AZ,column(ak1),0)</f>
        <v>0</v>
      </c>
      <c r="AM407">
        <f>vlookup("922-096465-100",Out!B:AZ,column(al1),0)</f>
        <v>0</v>
      </c>
      <c r="AN407">
        <f>vlookup("922-096465-100",Out!B:AZ,column(am1),0)</f>
        <v>0</v>
      </c>
      <c r="AO407">
        <f>vlookup("922-096465-100",Out!B:AZ,column(an1),0)</f>
        <v>0</v>
      </c>
    </row>
    <row r="408" spans="1:41">
      <c r="H408" t="s">
        <v>16</v>
      </c>
      <c r="J408">
        <f>indirect(address(408,9))+indirect(address(406,10))-indirect(address(407,10))</f>
        <v>0</v>
      </c>
      <c r="K408">
        <f>indirect(address(408,10))+indirect(address(406,11))-indirect(address(407,11))</f>
        <v>0</v>
      </c>
      <c r="L408">
        <f>indirect(address(408,11))+indirect(address(406,12))-indirect(address(407,12))</f>
        <v>0</v>
      </c>
      <c r="M408">
        <f>indirect(address(408,12))+indirect(address(406,13))-indirect(address(407,13))</f>
        <v>0</v>
      </c>
      <c r="N408">
        <f>indirect(address(408,13))+indirect(address(406,14))-indirect(address(407,14))</f>
        <v>0</v>
      </c>
      <c r="O408">
        <f>indirect(address(408,14))+indirect(address(406,15))-indirect(address(407,15))</f>
        <v>0</v>
      </c>
      <c r="P408">
        <f>indirect(address(408,15))+indirect(address(406,16))-indirect(address(407,16))</f>
        <v>0</v>
      </c>
      <c r="Q408">
        <f>indirect(address(408,16))+indirect(address(406,17))-indirect(address(407,17))</f>
        <v>0</v>
      </c>
      <c r="R408">
        <f>indirect(address(408,17))+indirect(address(406,18))-indirect(address(407,18))</f>
        <v>0</v>
      </c>
      <c r="S408">
        <f>indirect(address(408,18))+indirect(address(406,19))-indirect(address(407,19))</f>
        <v>0</v>
      </c>
      <c r="T408">
        <f>indirect(address(408,19))+indirect(address(406,20))-indirect(address(407,20))</f>
        <v>0</v>
      </c>
      <c r="U408">
        <f>indirect(address(408,20))+indirect(address(406,21))-indirect(address(407,21))</f>
        <v>0</v>
      </c>
      <c r="V408">
        <f>indirect(address(408,21))+indirect(address(406,22))-indirect(address(407,22))</f>
        <v>0</v>
      </c>
      <c r="W408">
        <f>indirect(address(408,22))+indirect(address(406,23))-indirect(address(407,23))</f>
        <v>0</v>
      </c>
      <c r="X408">
        <f>indirect(address(408,23))+indirect(address(406,24))-indirect(address(407,24))</f>
        <v>0</v>
      </c>
      <c r="Y408">
        <f>indirect(address(408,24))+indirect(address(406,25))-indirect(address(407,25))</f>
        <v>0</v>
      </c>
      <c r="Z408">
        <f>indirect(address(408,25))+indirect(address(406,26))-indirect(address(407,26))</f>
        <v>0</v>
      </c>
      <c r="AA408">
        <f>indirect(address(408,26))+indirect(address(406,27))-indirect(address(407,27))</f>
        <v>0</v>
      </c>
      <c r="AB408">
        <f>indirect(address(408,27))+indirect(address(406,28))-indirect(address(407,28))</f>
        <v>0</v>
      </c>
      <c r="AC408">
        <f>indirect(address(408,28))+indirect(address(406,29))-indirect(address(407,29))</f>
        <v>0</v>
      </c>
      <c r="AD408">
        <f>indirect(address(408,29))+indirect(address(406,30))-indirect(address(407,30))</f>
        <v>0</v>
      </c>
      <c r="AE408">
        <f>indirect(address(408,30))+indirect(address(406,31))-indirect(address(407,31))</f>
        <v>0</v>
      </c>
      <c r="AF408">
        <f>indirect(address(408,31))+indirect(address(406,32))-indirect(address(407,32))</f>
        <v>0</v>
      </c>
      <c r="AG408">
        <f>indirect(address(408,32))+indirect(address(406,33))-indirect(address(407,33))</f>
        <v>0</v>
      </c>
      <c r="AH408">
        <f>indirect(address(408,33))+indirect(address(406,34))-indirect(address(407,34))</f>
        <v>0</v>
      </c>
      <c r="AI408">
        <f>indirect(address(408,34))+indirect(address(406,35))-indirect(address(407,35))</f>
        <v>0</v>
      </c>
      <c r="AJ408">
        <f>indirect(address(408,35))+indirect(address(406,36))-indirect(address(407,36))</f>
        <v>0</v>
      </c>
      <c r="AK408">
        <f>indirect(address(408,36))+indirect(address(406,37))-indirect(address(407,37))</f>
        <v>0</v>
      </c>
      <c r="AL408">
        <f>indirect(address(408,37))+indirect(address(406,38))-indirect(address(407,38))</f>
        <v>0</v>
      </c>
      <c r="AM408">
        <f>indirect(address(408,38))+indirect(address(406,39))-indirect(address(407,39))</f>
        <v>0</v>
      </c>
      <c r="AN408">
        <f>indirect(address(408,39))+indirect(address(406,40))-indirect(address(407,40))</f>
        <v>0</v>
      </c>
      <c r="AO408">
        <f>indirect(address(408,40))</f>
        <v>0</v>
      </c>
    </row>
    <row r="409" spans="1:41">
      <c r="A409" t="s">
        <v>17</v>
      </c>
      <c r="B409" t="s">
        <v>414</v>
      </c>
      <c r="C409" t="s">
        <v>415</v>
      </c>
      <c r="E409">
        <v>1</v>
      </c>
      <c r="F409" t="s">
        <v>13</v>
      </c>
      <c r="I409" t="s">
        <v>15</v>
      </c>
      <c r="J409">
        <f>vlookup("922-096465-100",B:AZ,column(i1),0)*e409</f>
        <v>0</v>
      </c>
      <c r="K409">
        <f>vlookup("922-096465-100",B:AZ,column(j1),0)*e409</f>
        <v>0</v>
      </c>
      <c r="L409">
        <f>vlookup("922-096465-100",B:AZ,column(k1),0)*e409</f>
        <v>0</v>
      </c>
      <c r="M409">
        <f>vlookup("922-096465-100",B:AZ,column(l1),0)*e409</f>
        <v>0</v>
      </c>
      <c r="N409">
        <f>vlookup("922-096465-100",B:AZ,column(m1),0)*e409</f>
        <v>0</v>
      </c>
      <c r="O409">
        <f>vlookup("922-096465-100",B:AZ,column(n1),0)*e409</f>
        <v>0</v>
      </c>
      <c r="P409">
        <f>vlookup("922-096465-100",B:AZ,column(o1),0)*e409</f>
        <v>0</v>
      </c>
      <c r="Q409">
        <f>vlookup("922-096465-100",B:AZ,column(p1),0)*e409</f>
        <v>0</v>
      </c>
      <c r="R409">
        <f>vlookup("922-096465-100",B:AZ,column(q1),0)*e409</f>
        <v>0</v>
      </c>
      <c r="S409">
        <f>vlookup("922-096465-100",B:AZ,column(r1),0)*e409</f>
        <v>0</v>
      </c>
      <c r="T409">
        <f>vlookup("922-096465-100",B:AZ,column(s1),0)*e409</f>
        <v>0</v>
      </c>
      <c r="U409">
        <f>vlookup("922-096465-100",B:AZ,column(t1),0)*e409</f>
        <v>0</v>
      </c>
      <c r="V409">
        <f>vlookup("922-096465-100",B:AZ,column(u1),0)*e409</f>
        <v>0</v>
      </c>
      <c r="W409">
        <f>vlookup("922-096465-100",B:AZ,column(v1),0)*e409</f>
        <v>0</v>
      </c>
      <c r="X409">
        <f>vlookup("922-096465-100",B:AZ,column(w1),0)*e409</f>
        <v>0</v>
      </c>
      <c r="Y409">
        <f>vlookup("922-096465-100",B:AZ,column(x1),0)*e409</f>
        <v>0</v>
      </c>
      <c r="Z409">
        <f>vlookup("922-096465-100",B:AZ,column(y1),0)*e409</f>
        <v>0</v>
      </c>
      <c r="AA409">
        <f>vlookup("922-096465-100",B:AZ,column(z1),0)*e409</f>
        <v>0</v>
      </c>
      <c r="AB409">
        <f>vlookup("922-096465-100",B:AZ,column(aa1),0)*e409</f>
        <v>0</v>
      </c>
      <c r="AC409">
        <f>vlookup("922-096465-100",B:AZ,column(ab1),0)*e409</f>
        <v>0</v>
      </c>
      <c r="AD409">
        <f>vlookup("922-096465-100",B:AZ,column(ac1),0)*e409</f>
        <v>0</v>
      </c>
      <c r="AE409">
        <f>vlookup("922-096465-100",B:AZ,column(ad1),0)*e409</f>
        <v>0</v>
      </c>
      <c r="AF409">
        <f>vlookup("922-096465-100",B:AZ,column(ae1),0)*e409</f>
        <v>0</v>
      </c>
      <c r="AG409">
        <f>vlookup("922-096465-100",B:AZ,column(af1),0)*e409</f>
        <v>0</v>
      </c>
      <c r="AH409">
        <f>vlookup("922-096465-100",B:AZ,column(ag1),0)*e409</f>
        <v>0</v>
      </c>
      <c r="AI409">
        <f>vlookup("922-096465-100",B:AZ,column(ah1),0)*e409</f>
        <v>0</v>
      </c>
      <c r="AJ409">
        <f>vlookup("922-096465-100",B:AZ,column(ai1),0)*e409</f>
        <v>0</v>
      </c>
      <c r="AK409">
        <f>vlookup("922-096465-100",B:AZ,column(aj1),0)*e409</f>
        <v>0</v>
      </c>
      <c r="AL409">
        <f>vlookup("922-096465-100",B:AZ,column(ak1),0)*e409</f>
        <v>0</v>
      </c>
      <c r="AM409">
        <f>vlookup("922-096465-100",B:AZ,column(al1),0)*e409</f>
        <v>0</v>
      </c>
      <c r="AN409">
        <f>vlookup("922-096465-100",B:AZ,column(am1),0)*e409</f>
        <v>0</v>
      </c>
      <c r="AO409">
        <f>vlookup("922-096465-100",B:AZ,column(an1),0)*e409</f>
        <v>0</v>
      </c>
    </row>
    <row r="410" spans="1:41">
      <c r="A410" t="s">
        <v>22</v>
      </c>
      <c r="B410" t="s">
        <v>416</v>
      </c>
      <c r="C410" t="s">
        <v>417</v>
      </c>
      <c r="E410">
        <v>1</v>
      </c>
      <c r="F410" t="s">
        <v>13</v>
      </c>
      <c r="I410" t="s">
        <v>15</v>
      </c>
      <c r="J410">
        <f>vlookup("922-096465-100",B:AZ,column(i1),0)*e410</f>
        <v>0</v>
      </c>
      <c r="K410">
        <f>vlookup("922-096465-100",B:AZ,column(j1),0)*e410</f>
        <v>0</v>
      </c>
      <c r="L410">
        <f>vlookup("922-096465-100",B:AZ,column(k1),0)*e410</f>
        <v>0</v>
      </c>
      <c r="M410">
        <f>vlookup("922-096465-100",B:AZ,column(l1),0)*e410</f>
        <v>0</v>
      </c>
      <c r="N410">
        <f>vlookup("922-096465-100",B:AZ,column(m1),0)*e410</f>
        <v>0</v>
      </c>
      <c r="O410">
        <f>vlookup("922-096465-100",B:AZ,column(n1),0)*e410</f>
        <v>0</v>
      </c>
      <c r="P410">
        <f>vlookup("922-096465-100",B:AZ,column(o1),0)*e410</f>
        <v>0</v>
      </c>
      <c r="Q410">
        <f>vlookup("922-096465-100",B:AZ,column(p1),0)*e410</f>
        <v>0</v>
      </c>
      <c r="R410">
        <f>vlookup("922-096465-100",B:AZ,column(q1),0)*e410</f>
        <v>0</v>
      </c>
      <c r="S410">
        <f>vlookup("922-096465-100",B:AZ,column(r1),0)*e410</f>
        <v>0</v>
      </c>
      <c r="T410">
        <f>vlookup("922-096465-100",B:AZ,column(s1),0)*e410</f>
        <v>0</v>
      </c>
      <c r="U410">
        <f>vlookup("922-096465-100",B:AZ,column(t1),0)*e410</f>
        <v>0</v>
      </c>
      <c r="V410">
        <f>vlookup("922-096465-100",B:AZ,column(u1),0)*e410</f>
        <v>0</v>
      </c>
      <c r="W410">
        <f>vlookup("922-096465-100",B:AZ,column(v1),0)*e410</f>
        <v>0</v>
      </c>
      <c r="X410">
        <f>vlookup("922-096465-100",B:AZ,column(w1),0)*e410</f>
        <v>0</v>
      </c>
      <c r="Y410">
        <f>vlookup("922-096465-100",B:AZ,column(x1),0)*e410</f>
        <v>0</v>
      </c>
      <c r="Z410">
        <f>vlookup("922-096465-100",B:AZ,column(y1),0)*e410</f>
        <v>0</v>
      </c>
      <c r="AA410">
        <f>vlookup("922-096465-100",B:AZ,column(z1),0)*e410</f>
        <v>0</v>
      </c>
      <c r="AB410">
        <f>vlookup("922-096465-100",B:AZ,column(aa1),0)*e410</f>
        <v>0</v>
      </c>
      <c r="AC410">
        <f>vlookup("922-096465-100",B:AZ,column(ab1),0)*e410</f>
        <v>0</v>
      </c>
      <c r="AD410">
        <f>vlookup("922-096465-100",B:AZ,column(ac1),0)*e410</f>
        <v>0</v>
      </c>
      <c r="AE410">
        <f>vlookup("922-096465-100",B:AZ,column(ad1),0)*e410</f>
        <v>0</v>
      </c>
      <c r="AF410">
        <f>vlookup("922-096465-100",B:AZ,column(ae1),0)*e410</f>
        <v>0</v>
      </c>
      <c r="AG410">
        <f>vlookup("922-096465-100",B:AZ,column(af1),0)*e410</f>
        <v>0</v>
      </c>
      <c r="AH410">
        <f>vlookup("922-096465-100",B:AZ,column(ag1),0)*e410</f>
        <v>0</v>
      </c>
      <c r="AI410">
        <f>vlookup("922-096465-100",B:AZ,column(ah1),0)*e410</f>
        <v>0</v>
      </c>
      <c r="AJ410">
        <f>vlookup("922-096465-100",B:AZ,column(ai1),0)*e410</f>
        <v>0</v>
      </c>
      <c r="AK410">
        <f>vlookup("922-096465-100",B:AZ,column(aj1),0)*e410</f>
        <v>0</v>
      </c>
      <c r="AL410">
        <f>vlookup("922-096465-100",B:AZ,column(ak1),0)*e410</f>
        <v>0</v>
      </c>
      <c r="AM410">
        <f>vlookup("922-096465-100",B:AZ,column(al1),0)*e410</f>
        <v>0</v>
      </c>
      <c r="AN410">
        <f>vlookup("922-096465-100",B:AZ,column(am1),0)*e410</f>
        <v>0</v>
      </c>
      <c r="AO410">
        <f>vlookup("922-096465-100",B:AZ,column(an1),0)*e410</f>
        <v>0</v>
      </c>
    </row>
    <row r="411" spans="1:41">
      <c r="A411" t="s">
        <v>43</v>
      </c>
      <c r="B411" t="s">
        <v>418</v>
      </c>
      <c r="C411" t="s">
        <v>419</v>
      </c>
      <c r="E411">
        <v>0.05</v>
      </c>
      <c r="F411" t="s">
        <v>13</v>
      </c>
      <c r="I411" t="s">
        <v>15</v>
      </c>
      <c r="J411">
        <f>vlookup("922-096465-100",B:AZ,column(i1),0)*e411</f>
        <v>0</v>
      </c>
      <c r="K411">
        <f>vlookup("922-096465-100",B:AZ,column(j1),0)*e411</f>
        <v>0</v>
      </c>
      <c r="L411">
        <f>vlookup("922-096465-100",B:AZ,column(k1),0)*e411</f>
        <v>0</v>
      </c>
      <c r="M411">
        <f>vlookup("922-096465-100",B:AZ,column(l1),0)*e411</f>
        <v>0</v>
      </c>
      <c r="N411">
        <f>vlookup("922-096465-100",B:AZ,column(m1),0)*e411</f>
        <v>0</v>
      </c>
      <c r="O411">
        <f>vlookup("922-096465-100",B:AZ,column(n1),0)*e411</f>
        <v>0</v>
      </c>
      <c r="P411">
        <f>vlookup("922-096465-100",B:AZ,column(o1),0)*e411</f>
        <v>0</v>
      </c>
      <c r="Q411">
        <f>vlookup("922-096465-100",B:AZ,column(p1),0)*e411</f>
        <v>0</v>
      </c>
      <c r="R411">
        <f>vlookup("922-096465-100",B:AZ,column(q1),0)*e411</f>
        <v>0</v>
      </c>
      <c r="S411">
        <f>vlookup("922-096465-100",B:AZ,column(r1),0)*e411</f>
        <v>0</v>
      </c>
      <c r="T411">
        <f>vlookup("922-096465-100",B:AZ,column(s1),0)*e411</f>
        <v>0</v>
      </c>
      <c r="U411">
        <f>vlookup("922-096465-100",B:AZ,column(t1),0)*e411</f>
        <v>0</v>
      </c>
      <c r="V411">
        <f>vlookup("922-096465-100",B:AZ,column(u1),0)*e411</f>
        <v>0</v>
      </c>
      <c r="W411">
        <f>vlookup("922-096465-100",B:AZ,column(v1),0)*e411</f>
        <v>0</v>
      </c>
      <c r="X411">
        <f>vlookup("922-096465-100",B:AZ,column(w1),0)*e411</f>
        <v>0</v>
      </c>
      <c r="Y411">
        <f>vlookup("922-096465-100",B:AZ,column(x1),0)*e411</f>
        <v>0</v>
      </c>
      <c r="Z411">
        <f>vlookup("922-096465-100",B:AZ,column(y1),0)*e411</f>
        <v>0</v>
      </c>
      <c r="AA411">
        <f>vlookup("922-096465-100",B:AZ,column(z1),0)*e411</f>
        <v>0</v>
      </c>
      <c r="AB411">
        <f>vlookup("922-096465-100",B:AZ,column(aa1),0)*e411</f>
        <v>0</v>
      </c>
      <c r="AC411">
        <f>vlookup("922-096465-100",B:AZ,column(ab1),0)*e411</f>
        <v>0</v>
      </c>
      <c r="AD411">
        <f>vlookup("922-096465-100",B:AZ,column(ac1),0)*e411</f>
        <v>0</v>
      </c>
      <c r="AE411">
        <f>vlookup("922-096465-100",B:AZ,column(ad1),0)*e411</f>
        <v>0</v>
      </c>
      <c r="AF411">
        <f>vlookup("922-096465-100",B:AZ,column(ae1),0)*e411</f>
        <v>0</v>
      </c>
      <c r="AG411">
        <f>vlookup("922-096465-100",B:AZ,column(af1),0)*e411</f>
        <v>0</v>
      </c>
      <c r="AH411">
        <f>vlookup("922-096465-100",B:AZ,column(ag1),0)*e411</f>
        <v>0</v>
      </c>
      <c r="AI411">
        <f>vlookup("922-096465-100",B:AZ,column(ah1),0)*e411</f>
        <v>0</v>
      </c>
      <c r="AJ411">
        <f>vlookup("922-096465-100",B:AZ,column(ai1),0)*e411</f>
        <v>0</v>
      </c>
      <c r="AK411">
        <f>vlookup("922-096465-100",B:AZ,column(aj1),0)*e411</f>
        <v>0</v>
      </c>
      <c r="AL411">
        <f>vlookup("922-096465-100",B:AZ,column(ak1),0)*e411</f>
        <v>0</v>
      </c>
      <c r="AM411">
        <f>vlookup("922-096465-100",B:AZ,column(al1),0)*e411</f>
        <v>0</v>
      </c>
      <c r="AN411">
        <f>vlookup("922-096465-100",B:AZ,column(am1),0)*e411</f>
        <v>0</v>
      </c>
      <c r="AO411">
        <f>vlookup("922-096465-100",B:AZ,column(an1),0)*e411</f>
        <v>0</v>
      </c>
    </row>
    <row r="412" spans="1:41">
      <c r="A412" t="s">
        <v>10</v>
      </c>
      <c r="B412" t="s">
        <v>420</v>
      </c>
      <c r="C412" t="s">
        <v>421</v>
      </c>
      <c r="E412">
        <v>1</v>
      </c>
      <c r="F412" t="s">
        <v>13</v>
      </c>
      <c r="I412" t="s">
        <v>14</v>
      </c>
      <c r="AO412">
        <f>sum(j412:an412)</f>
        <v>0</v>
      </c>
    </row>
    <row r="413" spans="1:41">
      <c r="I413" t="s">
        <v>15</v>
      </c>
      <c r="J413">
        <f>vlookup("922-096465-200",Out!B:AZ,column(i1),0)</f>
        <v>0</v>
      </c>
      <c r="K413">
        <f>vlookup("922-096465-200",Out!B:AZ,column(j1),0)</f>
        <v>0</v>
      </c>
      <c r="L413">
        <f>vlookup("922-096465-200",Out!B:AZ,column(k1),0)</f>
        <v>0</v>
      </c>
      <c r="M413">
        <f>vlookup("922-096465-200",Out!B:AZ,column(l1),0)</f>
        <v>0</v>
      </c>
      <c r="N413">
        <f>vlookup("922-096465-200",Out!B:AZ,column(m1),0)</f>
        <v>0</v>
      </c>
      <c r="O413">
        <f>vlookup("922-096465-200",Out!B:AZ,column(n1),0)</f>
        <v>0</v>
      </c>
      <c r="P413">
        <f>vlookup("922-096465-200",Out!B:AZ,column(o1),0)</f>
        <v>0</v>
      </c>
      <c r="Q413">
        <f>vlookup("922-096465-200",Out!B:AZ,column(p1),0)</f>
        <v>0</v>
      </c>
      <c r="R413">
        <f>vlookup("922-096465-200",Out!B:AZ,column(q1),0)</f>
        <v>0</v>
      </c>
      <c r="S413">
        <f>vlookup("922-096465-200",Out!B:AZ,column(r1),0)</f>
        <v>0</v>
      </c>
      <c r="T413">
        <f>vlookup("922-096465-200",Out!B:AZ,column(s1),0)</f>
        <v>0</v>
      </c>
      <c r="U413">
        <f>vlookup("922-096465-200",Out!B:AZ,column(t1),0)</f>
        <v>0</v>
      </c>
      <c r="V413">
        <f>vlookup("922-096465-200",Out!B:AZ,column(u1),0)</f>
        <v>0</v>
      </c>
      <c r="W413">
        <f>vlookup("922-096465-200",Out!B:AZ,column(v1),0)</f>
        <v>0</v>
      </c>
      <c r="X413">
        <f>vlookup("922-096465-200",Out!B:AZ,column(w1),0)</f>
        <v>0</v>
      </c>
      <c r="Y413">
        <f>vlookup("922-096465-200",Out!B:AZ,column(x1),0)</f>
        <v>0</v>
      </c>
      <c r="Z413">
        <f>vlookup("922-096465-200",Out!B:AZ,column(y1),0)</f>
        <v>0</v>
      </c>
      <c r="AA413">
        <f>vlookup("922-096465-200",Out!B:AZ,column(z1),0)</f>
        <v>0</v>
      </c>
      <c r="AB413">
        <f>vlookup("922-096465-200",Out!B:AZ,column(aa1),0)</f>
        <v>0</v>
      </c>
      <c r="AC413">
        <f>vlookup("922-096465-200",Out!B:AZ,column(ab1),0)</f>
        <v>0</v>
      </c>
      <c r="AD413">
        <f>vlookup("922-096465-200",Out!B:AZ,column(ac1),0)</f>
        <v>0</v>
      </c>
      <c r="AE413">
        <f>vlookup("922-096465-200",Out!B:AZ,column(ad1),0)</f>
        <v>0</v>
      </c>
      <c r="AF413">
        <f>vlookup("922-096465-200",Out!B:AZ,column(ae1),0)</f>
        <v>0</v>
      </c>
      <c r="AG413">
        <f>vlookup("922-096465-200",Out!B:AZ,column(af1),0)</f>
        <v>0</v>
      </c>
      <c r="AH413">
        <f>vlookup("922-096465-200",Out!B:AZ,column(ag1),0)</f>
        <v>0</v>
      </c>
      <c r="AI413">
        <f>vlookup("922-096465-200",Out!B:AZ,column(ah1),0)</f>
        <v>0</v>
      </c>
      <c r="AJ413">
        <f>vlookup("922-096465-200",Out!B:AZ,column(ai1),0)</f>
        <v>0</v>
      </c>
      <c r="AK413">
        <f>vlookup("922-096465-200",Out!B:AZ,column(aj1),0)</f>
        <v>0</v>
      </c>
      <c r="AL413">
        <f>vlookup("922-096465-200",Out!B:AZ,column(ak1),0)</f>
        <v>0</v>
      </c>
      <c r="AM413">
        <f>vlookup("922-096465-200",Out!B:AZ,column(al1),0)</f>
        <v>0</v>
      </c>
      <c r="AN413">
        <f>vlookup("922-096465-200",Out!B:AZ,column(am1),0)</f>
        <v>0</v>
      </c>
      <c r="AO413">
        <f>vlookup("922-096465-200",Out!B:AZ,column(an1),0)</f>
        <v>0</v>
      </c>
    </row>
    <row r="414" spans="1:41">
      <c r="H414" t="s">
        <v>16</v>
      </c>
      <c r="J414">
        <f>indirect(address(414,9))+indirect(address(412,10))-indirect(address(413,10))</f>
        <v>0</v>
      </c>
      <c r="K414">
        <f>indirect(address(414,10))+indirect(address(412,11))-indirect(address(413,11))</f>
        <v>0</v>
      </c>
      <c r="L414">
        <f>indirect(address(414,11))+indirect(address(412,12))-indirect(address(413,12))</f>
        <v>0</v>
      </c>
      <c r="M414">
        <f>indirect(address(414,12))+indirect(address(412,13))-indirect(address(413,13))</f>
        <v>0</v>
      </c>
      <c r="N414">
        <f>indirect(address(414,13))+indirect(address(412,14))-indirect(address(413,14))</f>
        <v>0</v>
      </c>
      <c r="O414">
        <f>indirect(address(414,14))+indirect(address(412,15))-indirect(address(413,15))</f>
        <v>0</v>
      </c>
      <c r="P414">
        <f>indirect(address(414,15))+indirect(address(412,16))-indirect(address(413,16))</f>
        <v>0</v>
      </c>
      <c r="Q414">
        <f>indirect(address(414,16))+indirect(address(412,17))-indirect(address(413,17))</f>
        <v>0</v>
      </c>
      <c r="R414">
        <f>indirect(address(414,17))+indirect(address(412,18))-indirect(address(413,18))</f>
        <v>0</v>
      </c>
      <c r="S414">
        <f>indirect(address(414,18))+indirect(address(412,19))-indirect(address(413,19))</f>
        <v>0</v>
      </c>
      <c r="T414">
        <f>indirect(address(414,19))+indirect(address(412,20))-indirect(address(413,20))</f>
        <v>0</v>
      </c>
      <c r="U414">
        <f>indirect(address(414,20))+indirect(address(412,21))-indirect(address(413,21))</f>
        <v>0</v>
      </c>
      <c r="V414">
        <f>indirect(address(414,21))+indirect(address(412,22))-indirect(address(413,22))</f>
        <v>0</v>
      </c>
      <c r="W414">
        <f>indirect(address(414,22))+indirect(address(412,23))-indirect(address(413,23))</f>
        <v>0</v>
      </c>
      <c r="X414">
        <f>indirect(address(414,23))+indirect(address(412,24))-indirect(address(413,24))</f>
        <v>0</v>
      </c>
      <c r="Y414">
        <f>indirect(address(414,24))+indirect(address(412,25))-indirect(address(413,25))</f>
        <v>0</v>
      </c>
      <c r="Z414">
        <f>indirect(address(414,25))+indirect(address(412,26))-indirect(address(413,26))</f>
        <v>0</v>
      </c>
      <c r="AA414">
        <f>indirect(address(414,26))+indirect(address(412,27))-indirect(address(413,27))</f>
        <v>0</v>
      </c>
      <c r="AB414">
        <f>indirect(address(414,27))+indirect(address(412,28))-indirect(address(413,28))</f>
        <v>0</v>
      </c>
      <c r="AC414">
        <f>indirect(address(414,28))+indirect(address(412,29))-indirect(address(413,29))</f>
        <v>0</v>
      </c>
      <c r="AD414">
        <f>indirect(address(414,29))+indirect(address(412,30))-indirect(address(413,30))</f>
        <v>0</v>
      </c>
      <c r="AE414">
        <f>indirect(address(414,30))+indirect(address(412,31))-indirect(address(413,31))</f>
        <v>0</v>
      </c>
      <c r="AF414">
        <f>indirect(address(414,31))+indirect(address(412,32))-indirect(address(413,32))</f>
        <v>0</v>
      </c>
      <c r="AG414">
        <f>indirect(address(414,32))+indirect(address(412,33))-indirect(address(413,33))</f>
        <v>0</v>
      </c>
      <c r="AH414">
        <f>indirect(address(414,33))+indirect(address(412,34))-indirect(address(413,34))</f>
        <v>0</v>
      </c>
      <c r="AI414">
        <f>indirect(address(414,34))+indirect(address(412,35))-indirect(address(413,35))</f>
        <v>0</v>
      </c>
      <c r="AJ414">
        <f>indirect(address(414,35))+indirect(address(412,36))-indirect(address(413,36))</f>
        <v>0</v>
      </c>
      <c r="AK414">
        <f>indirect(address(414,36))+indirect(address(412,37))-indirect(address(413,37))</f>
        <v>0</v>
      </c>
      <c r="AL414">
        <f>indirect(address(414,37))+indirect(address(412,38))-indirect(address(413,38))</f>
        <v>0</v>
      </c>
      <c r="AM414">
        <f>indirect(address(414,38))+indirect(address(412,39))-indirect(address(413,39))</f>
        <v>0</v>
      </c>
      <c r="AN414">
        <f>indirect(address(414,39))+indirect(address(412,40))-indirect(address(413,40))</f>
        <v>0</v>
      </c>
      <c r="AO414">
        <f>indirect(address(414,40))</f>
        <v>0</v>
      </c>
    </row>
    <row r="415" spans="1:41">
      <c r="A415" t="s">
        <v>17</v>
      </c>
      <c r="B415" t="s">
        <v>422</v>
      </c>
      <c r="C415" t="s">
        <v>423</v>
      </c>
      <c r="E415">
        <v>1</v>
      </c>
      <c r="F415" t="s">
        <v>13</v>
      </c>
      <c r="I415" t="s">
        <v>15</v>
      </c>
      <c r="J415">
        <f>vlookup("922-096465-200",B:AZ,column(i1),0)*e415</f>
        <v>0</v>
      </c>
      <c r="K415">
        <f>vlookup("922-096465-200",B:AZ,column(j1),0)*e415</f>
        <v>0</v>
      </c>
      <c r="L415">
        <f>vlookup("922-096465-200",B:AZ,column(k1),0)*e415</f>
        <v>0</v>
      </c>
      <c r="M415">
        <f>vlookup("922-096465-200",B:AZ,column(l1),0)*e415</f>
        <v>0</v>
      </c>
      <c r="N415">
        <f>vlookup("922-096465-200",B:AZ,column(m1),0)*e415</f>
        <v>0</v>
      </c>
      <c r="O415">
        <f>vlookup("922-096465-200",B:AZ,column(n1),0)*e415</f>
        <v>0</v>
      </c>
      <c r="P415">
        <f>vlookup("922-096465-200",B:AZ,column(o1),0)*e415</f>
        <v>0</v>
      </c>
      <c r="Q415">
        <f>vlookup("922-096465-200",B:AZ,column(p1),0)*e415</f>
        <v>0</v>
      </c>
      <c r="R415">
        <f>vlookup("922-096465-200",B:AZ,column(q1),0)*e415</f>
        <v>0</v>
      </c>
      <c r="S415">
        <f>vlookup("922-096465-200",B:AZ,column(r1),0)*e415</f>
        <v>0</v>
      </c>
      <c r="T415">
        <f>vlookup("922-096465-200",B:AZ,column(s1),0)*e415</f>
        <v>0</v>
      </c>
      <c r="U415">
        <f>vlookup("922-096465-200",B:AZ,column(t1),0)*e415</f>
        <v>0</v>
      </c>
      <c r="V415">
        <f>vlookup("922-096465-200",B:AZ,column(u1),0)*e415</f>
        <v>0</v>
      </c>
      <c r="W415">
        <f>vlookup("922-096465-200",B:AZ,column(v1),0)*e415</f>
        <v>0</v>
      </c>
      <c r="X415">
        <f>vlookup("922-096465-200",B:AZ,column(w1),0)*e415</f>
        <v>0</v>
      </c>
      <c r="Y415">
        <f>vlookup("922-096465-200",B:AZ,column(x1),0)*e415</f>
        <v>0</v>
      </c>
      <c r="Z415">
        <f>vlookup("922-096465-200",B:AZ,column(y1),0)*e415</f>
        <v>0</v>
      </c>
      <c r="AA415">
        <f>vlookup("922-096465-200",B:AZ,column(z1),0)*e415</f>
        <v>0</v>
      </c>
      <c r="AB415">
        <f>vlookup("922-096465-200",B:AZ,column(aa1),0)*e415</f>
        <v>0</v>
      </c>
      <c r="AC415">
        <f>vlookup("922-096465-200",B:AZ,column(ab1),0)*e415</f>
        <v>0</v>
      </c>
      <c r="AD415">
        <f>vlookup("922-096465-200",B:AZ,column(ac1),0)*e415</f>
        <v>0</v>
      </c>
      <c r="AE415">
        <f>vlookup("922-096465-200",B:AZ,column(ad1),0)*e415</f>
        <v>0</v>
      </c>
      <c r="AF415">
        <f>vlookup("922-096465-200",B:AZ,column(ae1),0)*e415</f>
        <v>0</v>
      </c>
      <c r="AG415">
        <f>vlookup("922-096465-200",B:AZ,column(af1),0)*e415</f>
        <v>0</v>
      </c>
      <c r="AH415">
        <f>vlookup("922-096465-200",B:AZ,column(ag1),0)*e415</f>
        <v>0</v>
      </c>
      <c r="AI415">
        <f>vlookup("922-096465-200",B:AZ,column(ah1),0)*e415</f>
        <v>0</v>
      </c>
      <c r="AJ415">
        <f>vlookup("922-096465-200",B:AZ,column(ai1),0)*e415</f>
        <v>0</v>
      </c>
      <c r="AK415">
        <f>vlookup("922-096465-200",B:AZ,column(aj1),0)*e415</f>
        <v>0</v>
      </c>
      <c r="AL415">
        <f>vlookup("922-096465-200",B:AZ,column(ak1),0)*e415</f>
        <v>0</v>
      </c>
      <c r="AM415">
        <f>vlookup("922-096465-200",B:AZ,column(al1),0)*e415</f>
        <v>0</v>
      </c>
      <c r="AN415">
        <f>vlookup("922-096465-200",B:AZ,column(am1),0)*e415</f>
        <v>0</v>
      </c>
      <c r="AO415">
        <f>vlookup("922-096465-200",B:AZ,column(an1),0)*e415</f>
        <v>0</v>
      </c>
    </row>
    <row r="416" spans="1:41">
      <c r="A416" t="s">
        <v>22</v>
      </c>
      <c r="B416" t="s">
        <v>424</v>
      </c>
      <c r="C416" t="s">
        <v>425</v>
      </c>
      <c r="E416">
        <v>1</v>
      </c>
      <c r="F416" t="s">
        <v>13</v>
      </c>
      <c r="I416" t="s">
        <v>15</v>
      </c>
      <c r="J416">
        <f>vlookup("922-096465-200",B:AZ,column(i1),0)*e416</f>
        <v>0</v>
      </c>
      <c r="K416">
        <f>vlookup("922-096465-200",B:AZ,column(j1),0)*e416</f>
        <v>0</v>
      </c>
      <c r="L416">
        <f>vlookup("922-096465-200",B:AZ,column(k1),0)*e416</f>
        <v>0</v>
      </c>
      <c r="M416">
        <f>vlookup("922-096465-200",B:AZ,column(l1),0)*e416</f>
        <v>0</v>
      </c>
      <c r="N416">
        <f>vlookup("922-096465-200",B:AZ,column(m1),0)*e416</f>
        <v>0</v>
      </c>
      <c r="O416">
        <f>vlookup("922-096465-200",B:AZ,column(n1),0)*e416</f>
        <v>0</v>
      </c>
      <c r="P416">
        <f>vlookup("922-096465-200",B:AZ,column(o1),0)*e416</f>
        <v>0</v>
      </c>
      <c r="Q416">
        <f>vlookup("922-096465-200",B:AZ,column(p1),0)*e416</f>
        <v>0</v>
      </c>
      <c r="R416">
        <f>vlookup("922-096465-200",B:AZ,column(q1),0)*e416</f>
        <v>0</v>
      </c>
      <c r="S416">
        <f>vlookup("922-096465-200",B:AZ,column(r1),0)*e416</f>
        <v>0</v>
      </c>
      <c r="T416">
        <f>vlookup("922-096465-200",B:AZ,column(s1),0)*e416</f>
        <v>0</v>
      </c>
      <c r="U416">
        <f>vlookup("922-096465-200",B:AZ,column(t1),0)*e416</f>
        <v>0</v>
      </c>
      <c r="V416">
        <f>vlookup("922-096465-200",B:AZ,column(u1),0)*e416</f>
        <v>0</v>
      </c>
      <c r="W416">
        <f>vlookup("922-096465-200",B:AZ,column(v1),0)*e416</f>
        <v>0</v>
      </c>
      <c r="X416">
        <f>vlookup("922-096465-200",B:AZ,column(w1),0)*e416</f>
        <v>0</v>
      </c>
      <c r="Y416">
        <f>vlookup("922-096465-200",B:AZ,column(x1),0)*e416</f>
        <v>0</v>
      </c>
      <c r="Z416">
        <f>vlookup("922-096465-200",B:AZ,column(y1),0)*e416</f>
        <v>0</v>
      </c>
      <c r="AA416">
        <f>vlookup("922-096465-200",B:AZ,column(z1),0)*e416</f>
        <v>0</v>
      </c>
      <c r="AB416">
        <f>vlookup("922-096465-200",B:AZ,column(aa1),0)*e416</f>
        <v>0</v>
      </c>
      <c r="AC416">
        <f>vlookup("922-096465-200",B:AZ,column(ab1),0)*e416</f>
        <v>0</v>
      </c>
      <c r="AD416">
        <f>vlookup("922-096465-200",B:AZ,column(ac1),0)*e416</f>
        <v>0</v>
      </c>
      <c r="AE416">
        <f>vlookup("922-096465-200",B:AZ,column(ad1),0)*e416</f>
        <v>0</v>
      </c>
      <c r="AF416">
        <f>vlookup("922-096465-200",B:AZ,column(ae1),0)*e416</f>
        <v>0</v>
      </c>
      <c r="AG416">
        <f>vlookup("922-096465-200",B:AZ,column(af1),0)*e416</f>
        <v>0</v>
      </c>
      <c r="AH416">
        <f>vlookup("922-096465-200",B:AZ,column(ag1),0)*e416</f>
        <v>0</v>
      </c>
      <c r="AI416">
        <f>vlookup("922-096465-200",B:AZ,column(ah1),0)*e416</f>
        <v>0</v>
      </c>
      <c r="AJ416">
        <f>vlookup("922-096465-200",B:AZ,column(ai1),0)*e416</f>
        <v>0</v>
      </c>
      <c r="AK416">
        <f>vlookup("922-096465-200",B:AZ,column(aj1),0)*e416</f>
        <v>0</v>
      </c>
      <c r="AL416">
        <f>vlookup("922-096465-200",B:AZ,column(ak1),0)*e416</f>
        <v>0</v>
      </c>
      <c r="AM416">
        <f>vlookup("922-096465-200",B:AZ,column(al1),0)*e416</f>
        <v>0</v>
      </c>
      <c r="AN416">
        <f>vlookup("922-096465-200",B:AZ,column(am1),0)*e416</f>
        <v>0</v>
      </c>
      <c r="AO416">
        <f>vlookup("922-096465-200",B:AZ,column(an1),0)*e416</f>
        <v>0</v>
      </c>
    </row>
    <row r="417" spans="1:41">
      <c r="A417" t="s">
        <v>43</v>
      </c>
      <c r="B417" t="s">
        <v>426</v>
      </c>
      <c r="C417" t="s">
        <v>427</v>
      </c>
      <c r="E417">
        <v>0.05</v>
      </c>
      <c r="F417" t="s">
        <v>13</v>
      </c>
      <c r="I417" t="s">
        <v>15</v>
      </c>
      <c r="J417">
        <f>vlookup("922-096465-200",B:AZ,column(i1),0)*e417</f>
        <v>0</v>
      </c>
      <c r="K417">
        <f>vlookup("922-096465-200",B:AZ,column(j1),0)*e417</f>
        <v>0</v>
      </c>
      <c r="L417">
        <f>vlookup("922-096465-200",B:AZ,column(k1),0)*e417</f>
        <v>0</v>
      </c>
      <c r="M417">
        <f>vlookup("922-096465-200",B:AZ,column(l1),0)*e417</f>
        <v>0</v>
      </c>
      <c r="N417">
        <f>vlookup("922-096465-200",B:AZ,column(m1),0)*e417</f>
        <v>0</v>
      </c>
      <c r="O417">
        <f>vlookup("922-096465-200",B:AZ,column(n1),0)*e417</f>
        <v>0</v>
      </c>
      <c r="P417">
        <f>vlookup("922-096465-200",B:AZ,column(o1),0)*e417</f>
        <v>0</v>
      </c>
      <c r="Q417">
        <f>vlookup("922-096465-200",B:AZ,column(p1),0)*e417</f>
        <v>0</v>
      </c>
      <c r="R417">
        <f>vlookup("922-096465-200",B:AZ,column(q1),0)*e417</f>
        <v>0</v>
      </c>
      <c r="S417">
        <f>vlookup("922-096465-200",B:AZ,column(r1),0)*e417</f>
        <v>0</v>
      </c>
      <c r="T417">
        <f>vlookup("922-096465-200",B:AZ,column(s1),0)*e417</f>
        <v>0</v>
      </c>
      <c r="U417">
        <f>vlookup("922-096465-200",B:AZ,column(t1),0)*e417</f>
        <v>0</v>
      </c>
      <c r="V417">
        <f>vlookup("922-096465-200",B:AZ,column(u1),0)*e417</f>
        <v>0</v>
      </c>
      <c r="W417">
        <f>vlookup("922-096465-200",B:AZ,column(v1),0)*e417</f>
        <v>0</v>
      </c>
      <c r="X417">
        <f>vlookup("922-096465-200",B:AZ,column(w1),0)*e417</f>
        <v>0</v>
      </c>
      <c r="Y417">
        <f>vlookup("922-096465-200",B:AZ,column(x1),0)*e417</f>
        <v>0</v>
      </c>
      <c r="Z417">
        <f>vlookup("922-096465-200",B:AZ,column(y1),0)*e417</f>
        <v>0</v>
      </c>
      <c r="AA417">
        <f>vlookup("922-096465-200",B:AZ,column(z1),0)*e417</f>
        <v>0</v>
      </c>
      <c r="AB417">
        <f>vlookup("922-096465-200",B:AZ,column(aa1),0)*e417</f>
        <v>0</v>
      </c>
      <c r="AC417">
        <f>vlookup("922-096465-200",B:AZ,column(ab1),0)*e417</f>
        <v>0</v>
      </c>
      <c r="AD417">
        <f>vlookup("922-096465-200",B:AZ,column(ac1),0)*e417</f>
        <v>0</v>
      </c>
      <c r="AE417">
        <f>vlookup("922-096465-200",B:AZ,column(ad1),0)*e417</f>
        <v>0</v>
      </c>
      <c r="AF417">
        <f>vlookup("922-096465-200",B:AZ,column(ae1),0)*e417</f>
        <v>0</v>
      </c>
      <c r="AG417">
        <f>vlookup("922-096465-200",B:AZ,column(af1),0)*e417</f>
        <v>0</v>
      </c>
      <c r="AH417">
        <f>vlookup("922-096465-200",B:AZ,column(ag1),0)*e417</f>
        <v>0</v>
      </c>
      <c r="AI417">
        <f>vlookup("922-096465-200",B:AZ,column(ah1),0)*e417</f>
        <v>0</v>
      </c>
      <c r="AJ417">
        <f>vlookup("922-096465-200",B:AZ,column(ai1),0)*e417</f>
        <v>0</v>
      </c>
      <c r="AK417">
        <f>vlookup("922-096465-200",B:AZ,column(aj1),0)*e417</f>
        <v>0</v>
      </c>
      <c r="AL417">
        <f>vlookup("922-096465-200",B:AZ,column(ak1),0)*e417</f>
        <v>0</v>
      </c>
      <c r="AM417">
        <f>vlookup("922-096465-200",B:AZ,column(al1),0)*e417</f>
        <v>0</v>
      </c>
      <c r="AN417">
        <f>vlookup("922-096465-200",B:AZ,column(am1),0)*e417</f>
        <v>0</v>
      </c>
      <c r="AO417">
        <f>vlookup("922-096465-200",B:AZ,column(an1),0)*e417</f>
        <v>0</v>
      </c>
    </row>
    <row r="418" spans="1:41">
      <c r="A418" t="s">
        <v>10</v>
      </c>
      <c r="B418" t="s">
        <v>428</v>
      </c>
      <c r="C418" t="s">
        <v>429</v>
      </c>
      <c r="E418">
        <v>1</v>
      </c>
      <c r="F418" t="s">
        <v>13</v>
      </c>
      <c r="I418" t="s">
        <v>14</v>
      </c>
      <c r="AO418">
        <f>sum(j418:an418)</f>
        <v>0</v>
      </c>
    </row>
    <row r="419" spans="1:41">
      <c r="I419" t="s">
        <v>15</v>
      </c>
      <c r="J419">
        <f>vlookup("922-096465-300",Out!B:AZ,column(i1),0)</f>
        <v>0</v>
      </c>
      <c r="K419">
        <f>vlookup("922-096465-300",Out!B:AZ,column(j1),0)</f>
        <v>0</v>
      </c>
      <c r="L419">
        <f>vlookup("922-096465-300",Out!B:AZ,column(k1),0)</f>
        <v>0</v>
      </c>
      <c r="M419">
        <f>vlookup("922-096465-300",Out!B:AZ,column(l1),0)</f>
        <v>0</v>
      </c>
      <c r="N419">
        <f>vlookup("922-096465-300",Out!B:AZ,column(m1),0)</f>
        <v>0</v>
      </c>
      <c r="O419">
        <f>vlookup("922-096465-300",Out!B:AZ,column(n1),0)</f>
        <v>0</v>
      </c>
      <c r="P419">
        <f>vlookup("922-096465-300",Out!B:AZ,column(o1),0)</f>
        <v>0</v>
      </c>
      <c r="Q419">
        <f>vlookup("922-096465-300",Out!B:AZ,column(p1),0)</f>
        <v>0</v>
      </c>
      <c r="R419">
        <f>vlookup("922-096465-300",Out!B:AZ,column(q1),0)</f>
        <v>0</v>
      </c>
      <c r="S419">
        <f>vlookup("922-096465-300",Out!B:AZ,column(r1),0)</f>
        <v>0</v>
      </c>
      <c r="T419">
        <f>vlookup("922-096465-300",Out!B:AZ,column(s1),0)</f>
        <v>0</v>
      </c>
      <c r="U419">
        <f>vlookup("922-096465-300",Out!B:AZ,column(t1),0)</f>
        <v>0</v>
      </c>
      <c r="V419">
        <f>vlookup("922-096465-300",Out!B:AZ,column(u1),0)</f>
        <v>0</v>
      </c>
      <c r="W419">
        <f>vlookup("922-096465-300",Out!B:AZ,column(v1),0)</f>
        <v>0</v>
      </c>
      <c r="X419">
        <f>vlookup("922-096465-300",Out!B:AZ,column(w1),0)</f>
        <v>0</v>
      </c>
      <c r="Y419">
        <f>vlookup("922-096465-300",Out!B:AZ,column(x1),0)</f>
        <v>0</v>
      </c>
      <c r="Z419">
        <f>vlookup("922-096465-300",Out!B:AZ,column(y1),0)</f>
        <v>0</v>
      </c>
      <c r="AA419">
        <f>vlookup("922-096465-300",Out!B:AZ,column(z1),0)</f>
        <v>0</v>
      </c>
      <c r="AB419">
        <f>vlookup("922-096465-300",Out!B:AZ,column(aa1),0)</f>
        <v>0</v>
      </c>
      <c r="AC419">
        <f>vlookup("922-096465-300",Out!B:AZ,column(ab1),0)</f>
        <v>0</v>
      </c>
      <c r="AD419">
        <f>vlookup("922-096465-300",Out!B:AZ,column(ac1),0)</f>
        <v>0</v>
      </c>
      <c r="AE419">
        <f>vlookup("922-096465-300",Out!B:AZ,column(ad1),0)</f>
        <v>0</v>
      </c>
      <c r="AF419">
        <f>vlookup("922-096465-300",Out!B:AZ,column(ae1),0)</f>
        <v>0</v>
      </c>
      <c r="AG419">
        <f>vlookup("922-096465-300",Out!B:AZ,column(af1),0)</f>
        <v>0</v>
      </c>
      <c r="AH419">
        <f>vlookup("922-096465-300",Out!B:AZ,column(ag1),0)</f>
        <v>0</v>
      </c>
      <c r="AI419">
        <f>vlookup("922-096465-300",Out!B:AZ,column(ah1),0)</f>
        <v>0</v>
      </c>
      <c r="AJ419">
        <f>vlookup("922-096465-300",Out!B:AZ,column(ai1),0)</f>
        <v>0</v>
      </c>
      <c r="AK419">
        <f>vlookup("922-096465-300",Out!B:AZ,column(aj1),0)</f>
        <v>0</v>
      </c>
      <c r="AL419">
        <f>vlookup("922-096465-300",Out!B:AZ,column(ak1),0)</f>
        <v>0</v>
      </c>
      <c r="AM419">
        <f>vlookup("922-096465-300",Out!B:AZ,column(al1),0)</f>
        <v>0</v>
      </c>
      <c r="AN419">
        <f>vlookup("922-096465-300",Out!B:AZ,column(am1),0)</f>
        <v>0</v>
      </c>
      <c r="AO419">
        <f>vlookup("922-096465-300",Out!B:AZ,column(an1),0)</f>
        <v>0</v>
      </c>
    </row>
    <row r="420" spans="1:41">
      <c r="H420" t="s">
        <v>16</v>
      </c>
      <c r="J420">
        <f>indirect(address(420,9))+indirect(address(418,10))-indirect(address(419,10))</f>
        <v>0</v>
      </c>
      <c r="K420">
        <f>indirect(address(420,10))+indirect(address(418,11))-indirect(address(419,11))</f>
        <v>0</v>
      </c>
      <c r="L420">
        <f>indirect(address(420,11))+indirect(address(418,12))-indirect(address(419,12))</f>
        <v>0</v>
      </c>
      <c r="M420">
        <f>indirect(address(420,12))+indirect(address(418,13))-indirect(address(419,13))</f>
        <v>0</v>
      </c>
      <c r="N420">
        <f>indirect(address(420,13))+indirect(address(418,14))-indirect(address(419,14))</f>
        <v>0</v>
      </c>
      <c r="O420">
        <f>indirect(address(420,14))+indirect(address(418,15))-indirect(address(419,15))</f>
        <v>0</v>
      </c>
      <c r="P420">
        <f>indirect(address(420,15))+indirect(address(418,16))-indirect(address(419,16))</f>
        <v>0</v>
      </c>
      <c r="Q420">
        <f>indirect(address(420,16))+indirect(address(418,17))-indirect(address(419,17))</f>
        <v>0</v>
      </c>
      <c r="R420">
        <f>indirect(address(420,17))+indirect(address(418,18))-indirect(address(419,18))</f>
        <v>0</v>
      </c>
      <c r="S420">
        <f>indirect(address(420,18))+indirect(address(418,19))-indirect(address(419,19))</f>
        <v>0</v>
      </c>
      <c r="T420">
        <f>indirect(address(420,19))+indirect(address(418,20))-indirect(address(419,20))</f>
        <v>0</v>
      </c>
      <c r="U420">
        <f>indirect(address(420,20))+indirect(address(418,21))-indirect(address(419,21))</f>
        <v>0</v>
      </c>
      <c r="V420">
        <f>indirect(address(420,21))+indirect(address(418,22))-indirect(address(419,22))</f>
        <v>0</v>
      </c>
      <c r="W420">
        <f>indirect(address(420,22))+indirect(address(418,23))-indirect(address(419,23))</f>
        <v>0</v>
      </c>
      <c r="X420">
        <f>indirect(address(420,23))+indirect(address(418,24))-indirect(address(419,24))</f>
        <v>0</v>
      </c>
      <c r="Y420">
        <f>indirect(address(420,24))+indirect(address(418,25))-indirect(address(419,25))</f>
        <v>0</v>
      </c>
      <c r="Z420">
        <f>indirect(address(420,25))+indirect(address(418,26))-indirect(address(419,26))</f>
        <v>0</v>
      </c>
      <c r="AA420">
        <f>indirect(address(420,26))+indirect(address(418,27))-indirect(address(419,27))</f>
        <v>0</v>
      </c>
      <c r="AB420">
        <f>indirect(address(420,27))+indirect(address(418,28))-indirect(address(419,28))</f>
        <v>0</v>
      </c>
      <c r="AC420">
        <f>indirect(address(420,28))+indirect(address(418,29))-indirect(address(419,29))</f>
        <v>0</v>
      </c>
      <c r="AD420">
        <f>indirect(address(420,29))+indirect(address(418,30))-indirect(address(419,30))</f>
        <v>0</v>
      </c>
      <c r="AE420">
        <f>indirect(address(420,30))+indirect(address(418,31))-indirect(address(419,31))</f>
        <v>0</v>
      </c>
      <c r="AF420">
        <f>indirect(address(420,31))+indirect(address(418,32))-indirect(address(419,32))</f>
        <v>0</v>
      </c>
      <c r="AG420">
        <f>indirect(address(420,32))+indirect(address(418,33))-indirect(address(419,33))</f>
        <v>0</v>
      </c>
      <c r="AH420">
        <f>indirect(address(420,33))+indirect(address(418,34))-indirect(address(419,34))</f>
        <v>0</v>
      </c>
      <c r="AI420">
        <f>indirect(address(420,34))+indirect(address(418,35))-indirect(address(419,35))</f>
        <v>0</v>
      </c>
      <c r="AJ420">
        <f>indirect(address(420,35))+indirect(address(418,36))-indirect(address(419,36))</f>
        <v>0</v>
      </c>
      <c r="AK420">
        <f>indirect(address(420,36))+indirect(address(418,37))-indirect(address(419,37))</f>
        <v>0</v>
      </c>
      <c r="AL420">
        <f>indirect(address(420,37))+indirect(address(418,38))-indirect(address(419,38))</f>
        <v>0</v>
      </c>
      <c r="AM420">
        <f>indirect(address(420,38))+indirect(address(418,39))-indirect(address(419,39))</f>
        <v>0</v>
      </c>
      <c r="AN420">
        <f>indirect(address(420,39))+indirect(address(418,40))-indirect(address(419,40))</f>
        <v>0</v>
      </c>
      <c r="AO420">
        <f>indirect(address(420,40))</f>
        <v>0</v>
      </c>
    </row>
    <row r="421" spans="1:41">
      <c r="A421" t="s">
        <v>17</v>
      </c>
      <c r="B421" t="s">
        <v>414</v>
      </c>
      <c r="C421" t="s">
        <v>415</v>
      </c>
      <c r="E421">
        <v>1</v>
      </c>
      <c r="F421" t="s">
        <v>13</v>
      </c>
      <c r="I421" t="s">
        <v>15</v>
      </c>
      <c r="J421">
        <f>vlookup("922-096465-300",B:AZ,column(i1),0)*e421</f>
        <v>0</v>
      </c>
      <c r="K421">
        <f>vlookup("922-096465-300",B:AZ,column(j1),0)*e421</f>
        <v>0</v>
      </c>
      <c r="L421">
        <f>vlookup("922-096465-300",B:AZ,column(k1),0)*e421</f>
        <v>0</v>
      </c>
      <c r="M421">
        <f>vlookup("922-096465-300",B:AZ,column(l1),0)*e421</f>
        <v>0</v>
      </c>
      <c r="N421">
        <f>vlookup("922-096465-300",B:AZ,column(m1),0)*e421</f>
        <v>0</v>
      </c>
      <c r="O421">
        <f>vlookup("922-096465-300",B:AZ,column(n1),0)*e421</f>
        <v>0</v>
      </c>
      <c r="P421">
        <f>vlookup("922-096465-300",B:AZ,column(o1),0)*e421</f>
        <v>0</v>
      </c>
      <c r="Q421">
        <f>vlookup("922-096465-300",B:AZ,column(p1),0)*e421</f>
        <v>0</v>
      </c>
      <c r="R421">
        <f>vlookup("922-096465-300",B:AZ,column(q1),0)*e421</f>
        <v>0</v>
      </c>
      <c r="S421">
        <f>vlookup("922-096465-300",B:AZ,column(r1),0)*e421</f>
        <v>0</v>
      </c>
      <c r="T421">
        <f>vlookup("922-096465-300",B:AZ,column(s1),0)*e421</f>
        <v>0</v>
      </c>
      <c r="U421">
        <f>vlookup("922-096465-300",B:AZ,column(t1),0)*e421</f>
        <v>0</v>
      </c>
      <c r="V421">
        <f>vlookup("922-096465-300",B:AZ,column(u1),0)*e421</f>
        <v>0</v>
      </c>
      <c r="W421">
        <f>vlookup("922-096465-300",B:AZ,column(v1),0)*e421</f>
        <v>0</v>
      </c>
      <c r="X421">
        <f>vlookup("922-096465-300",B:AZ,column(w1),0)*e421</f>
        <v>0</v>
      </c>
      <c r="Y421">
        <f>vlookup("922-096465-300",B:AZ,column(x1),0)*e421</f>
        <v>0</v>
      </c>
      <c r="Z421">
        <f>vlookup("922-096465-300",B:AZ,column(y1),0)*e421</f>
        <v>0</v>
      </c>
      <c r="AA421">
        <f>vlookup("922-096465-300",B:AZ,column(z1),0)*e421</f>
        <v>0</v>
      </c>
      <c r="AB421">
        <f>vlookup("922-096465-300",B:AZ,column(aa1),0)*e421</f>
        <v>0</v>
      </c>
      <c r="AC421">
        <f>vlookup("922-096465-300",B:AZ,column(ab1),0)*e421</f>
        <v>0</v>
      </c>
      <c r="AD421">
        <f>vlookup("922-096465-300",B:AZ,column(ac1),0)*e421</f>
        <v>0</v>
      </c>
      <c r="AE421">
        <f>vlookup("922-096465-300",B:AZ,column(ad1),0)*e421</f>
        <v>0</v>
      </c>
      <c r="AF421">
        <f>vlookup("922-096465-300",B:AZ,column(ae1),0)*e421</f>
        <v>0</v>
      </c>
      <c r="AG421">
        <f>vlookup("922-096465-300",B:AZ,column(af1),0)*e421</f>
        <v>0</v>
      </c>
      <c r="AH421">
        <f>vlookup("922-096465-300",B:AZ,column(ag1),0)*e421</f>
        <v>0</v>
      </c>
      <c r="AI421">
        <f>vlookup("922-096465-300",B:AZ,column(ah1),0)*e421</f>
        <v>0</v>
      </c>
      <c r="AJ421">
        <f>vlookup("922-096465-300",B:AZ,column(ai1),0)*e421</f>
        <v>0</v>
      </c>
      <c r="AK421">
        <f>vlookup("922-096465-300",B:AZ,column(aj1),0)*e421</f>
        <v>0</v>
      </c>
      <c r="AL421">
        <f>vlookup("922-096465-300",B:AZ,column(ak1),0)*e421</f>
        <v>0</v>
      </c>
      <c r="AM421">
        <f>vlookup("922-096465-300",B:AZ,column(al1),0)*e421</f>
        <v>0</v>
      </c>
      <c r="AN421">
        <f>vlookup("922-096465-300",B:AZ,column(am1),0)*e421</f>
        <v>0</v>
      </c>
      <c r="AO421">
        <f>vlookup("922-096465-300",B:AZ,column(an1),0)*e421</f>
        <v>0</v>
      </c>
    </row>
    <row r="422" spans="1:41">
      <c r="A422" t="s">
        <v>22</v>
      </c>
      <c r="B422" t="s">
        <v>430</v>
      </c>
      <c r="C422" t="s">
        <v>431</v>
      </c>
      <c r="E422">
        <v>1</v>
      </c>
      <c r="F422" t="s">
        <v>13</v>
      </c>
      <c r="I422" t="s">
        <v>15</v>
      </c>
      <c r="J422">
        <f>vlookup("922-096465-300",B:AZ,column(i1),0)*e422</f>
        <v>0</v>
      </c>
      <c r="K422">
        <f>vlookup("922-096465-300",B:AZ,column(j1),0)*e422</f>
        <v>0</v>
      </c>
      <c r="L422">
        <f>vlookup("922-096465-300",B:AZ,column(k1),0)*e422</f>
        <v>0</v>
      </c>
      <c r="M422">
        <f>vlookup("922-096465-300",B:AZ,column(l1),0)*e422</f>
        <v>0</v>
      </c>
      <c r="N422">
        <f>vlookup("922-096465-300",B:AZ,column(m1),0)*e422</f>
        <v>0</v>
      </c>
      <c r="O422">
        <f>vlookup("922-096465-300",B:AZ,column(n1),0)*e422</f>
        <v>0</v>
      </c>
      <c r="P422">
        <f>vlookup("922-096465-300",B:AZ,column(o1),0)*e422</f>
        <v>0</v>
      </c>
      <c r="Q422">
        <f>vlookup("922-096465-300",B:AZ,column(p1),0)*e422</f>
        <v>0</v>
      </c>
      <c r="R422">
        <f>vlookup("922-096465-300",B:AZ,column(q1),0)*e422</f>
        <v>0</v>
      </c>
      <c r="S422">
        <f>vlookup("922-096465-300",B:AZ,column(r1),0)*e422</f>
        <v>0</v>
      </c>
      <c r="T422">
        <f>vlookup("922-096465-300",B:AZ,column(s1),0)*e422</f>
        <v>0</v>
      </c>
      <c r="U422">
        <f>vlookup("922-096465-300",B:AZ,column(t1),0)*e422</f>
        <v>0</v>
      </c>
      <c r="V422">
        <f>vlookup("922-096465-300",B:AZ,column(u1),0)*e422</f>
        <v>0</v>
      </c>
      <c r="W422">
        <f>vlookup("922-096465-300",B:AZ,column(v1),0)*e422</f>
        <v>0</v>
      </c>
      <c r="X422">
        <f>vlookup("922-096465-300",B:AZ,column(w1),0)*e422</f>
        <v>0</v>
      </c>
      <c r="Y422">
        <f>vlookup("922-096465-300",B:AZ,column(x1),0)*e422</f>
        <v>0</v>
      </c>
      <c r="Z422">
        <f>vlookup("922-096465-300",B:AZ,column(y1),0)*e422</f>
        <v>0</v>
      </c>
      <c r="AA422">
        <f>vlookup("922-096465-300",B:AZ,column(z1),0)*e422</f>
        <v>0</v>
      </c>
      <c r="AB422">
        <f>vlookup("922-096465-300",B:AZ,column(aa1),0)*e422</f>
        <v>0</v>
      </c>
      <c r="AC422">
        <f>vlookup("922-096465-300",B:AZ,column(ab1),0)*e422</f>
        <v>0</v>
      </c>
      <c r="AD422">
        <f>vlookup("922-096465-300",B:AZ,column(ac1),0)*e422</f>
        <v>0</v>
      </c>
      <c r="AE422">
        <f>vlookup("922-096465-300",B:AZ,column(ad1),0)*e422</f>
        <v>0</v>
      </c>
      <c r="AF422">
        <f>vlookup("922-096465-300",B:AZ,column(ae1),0)*e422</f>
        <v>0</v>
      </c>
      <c r="AG422">
        <f>vlookup("922-096465-300",B:AZ,column(af1),0)*e422</f>
        <v>0</v>
      </c>
      <c r="AH422">
        <f>vlookup("922-096465-300",B:AZ,column(ag1),0)*e422</f>
        <v>0</v>
      </c>
      <c r="AI422">
        <f>vlookup("922-096465-300",B:AZ,column(ah1),0)*e422</f>
        <v>0</v>
      </c>
      <c r="AJ422">
        <f>vlookup("922-096465-300",B:AZ,column(ai1),0)*e422</f>
        <v>0</v>
      </c>
      <c r="AK422">
        <f>vlookup("922-096465-300",B:AZ,column(aj1),0)*e422</f>
        <v>0</v>
      </c>
      <c r="AL422">
        <f>vlookup("922-096465-300",B:AZ,column(ak1),0)*e422</f>
        <v>0</v>
      </c>
      <c r="AM422">
        <f>vlookup("922-096465-300",B:AZ,column(al1),0)*e422</f>
        <v>0</v>
      </c>
      <c r="AN422">
        <f>vlookup("922-096465-300",B:AZ,column(am1),0)*e422</f>
        <v>0</v>
      </c>
      <c r="AO422">
        <f>vlookup("922-096465-300",B:AZ,column(an1),0)*e422</f>
        <v>0</v>
      </c>
    </row>
    <row r="423" spans="1:41">
      <c r="A423" t="s">
        <v>43</v>
      </c>
      <c r="B423" t="s">
        <v>432</v>
      </c>
      <c r="C423" t="s">
        <v>433</v>
      </c>
      <c r="E423">
        <v>0.05</v>
      </c>
      <c r="F423" t="s">
        <v>13</v>
      </c>
      <c r="I423" t="s">
        <v>15</v>
      </c>
      <c r="J423">
        <f>vlookup("922-096465-300",B:AZ,column(i1),0)*e423</f>
        <v>0</v>
      </c>
      <c r="K423">
        <f>vlookup("922-096465-300",B:AZ,column(j1),0)*e423</f>
        <v>0</v>
      </c>
      <c r="L423">
        <f>vlookup("922-096465-300",B:AZ,column(k1),0)*e423</f>
        <v>0</v>
      </c>
      <c r="M423">
        <f>vlookup("922-096465-300",B:AZ,column(l1),0)*e423</f>
        <v>0</v>
      </c>
      <c r="N423">
        <f>vlookup("922-096465-300",B:AZ,column(m1),0)*e423</f>
        <v>0</v>
      </c>
      <c r="O423">
        <f>vlookup("922-096465-300",B:AZ,column(n1),0)*e423</f>
        <v>0</v>
      </c>
      <c r="P423">
        <f>vlookup("922-096465-300",B:AZ,column(o1),0)*e423</f>
        <v>0</v>
      </c>
      <c r="Q423">
        <f>vlookup("922-096465-300",B:AZ,column(p1),0)*e423</f>
        <v>0</v>
      </c>
      <c r="R423">
        <f>vlookup("922-096465-300",B:AZ,column(q1),0)*e423</f>
        <v>0</v>
      </c>
      <c r="S423">
        <f>vlookup("922-096465-300",B:AZ,column(r1),0)*e423</f>
        <v>0</v>
      </c>
      <c r="T423">
        <f>vlookup("922-096465-300",B:AZ,column(s1),0)*e423</f>
        <v>0</v>
      </c>
      <c r="U423">
        <f>vlookup("922-096465-300",B:AZ,column(t1),0)*e423</f>
        <v>0</v>
      </c>
      <c r="V423">
        <f>vlookup("922-096465-300",B:AZ,column(u1),0)*e423</f>
        <v>0</v>
      </c>
      <c r="W423">
        <f>vlookup("922-096465-300",B:AZ,column(v1),0)*e423</f>
        <v>0</v>
      </c>
      <c r="X423">
        <f>vlookup("922-096465-300",B:AZ,column(w1),0)*e423</f>
        <v>0</v>
      </c>
      <c r="Y423">
        <f>vlookup("922-096465-300",B:AZ,column(x1),0)*e423</f>
        <v>0</v>
      </c>
      <c r="Z423">
        <f>vlookup("922-096465-300",B:AZ,column(y1),0)*e423</f>
        <v>0</v>
      </c>
      <c r="AA423">
        <f>vlookup("922-096465-300",B:AZ,column(z1),0)*e423</f>
        <v>0</v>
      </c>
      <c r="AB423">
        <f>vlookup("922-096465-300",B:AZ,column(aa1),0)*e423</f>
        <v>0</v>
      </c>
      <c r="AC423">
        <f>vlookup("922-096465-300",B:AZ,column(ab1),0)*e423</f>
        <v>0</v>
      </c>
      <c r="AD423">
        <f>vlookup("922-096465-300",B:AZ,column(ac1),0)*e423</f>
        <v>0</v>
      </c>
      <c r="AE423">
        <f>vlookup("922-096465-300",B:AZ,column(ad1),0)*e423</f>
        <v>0</v>
      </c>
      <c r="AF423">
        <f>vlookup("922-096465-300",B:AZ,column(ae1),0)*e423</f>
        <v>0</v>
      </c>
      <c r="AG423">
        <f>vlookup("922-096465-300",B:AZ,column(af1),0)*e423</f>
        <v>0</v>
      </c>
      <c r="AH423">
        <f>vlookup("922-096465-300",B:AZ,column(ag1),0)*e423</f>
        <v>0</v>
      </c>
      <c r="AI423">
        <f>vlookup("922-096465-300",B:AZ,column(ah1),0)*e423</f>
        <v>0</v>
      </c>
      <c r="AJ423">
        <f>vlookup("922-096465-300",B:AZ,column(ai1),0)*e423</f>
        <v>0</v>
      </c>
      <c r="AK423">
        <f>vlookup("922-096465-300",B:AZ,column(aj1),0)*e423</f>
        <v>0</v>
      </c>
      <c r="AL423">
        <f>vlookup("922-096465-300",B:AZ,column(ak1),0)*e423</f>
        <v>0</v>
      </c>
      <c r="AM423">
        <f>vlookup("922-096465-300",B:AZ,column(al1),0)*e423</f>
        <v>0</v>
      </c>
      <c r="AN423">
        <f>vlookup("922-096465-300",B:AZ,column(am1),0)*e423</f>
        <v>0</v>
      </c>
      <c r="AO423">
        <f>vlookup("922-096465-300",B:AZ,column(an1),0)*e423</f>
        <v>0</v>
      </c>
    </row>
    <row r="424" spans="1:41">
      <c r="A424" t="s">
        <v>10</v>
      </c>
      <c r="B424" t="s">
        <v>434</v>
      </c>
      <c r="C424" t="s">
        <v>435</v>
      </c>
      <c r="E424">
        <v>1</v>
      </c>
      <c r="F424" t="s">
        <v>13</v>
      </c>
      <c r="I424" t="s">
        <v>14</v>
      </c>
      <c r="AO424">
        <f>sum(j424:an424)</f>
        <v>0</v>
      </c>
    </row>
    <row r="425" spans="1:41">
      <c r="I425" t="s">
        <v>15</v>
      </c>
      <c r="J425">
        <f>vlookup("922-096465-400",Out!B:AZ,column(i1),0)</f>
        <v>0</v>
      </c>
      <c r="K425">
        <f>vlookup("922-096465-400",Out!B:AZ,column(j1),0)</f>
        <v>0</v>
      </c>
      <c r="L425">
        <f>vlookup("922-096465-400",Out!B:AZ,column(k1),0)</f>
        <v>0</v>
      </c>
      <c r="M425">
        <f>vlookup("922-096465-400",Out!B:AZ,column(l1),0)</f>
        <v>0</v>
      </c>
      <c r="N425">
        <f>vlookup("922-096465-400",Out!B:AZ,column(m1),0)</f>
        <v>0</v>
      </c>
      <c r="O425">
        <f>vlookup("922-096465-400",Out!B:AZ,column(n1),0)</f>
        <v>0</v>
      </c>
      <c r="P425">
        <f>vlookup("922-096465-400",Out!B:AZ,column(o1),0)</f>
        <v>0</v>
      </c>
      <c r="Q425">
        <f>vlookup("922-096465-400",Out!B:AZ,column(p1),0)</f>
        <v>0</v>
      </c>
      <c r="R425">
        <f>vlookup("922-096465-400",Out!B:AZ,column(q1),0)</f>
        <v>0</v>
      </c>
      <c r="S425">
        <f>vlookup("922-096465-400",Out!B:AZ,column(r1),0)</f>
        <v>0</v>
      </c>
      <c r="T425">
        <f>vlookup("922-096465-400",Out!B:AZ,column(s1),0)</f>
        <v>0</v>
      </c>
      <c r="U425">
        <f>vlookup("922-096465-400",Out!B:AZ,column(t1),0)</f>
        <v>0</v>
      </c>
      <c r="V425">
        <f>vlookup("922-096465-400",Out!B:AZ,column(u1),0)</f>
        <v>0</v>
      </c>
      <c r="W425">
        <f>vlookup("922-096465-400",Out!B:AZ,column(v1),0)</f>
        <v>0</v>
      </c>
      <c r="X425">
        <f>vlookup("922-096465-400",Out!B:AZ,column(w1),0)</f>
        <v>0</v>
      </c>
      <c r="Y425">
        <f>vlookup("922-096465-400",Out!B:AZ,column(x1),0)</f>
        <v>0</v>
      </c>
      <c r="Z425">
        <f>vlookup("922-096465-400",Out!B:AZ,column(y1),0)</f>
        <v>0</v>
      </c>
      <c r="AA425">
        <f>vlookup("922-096465-400",Out!B:AZ,column(z1),0)</f>
        <v>0</v>
      </c>
      <c r="AB425">
        <f>vlookup("922-096465-400",Out!B:AZ,column(aa1),0)</f>
        <v>0</v>
      </c>
      <c r="AC425">
        <f>vlookup("922-096465-400",Out!B:AZ,column(ab1),0)</f>
        <v>0</v>
      </c>
      <c r="AD425">
        <f>vlookup("922-096465-400",Out!B:AZ,column(ac1),0)</f>
        <v>0</v>
      </c>
      <c r="AE425">
        <f>vlookup("922-096465-400",Out!B:AZ,column(ad1),0)</f>
        <v>0</v>
      </c>
      <c r="AF425">
        <f>vlookup("922-096465-400",Out!B:AZ,column(ae1),0)</f>
        <v>0</v>
      </c>
      <c r="AG425">
        <f>vlookup("922-096465-400",Out!B:AZ,column(af1),0)</f>
        <v>0</v>
      </c>
      <c r="AH425">
        <f>vlookup("922-096465-400",Out!B:AZ,column(ag1),0)</f>
        <v>0</v>
      </c>
      <c r="AI425">
        <f>vlookup("922-096465-400",Out!B:AZ,column(ah1),0)</f>
        <v>0</v>
      </c>
      <c r="AJ425">
        <f>vlookup("922-096465-400",Out!B:AZ,column(ai1),0)</f>
        <v>0</v>
      </c>
      <c r="AK425">
        <f>vlookup("922-096465-400",Out!B:AZ,column(aj1),0)</f>
        <v>0</v>
      </c>
      <c r="AL425">
        <f>vlookup("922-096465-400",Out!B:AZ,column(ak1),0)</f>
        <v>0</v>
      </c>
      <c r="AM425">
        <f>vlookup("922-096465-400",Out!B:AZ,column(al1),0)</f>
        <v>0</v>
      </c>
      <c r="AN425">
        <f>vlookup("922-096465-400",Out!B:AZ,column(am1),0)</f>
        <v>0</v>
      </c>
      <c r="AO425">
        <f>vlookup("922-096465-400",Out!B:AZ,column(an1),0)</f>
        <v>0</v>
      </c>
    </row>
    <row r="426" spans="1:41">
      <c r="H426" t="s">
        <v>16</v>
      </c>
      <c r="J426">
        <f>indirect(address(426,9))+indirect(address(424,10))-indirect(address(425,10))</f>
        <v>0</v>
      </c>
      <c r="K426">
        <f>indirect(address(426,10))+indirect(address(424,11))-indirect(address(425,11))</f>
        <v>0</v>
      </c>
      <c r="L426">
        <f>indirect(address(426,11))+indirect(address(424,12))-indirect(address(425,12))</f>
        <v>0</v>
      </c>
      <c r="M426">
        <f>indirect(address(426,12))+indirect(address(424,13))-indirect(address(425,13))</f>
        <v>0</v>
      </c>
      <c r="N426">
        <f>indirect(address(426,13))+indirect(address(424,14))-indirect(address(425,14))</f>
        <v>0</v>
      </c>
      <c r="O426">
        <f>indirect(address(426,14))+indirect(address(424,15))-indirect(address(425,15))</f>
        <v>0</v>
      </c>
      <c r="P426">
        <f>indirect(address(426,15))+indirect(address(424,16))-indirect(address(425,16))</f>
        <v>0</v>
      </c>
      <c r="Q426">
        <f>indirect(address(426,16))+indirect(address(424,17))-indirect(address(425,17))</f>
        <v>0</v>
      </c>
      <c r="R426">
        <f>indirect(address(426,17))+indirect(address(424,18))-indirect(address(425,18))</f>
        <v>0</v>
      </c>
      <c r="S426">
        <f>indirect(address(426,18))+indirect(address(424,19))-indirect(address(425,19))</f>
        <v>0</v>
      </c>
      <c r="T426">
        <f>indirect(address(426,19))+indirect(address(424,20))-indirect(address(425,20))</f>
        <v>0</v>
      </c>
      <c r="U426">
        <f>indirect(address(426,20))+indirect(address(424,21))-indirect(address(425,21))</f>
        <v>0</v>
      </c>
      <c r="V426">
        <f>indirect(address(426,21))+indirect(address(424,22))-indirect(address(425,22))</f>
        <v>0</v>
      </c>
      <c r="W426">
        <f>indirect(address(426,22))+indirect(address(424,23))-indirect(address(425,23))</f>
        <v>0</v>
      </c>
      <c r="X426">
        <f>indirect(address(426,23))+indirect(address(424,24))-indirect(address(425,24))</f>
        <v>0</v>
      </c>
      <c r="Y426">
        <f>indirect(address(426,24))+indirect(address(424,25))-indirect(address(425,25))</f>
        <v>0</v>
      </c>
      <c r="Z426">
        <f>indirect(address(426,25))+indirect(address(424,26))-indirect(address(425,26))</f>
        <v>0</v>
      </c>
      <c r="AA426">
        <f>indirect(address(426,26))+indirect(address(424,27))-indirect(address(425,27))</f>
        <v>0</v>
      </c>
      <c r="AB426">
        <f>indirect(address(426,27))+indirect(address(424,28))-indirect(address(425,28))</f>
        <v>0</v>
      </c>
      <c r="AC426">
        <f>indirect(address(426,28))+indirect(address(424,29))-indirect(address(425,29))</f>
        <v>0</v>
      </c>
      <c r="AD426">
        <f>indirect(address(426,29))+indirect(address(424,30))-indirect(address(425,30))</f>
        <v>0</v>
      </c>
      <c r="AE426">
        <f>indirect(address(426,30))+indirect(address(424,31))-indirect(address(425,31))</f>
        <v>0</v>
      </c>
      <c r="AF426">
        <f>indirect(address(426,31))+indirect(address(424,32))-indirect(address(425,32))</f>
        <v>0</v>
      </c>
      <c r="AG426">
        <f>indirect(address(426,32))+indirect(address(424,33))-indirect(address(425,33))</f>
        <v>0</v>
      </c>
      <c r="AH426">
        <f>indirect(address(426,33))+indirect(address(424,34))-indirect(address(425,34))</f>
        <v>0</v>
      </c>
      <c r="AI426">
        <f>indirect(address(426,34))+indirect(address(424,35))-indirect(address(425,35))</f>
        <v>0</v>
      </c>
      <c r="AJ426">
        <f>indirect(address(426,35))+indirect(address(424,36))-indirect(address(425,36))</f>
        <v>0</v>
      </c>
      <c r="AK426">
        <f>indirect(address(426,36))+indirect(address(424,37))-indirect(address(425,37))</f>
        <v>0</v>
      </c>
      <c r="AL426">
        <f>indirect(address(426,37))+indirect(address(424,38))-indirect(address(425,38))</f>
        <v>0</v>
      </c>
      <c r="AM426">
        <f>indirect(address(426,38))+indirect(address(424,39))-indirect(address(425,39))</f>
        <v>0</v>
      </c>
      <c r="AN426">
        <f>indirect(address(426,39))+indirect(address(424,40))-indirect(address(425,40))</f>
        <v>0</v>
      </c>
      <c r="AO426">
        <f>indirect(address(426,40))</f>
        <v>0</v>
      </c>
    </row>
    <row r="427" spans="1:41">
      <c r="A427" t="s">
        <v>17</v>
      </c>
      <c r="B427" t="s">
        <v>422</v>
      </c>
      <c r="C427" t="s">
        <v>423</v>
      </c>
      <c r="E427">
        <v>1</v>
      </c>
      <c r="F427" t="s">
        <v>13</v>
      </c>
      <c r="I427" t="s">
        <v>15</v>
      </c>
      <c r="J427">
        <f>vlookup("922-096465-400",B:AZ,column(i1),0)*e427</f>
        <v>0</v>
      </c>
      <c r="K427">
        <f>vlookup("922-096465-400",B:AZ,column(j1),0)*e427</f>
        <v>0</v>
      </c>
      <c r="L427">
        <f>vlookup("922-096465-400",B:AZ,column(k1),0)*e427</f>
        <v>0</v>
      </c>
      <c r="M427">
        <f>vlookup("922-096465-400",B:AZ,column(l1),0)*e427</f>
        <v>0</v>
      </c>
      <c r="N427">
        <f>vlookup("922-096465-400",B:AZ,column(m1),0)*e427</f>
        <v>0</v>
      </c>
      <c r="O427">
        <f>vlookup("922-096465-400",B:AZ,column(n1),0)*e427</f>
        <v>0</v>
      </c>
      <c r="P427">
        <f>vlookup("922-096465-400",B:AZ,column(o1),0)*e427</f>
        <v>0</v>
      </c>
      <c r="Q427">
        <f>vlookup("922-096465-400",B:AZ,column(p1),0)*e427</f>
        <v>0</v>
      </c>
      <c r="R427">
        <f>vlookup("922-096465-400",B:AZ,column(q1),0)*e427</f>
        <v>0</v>
      </c>
      <c r="S427">
        <f>vlookup("922-096465-400",B:AZ,column(r1),0)*e427</f>
        <v>0</v>
      </c>
      <c r="T427">
        <f>vlookup("922-096465-400",B:AZ,column(s1),0)*e427</f>
        <v>0</v>
      </c>
      <c r="U427">
        <f>vlookup("922-096465-400",B:AZ,column(t1),0)*e427</f>
        <v>0</v>
      </c>
      <c r="V427">
        <f>vlookup("922-096465-400",B:AZ,column(u1),0)*e427</f>
        <v>0</v>
      </c>
      <c r="W427">
        <f>vlookup("922-096465-400",B:AZ,column(v1),0)*e427</f>
        <v>0</v>
      </c>
      <c r="X427">
        <f>vlookup("922-096465-400",B:AZ,column(w1),0)*e427</f>
        <v>0</v>
      </c>
      <c r="Y427">
        <f>vlookup("922-096465-400",B:AZ,column(x1),0)*e427</f>
        <v>0</v>
      </c>
      <c r="Z427">
        <f>vlookup("922-096465-400",B:AZ,column(y1),0)*e427</f>
        <v>0</v>
      </c>
      <c r="AA427">
        <f>vlookup("922-096465-400",B:AZ,column(z1),0)*e427</f>
        <v>0</v>
      </c>
      <c r="AB427">
        <f>vlookup("922-096465-400",B:AZ,column(aa1),0)*e427</f>
        <v>0</v>
      </c>
      <c r="AC427">
        <f>vlookup("922-096465-400",B:AZ,column(ab1),0)*e427</f>
        <v>0</v>
      </c>
      <c r="AD427">
        <f>vlookup("922-096465-400",B:AZ,column(ac1),0)*e427</f>
        <v>0</v>
      </c>
      <c r="AE427">
        <f>vlookup("922-096465-400",B:AZ,column(ad1),0)*e427</f>
        <v>0</v>
      </c>
      <c r="AF427">
        <f>vlookup("922-096465-400",B:AZ,column(ae1),0)*e427</f>
        <v>0</v>
      </c>
      <c r="AG427">
        <f>vlookup("922-096465-400",B:AZ,column(af1),0)*e427</f>
        <v>0</v>
      </c>
      <c r="AH427">
        <f>vlookup("922-096465-400",B:AZ,column(ag1),0)*e427</f>
        <v>0</v>
      </c>
      <c r="AI427">
        <f>vlookup("922-096465-400",B:AZ,column(ah1),0)*e427</f>
        <v>0</v>
      </c>
      <c r="AJ427">
        <f>vlookup("922-096465-400",B:AZ,column(ai1),0)*e427</f>
        <v>0</v>
      </c>
      <c r="AK427">
        <f>vlookup("922-096465-400",B:AZ,column(aj1),0)*e427</f>
        <v>0</v>
      </c>
      <c r="AL427">
        <f>vlookup("922-096465-400",B:AZ,column(ak1),0)*e427</f>
        <v>0</v>
      </c>
      <c r="AM427">
        <f>vlookup("922-096465-400",B:AZ,column(al1),0)*e427</f>
        <v>0</v>
      </c>
      <c r="AN427">
        <f>vlookup("922-096465-400",B:AZ,column(am1),0)*e427</f>
        <v>0</v>
      </c>
      <c r="AO427">
        <f>vlookup("922-096465-400",B:AZ,column(an1),0)*e427</f>
        <v>0</v>
      </c>
    </row>
    <row r="428" spans="1:41">
      <c r="A428" t="s">
        <v>22</v>
      </c>
      <c r="B428" t="s">
        <v>436</v>
      </c>
      <c r="C428" t="s">
        <v>437</v>
      </c>
      <c r="E428">
        <v>1</v>
      </c>
      <c r="F428" t="s">
        <v>13</v>
      </c>
      <c r="I428" t="s">
        <v>15</v>
      </c>
      <c r="J428">
        <f>vlookup("922-096465-400",B:AZ,column(i1),0)*e428</f>
        <v>0</v>
      </c>
      <c r="K428">
        <f>vlookup("922-096465-400",B:AZ,column(j1),0)*e428</f>
        <v>0</v>
      </c>
      <c r="L428">
        <f>vlookup("922-096465-400",B:AZ,column(k1),0)*e428</f>
        <v>0</v>
      </c>
      <c r="M428">
        <f>vlookup("922-096465-400",B:AZ,column(l1),0)*e428</f>
        <v>0</v>
      </c>
      <c r="N428">
        <f>vlookup("922-096465-400",B:AZ,column(m1),0)*e428</f>
        <v>0</v>
      </c>
      <c r="O428">
        <f>vlookup("922-096465-400",B:AZ,column(n1),0)*e428</f>
        <v>0</v>
      </c>
      <c r="P428">
        <f>vlookup("922-096465-400",B:AZ,column(o1),0)*e428</f>
        <v>0</v>
      </c>
      <c r="Q428">
        <f>vlookup("922-096465-400",B:AZ,column(p1),0)*e428</f>
        <v>0</v>
      </c>
      <c r="R428">
        <f>vlookup("922-096465-400",B:AZ,column(q1),0)*e428</f>
        <v>0</v>
      </c>
      <c r="S428">
        <f>vlookup("922-096465-400",B:AZ,column(r1),0)*e428</f>
        <v>0</v>
      </c>
      <c r="T428">
        <f>vlookup("922-096465-400",B:AZ,column(s1),0)*e428</f>
        <v>0</v>
      </c>
      <c r="U428">
        <f>vlookup("922-096465-400",B:AZ,column(t1),0)*e428</f>
        <v>0</v>
      </c>
      <c r="V428">
        <f>vlookup("922-096465-400",B:AZ,column(u1),0)*e428</f>
        <v>0</v>
      </c>
      <c r="W428">
        <f>vlookup("922-096465-400",B:AZ,column(v1),0)*e428</f>
        <v>0</v>
      </c>
      <c r="X428">
        <f>vlookup("922-096465-400",B:AZ,column(w1),0)*e428</f>
        <v>0</v>
      </c>
      <c r="Y428">
        <f>vlookup("922-096465-400",B:AZ,column(x1),0)*e428</f>
        <v>0</v>
      </c>
      <c r="Z428">
        <f>vlookup("922-096465-400",B:AZ,column(y1),0)*e428</f>
        <v>0</v>
      </c>
      <c r="AA428">
        <f>vlookup("922-096465-400",B:AZ,column(z1),0)*e428</f>
        <v>0</v>
      </c>
      <c r="AB428">
        <f>vlookup("922-096465-400",B:AZ,column(aa1),0)*e428</f>
        <v>0</v>
      </c>
      <c r="AC428">
        <f>vlookup("922-096465-400",B:AZ,column(ab1),0)*e428</f>
        <v>0</v>
      </c>
      <c r="AD428">
        <f>vlookup("922-096465-400",B:AZ,column(ac1),0)*e428</f>
        <v>0</v>
      </c>
      <c r="AE428">
        <f>vlookup("922-096465-400",B:AZ,column(ad1),0)*e428</f>
        <v>0</v>
      </c>
      <c r="AF428">
        <f>vlookup("922-096465-400",B:AZ,column(ae1),0)*e428</f>
        <v>0</v>
      </c>
      <c r="AG428">
        <f>vlookup("922-096465-400",B:AZ,column(af1),0)*e428</f>
        <v>0</v>
      </c>
      <c r="AH428">
        <f>vlookup("922-096465-400",B:AZ,column(ag1),0)*e428</f>
        <v>0</v>
      </c>
      <c r="AI428">
        <f>vlookup("922-096465-400",B:AZ,column(ah1),0)*e428</f>
        <v>0</v>
      </c>
      <c r="AJ428">
        <f>vlookup("922-096465-400",B:AZ,column(ai1),0)*e428</f>
        <v>0</v>
      </c>
      <c r="AK428">
        <f>vlookup("922-096465-400",B:AZ,column(aj1),0)*e428</f>
        <v>0</v>
      </c>
      <c r="AL428">
        <f>vlookup("922-096465-400",B:AZ,column(ak1),0)*e428</f>
        <v>0</v>
      </c>
      <c r="AM428">
        <f>vlookup("922-096465-400",B:AZ,column(al1),0)*e428</f>
        <v>0</v>
      </c>
      <c r="AN428">
        <f>vlookup("922-096465-400",B:AZ,column(am1),0)*e428</f>
        <v>0</v>
      </c>
      <c r="AO428">
        <f>vlookup("922-096465-400",B:AZ,column(an1),0)*e428</f>
        <v>0</v>
      </c>
    </row>
    <row r="429" spans="1:41">
      <c r="A429" t="s">
        <v>43</v>
      </c>
      <c r="B429" t="s">
        <v>438</v>
      </c>
      <c r="C429" t="s">
        <v>439</v>
      </c>
      <c r="E429">
        <v>0.05</v>
      </c>
      <c r="F429" t="s">
        <v>13</v>
      </c>
      <c r="I429" t="s">
        <v>15</v>
      </c>
      <c r="J429">
        <f>vlookup("922-096465-400",B:AZ,column(i1),0)*e429</f>
        <v>0</v>
      </c>
      <c r="K429">
        <f>vlookup("922-096465-400",B:AZ,column(j1),0)*e429</f>
        <v>0</v>
      </c>
      <c r="L429">
        <f>vlookup("922-096465-400",B:AZ,column(k1),0)*e429</f>
        <v>0</v>
      </c>
      <c r="M429">
        <f>vlookup("922-096465-400",B:AZ,column(l1),0)*e429</f>
        <v>0</v>
      </c>
      <c r="N429">
        <f>vlookup("922-096465-400",B:AZ,column(m1),0)*e429</f>
        <v>0</v>
      </c>
      <c r="O429">
        <f>vlookup("922-096465-400",B:AZ,column(n1),0)*e429</f>
        <v>0</v>
      </c>
      <c r="P429">
        <f>vlookup("922-096465-400",B:AZ,column(o1),0)*e429</f>
        <v>0</v>
      </c>
      <c r="Q429">
        <f>vlookup("922-096465-400",B:AZ,column(p1),0)*e429</f>
        <v>0</v>
      </c>
      <c r="R429">
        <f>vlookup("922-096465-400",B:AZ,column(q1),0)*e429</f>
        <v>0</v>
      </c>
      <c r="S429">
        <f>vlookup("922-096465-400",B:AZ,column(r1),0)*e429</f>
        <v>0</v>
      </c>
      <c r="T429">
        <f>vlookup("922-096465-400",B:AZ,column(s1),0)*e429</f>
        <v>0</v>
      </c>
      <c r="U429">
        <f>vlookup("922-096465-400",B:AZ,column(t1),0)*e429</f>
        <v>0</v>
      </c>
      <c r="V429">
        <f>vlookup("922-096465-400",B:AZ,column(u1),0)*e429</f>
        <v>0</v>
      </c>
      <c r="W429">
        <f>vlookup("922-096465-400",B:AZ,column(v1),0)*e429</f>
        <v>0</v>
      </c>
      <c r="X429">
        <f>vlookup("922-096465-400",B:AZ,column(w1),0)*e429</f>
        <v>0</v>
      </c>
      <c r="Y429">
        <f>vlookup("922-096465-400",B:AZ,column(x1),0)*e429</f>
        <v>0</v>
      </c>
      <c r="Z429">
        <f>vlookup("922-096465-400",B:AZ,column(y1),0)*e429</f>
        <v>0</v>
      </c>
      <c r="AA429">
        <f>vlookup("922-096465-400",B:AZ,column(z1),0)*e429</f>
        <v>0</v>
      </c>
      <c r="AB429">
        <f>vlookup("922-096465-400",B:AZ,column(aa1),0)*e429</f>
        <v>0</v>
      </c>
      <c r="AC429">
        <f>vlookup("922-096465-400",B:AZ,column(ab1),0)*e429</f>
        <v>0</v>
      </c>
      <c r="AD429">
        <f>vlookup("922-096465-400",B:AZ,column(ac1),0)*e429</f>
        <v>0</v>
      </c>
      <c r="AE429">
        <f>vlookup("922-096465-400",B:AZ,column(ad1),0)*e429</f>
        <v>0</v>
      </c>
      <c r="AF429">
        <f>vlookup("922-096465-400",B:AZ,column(ae1),0)*e429</f>
        <v>0</v>
      </c>
      <c r="AG429">
        <f>vlookup("922-096465-400",B:AZ,column(af1),0)*e429</f>
        <v>0</v>
      </c>
      <c r="AH429">
        <f>vlookup("922-096465-400",B:AZ,column(ag1),0)*e429</f>
        <v>0</v>
      </c>
      <c r="AI429">
        <f>vlookup("922-096465-400",B:AZ,column(ah1),0)*e429</f>
        <v>0</v>
      </c>
      <c r="AJ429">
        <f>vlookup("922-096465-400",B:AZ,column(ai1),0)*e429</f>
        <v>0</v>
      </c>
      <c r="AK429">
        <f>vlookup("922-096465-400",B:AZ,column(aj1),0)*e429</f>
        <v>0</v>
      </c>
      <c r="AL429">
        <f>vlookup("922-096465-400",B:AZ,column(ak1),0)*e429</f>
        <v>0</v>
      </c>
      <c r="AM429">
        <f>vlookup("922-096465-400",B:AZ,column(al1),0)*e429</f>
        <v>0</v>
      </c>
      <c r="AN429">
        <f>vlookup("922-096465-400",B:AZ,column(am1),0)*e429</f>
        <v>0</v>
      </c>
      <c r="AO429">
        <f>vlookup("922-096465-400",B:AZ,column(an1),0)*e429</f>
        <v>0</v>
      </c>
    </row>
    <row r="430" spans="1:41">
      <c r="A430" t="s">
        <v>10</v>
      </c>
      <c r="B430" t="s">
        <v>440</v>
      </c>
      <c r="C430" t="s">
        <v>441</v>
      </c>
      <c r="E430">
        <v>1</v>
      </c>
      <c r="F430" t="s">
        <v>13</v>
      </c>
      <c r="I430" t="s">
        <v>14</v>
      </c>
      <c r="AO430">
        <f>sum(j430:an430)</f>
        <v>0</v>
      </c>
    </row>
    <row r="431" spans="1:41">
      <c r="I431" t="s">
        <v>15</v>
      </c>
      <c r="J431">
        <f>vlookup("922-096465-500",Out!B:AZ,column(i1),0)</f>
        <v>0</v>
      </c>
      <c r="K431">
        <f>vlookup("922-096465-500",Out!B:AZ,column(j1),0)</f>
        <v>0</v>
      </c>
      <c r="L431">
        <f>vlookup("922-096465-500",Out!B:AZ,column(k1),0)</f>
        <v>0</v>
      </c>
      <c r="M431">
        <f>vlookup("922-096465-500",Out!B:AZ,column(l1),0)</f>
        <v>0</v>
      </c>
      <c r="N431">
        <f>vlookup("922-096465-500",Out!B:AZ,column(m1),0)</f>
        <v>0</v>
      </c>
      <c r="O431">
        <f>vlookup("922-096465-500",Out!B:AZ,column(n1),0)</f>
        <v>0</v>
      </c>
      <c r="P431">
        <f>vlookup("922-096465-500",Out!B:AZ,column(o1),0)</f>
        <v>0</v>
      </c>
      <c r="Q431">
        <f>vlookup("922-096465-500",Out!B:AZ,column(p1),0)</f>
        <v>0</v>
      </c>
      <c r="R431">
        <f>vlookup("922-096465-500",Out!B:AZ,column(q1),0)</f>
        <v>0</v>
      </c>
      <c r="S431">
        <f>vlookup("922-096465-500",Out!B:AZ,column(r1),0)</f>
        <v>0</v>
      </c>
      <c r="T431">
        <f>vlookup("922-096465-500",Out!B:AZ,column(s1),0)</f>
        <v>0</v>
      </c>
      <c r="U431">
        <f>vlookup("922-096465-500",Out!B:AZ,column(t1),0)</f>
        <v>0</v>
      </c>
      <c r="V431">
        <f>vlookup("922-096465-500",Out!B:AZ,column(u1),0)</f>
        <v>0</v>
      </c>
      <c r="W431">
        <f>vlookup("922-096465-500",Out!B:AZ,column(v1),0)</f>
        <v>0</v>
      </c>
      <c r="X431">
        <f>vlookup("922-096465-500",Out!B:AZ,column(w1),0)</f>
        <v>0</v>
      </c>
      <c r="Y431">
        <f>vlookup("922-096465-500",Out!B:AZ,column(x1),0)</f>
        <v>0</v>
      </c>
      <c r="Z431">
        <f>vlookup("922-096465-500",Out!B:AZ,column(y1),0)</f>
        <v>0</v>
      </c>
      <c r="AA431">
        <f>vlookup("922-096465-500",Out!B:AZ,column(z1),0)</f>
        <v>0</v>
      </c>
      <c r="AB431">
        <f>vlookup("922-096465-500",Out!B:AZ,column(aa1),0)</f>
        <v>0</v>
      </c>
      <c r="AC431">
        <f>vlookup("922-096465-500",Out!B:AZ,column(ab1),0)</f>
        <v>0</v>
      </c>
      <c r="AD431">
        <f>vlookup("922-096465-500",Out!B:AZ,column(ac1),0)</f>
        <v>0</v>
      </c>
      <c r="AE431">
        <f>vlookup("922-096465-500",Out!B:AZ,column(ad1),0)</f>
        <v>0</v>
      </c>
      <c r="AF431">
        <f>vlookup("922-096465-500",Out!B:AZ,column(ae1),0)</f>
        <v>0</v>
      </c>
      <c r="AG431">
        <f>vlookup("922-096465-500",Out!B:AZ,column(af1),0)</f>
        <v>0</v>
      </c>
      <c r="AH431">
        <f>vlookup("922-096465-500",Out!B:AZ,column(ag1),0)</f>
        <v>0</v>
      </c>
      <c r="AI431">
        <f>vlookup("922-096465-500",Out!B:AZ,column(ah1),0)</f>
        <v>0</v>
      </c>
      <c r="AJ431">
        <f>vlookup("922-096465-500",Out!B:AZ,column(ai1),0)</f>
        <v>0</v>
      </c>
      <c r="AK431">
        <f>vlookup("922-096465-500",Out!B:AZ,column(aj1),0)</f>
        <v>0</v>
      </c>
      <c r="AL431">
        <f>vlookup("922-096465-500",Out!B:AZ,column(ak1),0)</f>
        <v>0</v>
      </c>
      <c r="AM431">
        <f>vlookup("922-096465-500",Out!B:AZ,column(al1),0)</f>
        <v>0</v>
      </c>
      <c r="AN431">
        <f>vlookup("922-096465-500",Out!B:AZ,column(am1),0)</f>
        <v>0</v>
      </c>
      <c r="AO431">
        <f>vlookup("922-096465-500",Out!B:AZ,column(an1),0)</f>
        <v>0</v>
      </c>
    </row>
    <row r="432" spans="1:41">
      <c r="H432" t="s">
        <v>16</v>
      </c>
      <c r="J432">
        <f>indirect(address(432,9))+indirect(address(430,10))-indirect(address(431,10))</f>
        <v>0</v>
      </c>
      <c r="K432">
        <f>indirect(address(432,10))+indirect(address(430,11))-indirect(address(431,11))</f>
        <v>0</v>
      </c>
      <c r="L432">
        <f>indirect(address(432,11))+indirect(address(430,12))-indirect(address(431,12))</f>
        <v>0</v>
      </c>
      <c r="M432">
        <f>indirect(address(432,12))+indirect(address(430,13))-indirect(address(431,13))</f>
        <v>0</v>
      </c>
      <c r="N432">
        <f>indirect(address(432,13))+indirect(address(430,14))-indirect(address(431,14))</f>
        <v>0</v>
      </c>
      <c r="O432">
        <f>indirect(address(432,14))+indirect(address(430,15))-indirect(address(431,15))</f>
        <v>0</v>
      </c>
      <c r="P432">
        <f>indirect(address(432,15))+indirect(address(430,16))-indirect(address(431,16))</f>
        <v>0</v>
      </c>
      <c r="Q432">
        <f>indirect(address(432,16))+indirect(address(430,17))-indirect(address(431,17))</f>
        <v>0</v>
      </c>
      <c r="R432">
        <f>indirect(address(432,17))+indirect(address(430,18))-indirect(address(431,18))</f>
        <v>0</v>
      </c>
      <c r="S432">
        <f>indirect(address(432,18))+indirect(address(430,19))-indirect(address(431,19))</f>
        <v>0</v>
      </c>
      <c r="T432">
        <f>indirect(address(432,19))+indirect(address(430,20))-indirect(address(431,20))</f>
        <v>0</v>
      </c>
      <c r="U432">
        <f>indirect(address(432,20))+indirect(address(430,21))-indirect(address(431,21))</f>
        <v>0</v>
      </c>
      <c r="V432">
        <f>indirect(address(432,21))+indirect(address(430,22))-indirect(address(431,22))</f>
        <v>0</v>
      </c>
      <c r="W432">
        <f>indirect(address(432,22))+indirect(address(430,23))-indirect(address(431,23))</f>
        <v>0</v>
      </c>
      <c r="X432">
        <f>indirect(address(432,23))+indirect(address(430,24))-indirect(address(431,24))</f>
        <v>0</v>
      </c>
      <c r="Y432">
        <f>indirect(address(432,24))+indirect(address(430,25))-indirect(address(431,25))</f>
        <v>0</v>
      </c>
      <c r="Z432">
        <f>indirect(address(432,25))+indirect(address(430,26))-indirect(address(431,26))</f>
        <v>0</v>
      </c>
      <c r="AA432">
        <f>indirect(address(432,26))+indirect(address(430,27))-indirect(address(431,27))</f>
        <v>0</v>
      </c>
      <c r="AB432">
        <f>indirect(address(432,27))+indirect(address(430,28))-indirect(address(431,28))</f>
        <v>0</v>
      </c>
      <c r="AC432">
        <f>indirect(address(432,28))+indirect(address(430,29))-indirect(address(431,29))</f>
        <v>0</v>
      </c>
      <c r="AD432">
        <f>indirect(address(432,29))+indirect(address(430,30))-indirect(address(431,30))</f>
        <v>0</v>
      </c>
      <c r="AE432">
        <f>indirect(address(432,30))+indirect(address(430,31))-indirect(address(431,31))</f>
        <v>0</v>
      </c>
      <c r="AF432">
        <f>indirect(address(432,31))+indirect(address(430,32))-indirect(address(431,32))</f>
        <v>0</v>
      </c>
      <c r="AG432">
        <f>indirect(address(432,32))+indirect(address(430,33))-indirect(address(431,33))</f>
        <v>0</v>
      </c>
      <c r="AH432">
        <f>indirect(address(432,33))+indirect(address(430,34))-indirect(address(431,34))</f>
        <v>0</v>
      </c>
      <c r="AI432">
        <f>indirect(address(432,34))+indirect(address(430,35))-indirect(address(431,35))</f>
        <v>0</v>
      </c>
      <c r="AJ432">
        <f>indirect(address(432,35))+indirect(address(430,36))-indirect(address(431,36))</f>
        <v>0</v>
      </c>
      <c r="AK432">
        <f>indirect(address(432,36))+indirect(address(430,37))-indirect(address(431,37))</f>
        <v>0</v>
      </c>
      <c r="AL432">
        <f>indirect(address(432,37))+indirect(address(430,38))-indirect(address(431,38))</f>
        <v>0</v>
      </c>
      <c r="AM432">
        <f>indirect(address(432,38))+indirect(address(430,39))-indirect(address(431,39))</f>
        <v>0</v>
      </c>
      <c r="AN432">
        <f>indirect(address(432,39))+indirect(address(430,40))-indirect(address(431,40))</f>
        <v>0</v>
      </c>
      <c r="AO432">
        <f>indirect(address(432,40))</f>
        <v>0</v>
      </c>
    </row>
    <row r="433" spans="1:41">
      <c r="A433" t="s">
        <v>17</v>
      </c>
      <c r="B433" t="s">
        <v>414</v>
      </c>
      <c r="C433" t="s">
        <v>415</v>
      </c>
      <c r="E433">
        <v>1</v>
      </c>
      <c r="F433" t="s">
        <v>13</v>
      </c>
      <c r="I433" t="s">
        <v>15</v>
      </c>
      <c r="J433">
        <f>vlookup("922-096465-500",B:AZ,column(i1),0)*e433</f>
        <v>0</v>
      </c>
      <c r="K433">
        <f>vlookup("922-096465-500",B:AZ,column(j1),0)*e433</f>
        <v>0</v>
      </c>
      <c r="L433">
        <f>vlookup("922-096465-500",B:AZ,column(k1),0)*e433</f>
        <v>0</v>
      </c>
      <c r="M433">
        <f>vlookup("922-096465-500",B:AZ,column(l1),0)*e433</f>
        <v>0</v>
      </c>
      <c r="N433">
        <f>vlookup("922-096465-500",B:AZ,column(m1),0)*e433</f>
        <v>0</v>
      </c>
      <c r="O433">
        <f>vlookup("922-096465-500",B:AZ,column(n1),0)*e433</f>
        <v>0</v>
      </c>
      <c r="P433">
        <f>vlookup("922-096465-500",B:AZ,column(o1),0)*e433</f>
        <v>0</v>
      </c>
      <c r="Q433">
        <f>vlookup("922-096465-500",B:AZ,column(p1),0)*e433</f>
        <v>0</v>
      </c>
      <c r="R433">
        <f>vlookup("922-096465-500",B:AZ,column(q1),0)*e433</f>
        <v>0</v>
      </c>
      <c r="S433">
        <f>vlookup("922-096465-500",B:AZ,column(r1),0)*e433</f>
        <v>0</v>
      </c>
      <c r="T433">
        <f>vlookup("922-096465-500",B:AZ,column(s1),0)*e433</f>
        <v>0</v>
      </c>
      <c r="U433">
        <f>vlookup("922-096465-500",B:AZ,column(t1),0)*e433</f>
        <v>0</v>
      </c>
      <c r="V433">
        <f>vlookup("922-096465-500",B:AZ,column(u1),0)*e433</f>
        <v>0</v>
      </c>
      <c r="W433">
        <f>vlookup("922-096465-500",B:AZ,column(v1),0)*e433</f>
        <v>0</v>
      </c>
      <c r="X433">
        <f>vlookup("922-096465-500",B:AZ,column(w1),0)*e433</f>
        <v>0</v>
      </c>
      <c r="Y433">
        <f>vlookup("922-096465-500",B:AZ,column(x1),0)*e433</f>
        <v>0</v>
      </c>
      <c r="Z433">
        <f>vlookup("922-096465-500",B:AZ,column(y1),0)*e433</f>
        <v>0</v>
      </c>
      <c r="AA433">
        <f>vlookup("922-096465-500",B:AZ,column(z1),0)*e433</f>
        <v>0</v>
      </c>
      <c r="AB433">
        <f>vlookup("922-096465-500",B:AZ,column(aa1),0)*e433</f>
        <v>0</v>
      </c>
      <c r="AC433">
        <f>vlookup("922-096465-500",B:AZ,column(ab1),0)*e433</f>
        <v>0</v>
      </c>
      <c r="AD433">
        <f>vlookup("922-096465-500",B:AZ,column(ac1),0)*e433</f>
        <v>0</v>
      </c>
      <c r="AE433">
        <f>vlookup("922-096465-500",B:AZ,column(ad1),0)*e433</f>
        <v>0</v>
      </c>
      <c r="AF433">
        <f>vlookup("922-096465-500",B:AZ,column(ae1),0)*e433</f>
        <v>0</v>
      </c>
      <c r="AG433">
        <f>vlookup("922-096465-500",B:AZ,column(af1),0)*e433</f>
        <v>0</v>
      </c>
      <c r="AH433">
        <f>vlookup("922-096465-500",B:AZ,column(ag1),0)*e433</f>
        <v>0</v>
      </c>
      <c r="AI433">
        <f>vlookup("922-096465-500",B:AZ,column(ah1),0)*e433</f>
        <v>0</v>
      </c>
      <c r="AJ433">
        <f>vlookup("922-096465-500",B:AZ,column(ai1),0)*e433</f>
        <v>0</v>
      </c>
      <c r="AK433">
        <f>vlookup("922-096465-500",B:AZ,column(aj1),0)*e433</f>
        <v>0</v>
      </c>
      <c r="AL433">
        <f>vlookup("922-096465-500",B:AZ,column(ak1),0)*e433</f>
        <v>0</v>
      </c>
      <c r="AM433">
        <f>vlookup("922-096465-500",B:AZ,column(al1),0)*e433</f>
        <v>0</v>
      </c>
      <c r="AN433">
        <f>vlookup("922-096465-500",B:AZ,column(am1),0)*e433</f>
        <v>0</v>
      </c>
      <c r="AO433">
        <f>vlookup("922-096465-500",B:AZ,column(an1),0)*e433</f>
        <v>0</v>
      </c>
    </row>
    <row r="434" spans="1:41">
      <c r="A434" t="s">
        <v>22</v>
      </c>
      <c r="B434" t="s">
        <v>442</v>
      </c>
      <c r="C434" t="s">
        <v>443</v>
      </c>
      <c r="E434">
        <v>1</v>
      </c>
      <c r="F434" t="s">
        <v>13</v>
      </c>
      <c r="I434" t="s">
        <v>15</v>
      </c>
      <c r="J434">
        <f>vlookup("922-096465-500",B:AZ,column(i1),0)*e434</f>
        <v>0</v>
      </c>
      <c r="K434">
        <f>vlookup("922-096465-500",B:AZ,column(j1),0)*e434</f>
        <v>0</v>
      </c>
      <c r="L434">
        <f>vlookup("922-096465-500",B:AZ,column(k1),0)*e434</f>
        <v>0</v>
      </c>
      <c r="M434">
        <f>vlookup("922-096465-500",B:AZ,column(l1),0)*e434</f>
        <v>0</v>
      </c>
      <c r="N434">
        <f>vlookup("922-096465-500",B:AZ,column(m1),0)*e434</f>
        <v>0</v>
      </c>
      <c r="O434">
        <f>vlookup("922-096465-500",B:AZ,column(n1),0)*e434</f>
        <v>0</v>
      </c>
      <c r="P434">
        <f>vlookup("922-096465-500",B:AZ,column(o1),0)*e434</f>
        <v>0</v>
      </c>
      <c r="Q434">
        <f>vlookup("922-096465-500",B:AZ,column(p1),0)*e434</f>
        <v>0</v>
      </c>
      <c r="R434">
        <f>vlookup("922-096465-500",B:AZ,column(q1),0)*e434</f>
        <v>0</v>
      </c>
      <c r="S434">
        <f>vlookup("922-096465-500",B:AZ,column(r1),0)*e434</f>
        <v>0</v>
      </c>
      <c r="T434">
        <f>vlookup("922-096465-500",B:AZ,column(s1),0)*e434</f>
        <v>0</v>
      </c>
      <c r="U434">
        <f>vlookup("922-096465-500",B:AZ,column(t1),0)*e434</f>
        <v>0</v>
      </c>
      <c r="V434">
        <f>vlookup("922-096465-500",B:AZ,column(u1),0)*e434</f>
        <v>0</v>
      </c>
      <c r="W434">
        <f>vlookup("922-096465-500",B:AZ,column(v1),0)*e434</f>
        <v>0</v>
      </c>
      <c r="X434">
        <f>vlookup("922-096465-500",B:AZ,column(w1),0)*e434</f>
        <v>0</v>
      </c>
      <c r="Y434">
        <f>vlookup("922-096465-500",B:AZ,column(x1),0)*e434</f>
        <v>0</v>
      </c>
      <c r="Z434">
        <f>vlookup("922-096465-500",B:AZ,column(y1),0)*e434</f>
        <v>0</v>
      </c>
      <c r="AA434">
        <f>vlookup("922-096465-500",B:AZ,column(z1),0)*e434</f>
        <v>0</v>
      </c>
      <c r="AB434">
        <f>vlookup("922-096465-500",B:AZ,column(aa1),0)*e434</f>
        <v>0</v>
      </c>
      <c r="AC434">
        <f>vlookup("922-096465-500",B:AZ,column(ab1),0)*e434</f>
        <v>0</v>
      </c>
      <c r="AD434">
        <f>vlookup("922-096465-500",B:AZ,column(ac1),0)*e434</f>
        <v>0</v>
      </c>
      <c r="AE434">
        <f>vlookup("922-096465-500",B:AZ,column(ad1),0)*e434</f>
        <v>0</v>
      </c>
      <c r="AF434">
        <f>vlookup("922-096465-500",B:AZ,column(ae1),0)*e434</f>
        <v>0</v>
      </c>
      <c r="AG434">
        <f>vlookup("922-096465-500",B:AZ,column(af1),0)*e434</f>
        <v>0</v>
      </c>
      <c r="AH434">
        <f>vlookup("922-096465-500",B:AZ,column(ag1),0)*e434</f>
        <v>0</v>
      </c>
      <c r="AI434">
        <f>vlookup("922-096465-500",B:AZ,column(ah1),0)*e434</f>
        <v>0</v>
      </c>
      <c r="AJ434">
        <f>vlookup("922-096465-500",B:AZ,column(ai1),0)*e434</f>
        <v>0</v>
      </c>
      <c r="AK434">
        <f>vlookup("922-096465-500",B:AZ,column(aj1),0)*e434</f>
        <v>0</v>
      </c>
      <c r="AL434">
        <f>vlookup("922-096465-500",B:AZ,column(ak1),0)*e434</f>
        <v>0</v>
      </c>
      <c r="AM434">
        <f>vlookup("922-096465-500",B:AZ,column(al1),0)*e434</f>
        <v>0</v>
      </c>
      <c r="AN434">
        <f>vlookup("922-096465-500",B:AZ,column(am1),0)*e434</f>
        <v>0</v>
      </c>
      <c r="AO434">
        <f>vlookup("922-096465-500",B:AZ,column(an1),0)*e434</f>
        <v>0</v>
      </c>
    </row>
    <row r="435" spans="1:41">
      <c r="A435" t="s">
        <v>43</v>
      </c>
      <c r="B435" t="s">
        <v>444</v>
      </c>
      <c r="C435" t="s">
        <v>445</v>
      </c>
      <c r="E435">
        <v>0.05</v>
      </c>
      <c r="F435" t="s">
        <v>13</v>
      </c>
      <c r="I435" t="s">
        <v>15</v>
      </c>
      <c r="J435">
        <f>vlookup("922-096465-500",B:AZ,column(i1),0)*e435</f>
        <v>0</v>
      </c>
      <c r="K435">
        <f>vlookup("922-096465-500",B:AZ,column(j1),0)*e435</f>
        <v>0</v>
      </c>
      <c r="L435">
        <f>vlookup("922-096465-500",B:AZ,column(k1),0)*e435</f>
        <v>0</v>
      </c>
      <c r="M435">
        <f>vlookup("922-096465-500",B:AZ,column(l1),0)*e435</f>
        <v>0</v>
      </c>
      <c r="N435">
        <f>vlookup("922-096465-500",B:AZ,column(m1),0)*e435</f>
        <v>0</v>
      </c>
      <c r="O435">
        <f>vlookup("922-096465-500",B:AZ,column(n1),0)*e435</f>
        <v>0</v>
      </c>
      <c r="P435">
        <f>vlookup("922-096465-500",B:AZ,column(o1),0)*e435</f>
        <v>0</v>
      </c>
      <c r="Q435">
        <f>vlookup("922-096465-500",B:AZ,column(p1),0)*e435</f>
        <v>0</v>
      </c>
      <c r="R435">
        <f>vlookup("922-096465-500",B:AZ,column(q1),0)*e435</f>
        <v>0</v>
      </c>
      <c r="S435">
        <f>vlookup("922-096465-500",B:AZ,column(r1),0)*e435</f>
        <v>0</v>
      </c>
      <c r="T435">
        <f>vlookup("922-096465-500",B:AZ,column(s1),0)*e435</f>
        <v>0</v>
      </c>
      <c r="U435">
        <f>vlookup("922-096465-500",B:AZ,column(t1),0)*e435</f>
        <v>0</v>
      </c>
      <c r="V435">
        <f>vlookup("922-096465-500",B:AZ,column(u1),0)*e435</f>
        <v>0</v>
      </c>
      <c r="W435">
        <f>vlookup("922-096465-500",B:AZ,column(v1),0)*e435</f>
        <v>0</v>
      </c>
      <c r="X435">
        <f>vlookup("922-096465-500",B:AZ,column(w1),0)*e435</f>
        <v>0</v>
      </c>
      <c r="Y435">
        <f>vlookup("922-096465-500",B:AZ,column(x1),0)*e435</f>
        <v>0</v>
      </c>
      <c r="Z435">
        <f>vlookup("922-096465-500",B:AZ,column(y1),0)*e435</f>
        <v>0</v>
      </c>
      <c r="AA435">
        <f>vlookup("922-096465-500",B:AZ,column(z1),0)*e435</f>
        <v>0</v>
      </c>
      <c r="AB435">
        <f>vlookup("922-096465-500",B:AZ,column(aa1),0)*e435</f>
        <v>0</v>
      </c>
      <c r="AC435">
        <f>vlookup("922-096465-500",B:AZ,column(ab1),0)*e435</f>
        <v>0</v>
      </c>
      <c r="AD435">
        <f>vlookup("922-096465-500",B:AZ,column(ac1),0)*e435</f>
        <v>0</v>
      </c>
      <c r="AE435">
        <f>vlookup("922-096465-500",B:AZ,column(ad1),0)*e435</f>
        <v>0</v>
      </c>
      <c r="AF435">
        <f>vlookup("922-096465-500",B:AZ,column(ae1),0)*e435</f>
        <v>0</v>
      </c>
      <c r="AG435">
        <f>vlookup("922-096465-500",B:AZ,column(af1),0)*e435</f>
        <v>0</v>
      </c>
      <c r="AH435">
        <f>vlookup("922-096465-500",B:AZ,column(ag1),0)*e435</f>
        <v>0</v>
      </c>
      <c r="AI435">
        <f>vlookup("922-096465-500",B:AZ,column(ah1),0)*e435</f>
        <v>0</v>
      </c>
      <c r="AJ435">
        <f>vlookup("922-096465-500",B:AZ,column(ai1),0)*e435</f>
        <v>0</v>
      </c>
      <c r="AK435">
        <f>vlookup("922-096465-500",B:AZ,column(aj1),0)*e435</f>
        <v>0</v>
      </c>
      <c r="AL435">
        <f>vlookup("922-096465-500",B:AZ,column(ak1),0)*e435</f>
        <v>0</v>
      </c>
      <c r="AM435">
        <f>vlookup("922-096465-500",B:AZ,column(al1),0)*e435</f>
        <v>0</v>
      </c>
      <c r="AN435">
        <f>vlookup("922-096465-500",B:AZ,column(am1),0)*e435</f>
        <v>0</v>
      </c>
      <c r="AO435">
        <f>vlookup("922-096465-500",B:AZ,column(an1),0)*e435</f>
        <v>0</v>
      </c>
    </row>
    <row r="436" spans="1:41">
      <c r="A436" t="s">
        <v>10</v>
      </c>
      <c r="B436" t="s">
        <v>446</v>
      </c>
      <c r="C436" t="s">
        <v>447</v>
      </c>
      <c r="E436">
        <v>1</v>
      </c>
      <c r="F436" t="s">
        <v>13</v>
      </c>
      <c r="I436" t="s">
        <v>14</v>
      </c>
      <c r="AO436">
        <f>sum(j436:an436)</f>
        <v>0</v>
      </c>
    </row>
    <row r="437" spans="1:41">
      <c r="I437" t="s">
        <v>15</v>
      </c>
      <c r="J437">
        <f>vlookup("922-096465-600",Out!B:AZ,column(i1),0)</f>
        <v>0</v>
      </c>
      <c r="K437">
        <f>vlookup("922-096465-600",Out!B:AZ,column(j1),0)</f>
        <v>0</v>
      </c>
      <c r="L437">
        <f>vlookup("922-096465-600",Out!B:AZ,column(k1),0)</f>
        <v>0</v>
      </c>
      <c r="M437">
        <f>vlookup("922-096465-600",Out!B:AZ,column(l1),0)</f>
        <v>0</v>
      </c>
      <c r="N437">
        <f>vlookup("922-096465-600",Out!B:AZ,column(m1),0)</f>
        <v>0</v>
      </c>
      <c r="O437">
        <f>vlookup("922-096465-600",Out!B:AZ,column(n1),0)</f>
        <v>0</v>
      </c>
      <c r="P437">
        <f>vlookup("922-096465-600",Out!B:AZ,column(o1),0)</f>
        <v>0</v>
      </c>
      <c r="Q437">
        <f>vlookup("922-096465-600",Out!B:AZ,column(p1),0)</f>
        <v>0</v>
      </c>
      <c r="R437">
        <f>vlookup("922-096465-600",Out!B:AZ,column(q1),0)</f>
        <v>0</v>
      </c>
      <c r="S437">
        <f>vlookup("922-096465-600",Out!B:AZ,column(r1),0)</f>
        <v>0</v>
      </c>
      <c r="T437">
        <f>vlookup("922-096465-600",Out!B:AZ,column(s1),0)</f>
        <v>0</v>
      </c>
      <c r="U437">
        <f>vlookup("922-096465-600",Out!B:AZ,column(t1),0)</f>
        <v>0</v>
      </c>
      <c r="V437">
        <f>vlookup("922-096465-600",Out!B:AZ,column(u1),0)</f>
        <v>0</v>
      </c>
      <c r="W437">
        <f>vlookup("922-096465-600",Out!B:AZ,column(v1),0)</f>
        <v>0</v>
      </c>
      <c r="X437">
        <f>vlookup("922-096465-600",Out!B:AZ,column(w1),0)</f>
        <v>0</v>
      </c>
      <c r="Y437">
        <f>vlookup("922-096465-600",Out!B:AZ,column(x1),0)</f>
        <v>0</v>
      </c>
      <c r="Z437">
        <f>vlookup("922-096465-600",Out!B:AZ,column(y1),0)</f>
        <v>0</v>
      </c>
      <c r="AA437">
        <f>vlookup("922-096465-600",Out!B:AZ,column(z1),0)</f>
        <v>0</v>
      </c>
      <c r="AB437">
        <f>vlookup("922-096465-600",Out!B:AZ,column(aa1),0)</f>
        <v>0</v>
      </c>
      <c r="AC437">
        <f>vlookup("922-096465-600",Out!B:AZ,column(ab1),0)</f>
        <v>0</v>
      </c>
      <c r="AD437">
        <f>vlookup("922-096465-600",Out!B:AZ,column(ac1),0)</f>
        <v>0</v>
      </c>
      <c r="AE437">
        <f>vlookup("922-096465-600",Out!B:AZ,column(ad1),0)</f>
        <v>0</v>
      </c>
      <c r="AF437">
        <f>vlookup("922-096465-600",Out!B:AZ,column(ae1),0)</f>
        <v>0</v>
      </c>
      <c r="AG437">
        <f>vlookup("922-096465-600",Out!B:AZ,column(af1),0)</f>
        <v>0</v>
      </c>
      <c r="AH437">
        <f>vlookup("922-096465-600",Out!B:AZ,column(ag1),0)</f>
        <v>0</v>
      </c>
      <c r="AI437">
        <f>vlookup("922-096465-600",Out!B:AZ,column(ah1),0)</f>
        <v>0</v>
      </c>
      <c r="AJ437">
        <f>vlookup("922-096465-600",Out!B:AZ,column(ai1),0)</f>
        <v>0</v>
      </c>
      <c r="AK437">
        <f>vlookup("922-096465-600",Out!B:AZ,column(aj1),0)</f>
        <v>0</v>
      </c>
      <c r="AL437">
        <f>vlookup("922-096465-600",Out!B:AZ,column(ak1),0)</f>
        <v>0</v>
      </c>
      <c r="AM437">
        <f>vlookup("922-096465-600",Out!B:AZ,column(al1),0)</f>
        <v>0</v>
      </c>
      <c r="AN437">
        <f>vlookup("922-096465-600",Out!B:AZ,column(am1),0)</f>
        <v>0</v>
      </c>
      <c r="AO437">
        <f>vlookup("922-096465-600",Out!B:AZ,column(an1),0)</f>
        <v>0</v>
      </c>
    </row>
    <row r="438" spans="1:41">
      <c r="H438" t="s">
        <v>16</v>
      </c>
      <c r="J438">
        <f>indirect(address(438,9))+indirect(address(436,10))-indirect(address(437,10))</f>
        <v>0</v>
      </c>
      <c r="K438">
        <f>indirect(address(438,10))+indirect(address(436,11))-indirect(address(437,11))</f>
        <v>0</v>
      </c>
      <c r="L438">
        <f>indirect(address(438,11))+indirect(address(436,12))-indirect(address(437,12))</f>
        <v>0</v>
      </c>
      <c r="M438">
        <f>indirect(address(438,12))+indirect(address(436,13))-indirect(address(437,13))</f>
        <v>0</v>
      </c>
      <c r="N438">
        <f>indirect(address(438,13))+indirect(address(436,14))-indirect(address(437,14))</f>
        <v>0</v>
      </c>
      <c r="O438">
        <f>indirect(address(438,14))+indirect(address(436,15))-indirect(address(437,15))</f>
        <v>0</v>
      </c>
      <c r="P438">
        <f>indirect(address(438,15))+indirect(address(436,16))-indirect(address(437,16))</f>
        <v>0</v>
      </c>
      <c r="Q438">
        <f>indirect(address(438,16))+indirect(address(436,17))-indirect(address(437,17))</f>
        <v>0</v>
      </c>
      <c r="R438">
        <f>indirect(address(438,17))+indirect(address(436,18))-indirect(address(437,18))</f>
        <v>0</v>
      </c>
      <c r="S438">
        <f>indirect(address(438,18))+indirect(address(436,19))-indirect(address(437,19))</f>
        <v>0</v>
      </c>
      <c r="T438">
        <f>indirect(address(438,19))+indirect(address(436,20))-indirect(address(437,20))</f>
        <v>0</v>
      </c>
      <c r="U438">
        <f>indirect(address(438,20))+indirect(address(436,21))-indirect(address(437,21))</f>
        <v>0</v>
      </c>
      <c r="V438">
        <f>indirect(address(438,21))+indirect(address(436,22))-indirect(address(437,22))</f>
        <v>0</v>
      </c>
      <c r="W438">
        <f>indirect(address(438,22))+indirect(address(436,23))-indirect(address(437,23))</f>
        <v>0</v>
      </c>
      <c r="X438">
        <f>indirect(address(438,23))+indirect(address(436,24))-indirect(address(437,24))</f>
        <v>0</v>
      </c>
      <c r="Y438">
        <f>indirect(address(438,24))+indirect(address(436,25))-indirect(address(437,25))</f>
        <v>0</v>
      </c>
      <c r="Z438">
        <f>indirect(address(438,25))+indirect(address(436,26))-indirect(address(437,26))</f>
        <v>0</v>
      </c>
      <c r="AA438">
        <f>indirect(address(438,26))+indirect(address(436,27))-indirect(address(437,27))</f>
        <v>0</v>
      </c>
      <c r="AB438">
        <f>indirect(address(438,27))+indirect(address(436,28))-indirect(address(437,28))</f>
        <v>0</v>
      </c>
      <c r="AC438">
        <f>indirect(address(438,28))+indirect(address(436,29))-indirect(address(437,29))</f>
        <v>0</v>
      </c>
      <c r="AD438">
        <f>indirect(address(438,29))+indirect(address(436,30))-indirect(address(437,30))</f>
        <v>0</v>
      </c>
      <c r="AE438">
        <f>indirect(address(438,30))+indirect(address(436,31))-indirect(address(437,31))</f>
        <v>0</v>
      </c>
      <c r="AF438">
        <f>indirect(address(438,31))+indirect(address(436,32))-indirect(address(437,32))</f>
        <v>0</v>
      </c>
      <c r="AG438">
        <f>indirect(address(438,32))+indirect(address(436,33))-indirect(address(437,33))</f>
        <v>0</v>
      </c>
      <c r="AH438">
        <f>indirect(address(438,33))+indirect(address(436,34))-indirect(address(437,34))</f>
        <v>0</v>
      </c>
      <c r="AI438">
        <f>indirect(address(438,34))+indirect(address(436,35))-indirect(address(437,35))</f>
        <v>0</v>
      </c>
      <c r="AJ438">
        <f>indirect(address(438,35))+indirect(address(436,36))-indirect(address(437,36))</f>
        <v>0</v>
      </c>
      <c r="AK438">
        <f>indirect(address(438,36))+indirect(address(436,37))-indirect(address(437,37))</f>
        <v>0</v>
      </c>
      <c r="AL438">
        <f>indirect(address(438,37))+indirect(address(436,38))-indirect(address(437,38))</f>
        <v>0</v>
      </c>
      <c r="AM438">
        <f>indirect(address(438,38))+indirect(address(436,39))-indirect(address(437,39))</f>
        <v>0</v>
      </c>
      <c r="AN438">
        <f>indirect(address(438,39))+indirect(address(436,40))-indirect(address(437,40))</f>
        <v>0</v>
      </c>
      <c r="AO438">
        <f>indirect(address(438,40))</f>
        <v>0</v>
      </c>
    </row>
    <row r="439" spans="1:41">
      <c r="A439" t="s">
        <v>17</v>
      </c>
      <c r="B439" t="s">
        <v>422</v>
      </c>
      <c r="C439" t="s">
        <v>423</v>
      </c>
      <c r="E439">
        <v>1</v>
      </c>
      <c r="F439" t="s">
        <v>13</v>
      </c>
      <c r="I439" t="s">
        <v>15</v>
      </c>
      <c r="J439">
        <f>vlookup("922-096465-600",B:AZ,column(i1),0)*e439</f>
        <v>0</v>
      </c>
      <c r="K439">
        <f>vlookup("922-096465-600",B:AZ,column(j1),0)*e439</f>
        <v>0</v>
      </c>
      <c r="L439">
        <f>vlookup("922-096465-600",B:AZ,column(k1),0)*e439</f>
        <v>0</v>
      </c>
      <c r="M439">
        <f>vlookup("922-096465-600",B:AZ,column(l1),0)*e439</f>
        <v>0</v>
      </c>
      <c r="N439">
        <f>vlookup("922-096465-600",B:AZ,column(m1),0)*e439</f>
        <v>0</v>
      </c>
      <c r="O439">
        <f>vlookup("922-096465-600",B:AZ,column(n1),0)*e439</f>
        <v>0</v>
      </c>
      <c r="P439">
        <f>vlookup("922-096465-600",B:AZ,column(o1),0)*e439</f>
        <v>0</v>
      </c>
      <c r="Q439">
        <f>vlookup("922-096465-600",B:AZ,column(p1),0)*e439</f>
        <v>0</v>
      </c>
      <c r="R439">
        <f>vlookup("922-096465-600",B:AZ,column(q1),0)*e439</f>
        <v>0</v>
      </c>
      <c r="S439">
        <f>vlookup("922-096465-600",B:AZ,column(r1),0)*e439</f>
        <v>0</v>
      </c>
      <c r="T439">
        <f>vlookup("922-096465-600",B:AZ,column(s1),0)*e439</f>
        <v>0</v>
      </c>
      <c r="U439">
        <f>vlookup("922-096465-600",B:AZ,column(t1),0)*e439</f>
        <v>0</v>
      </c>
      <c r="V439">
        <f>vlookup("922-096465-600",B:AZ,column(u1),0)*e439</f>
        <v>0</v>
      </c>
      <c r="W439">
        <f>vlookup("922-096465-600",B:AZ,column(v1),0)*e439</f>
        <v>0</v>
      </c>
      <c r="X439">
        <f>vlookup("922-096465-600",B:AZ,column(w1),0)*e439</f>
        <v>0</v>
      </c>
      <c r="Y439">
        <f>vlookup("922-096465-600",B:AZ,column(x1),0)*e439</f>
        <v>0</v>
      </c>
      <c r="Z439">
        <f>vlookup("922-096465-600",B:AZ,column(y1),0)*e439</f>
        <v>0</v>
      </c>
      <c r="AA439">
        <f>vlookup("922-096465-600",B:AZ,column(z1),0)*e439</f>
        <v>0</v>
      </c>
      <c r="AB439">
        <f>vlookup("922-096465-600",B:AZ,column(aa1),0)*e439</f>
        <v>0</v>
      </c>
      <c r="AC439">
        <f>vlookup("922-096465-600",B:AZ,column(ab1),0)*e439</f>
        <v>0</v>
      </c>
      <c r="AD439">
        <f>vlookup("922-096465-600",B:AZ,column(ac1),0)*e439</f>
        <v>0</v>
      </c>
      <c r="AE439">
        <f>vlookup("922-096465-600",B:AZ,column(ad1),0)*e439</f>
        <v>0</v>
      </c>
      <c r="AF439">
        <f>vlookup("922-096465-600",B:AZ,column(ae1),0)*e439</f>
        <v>0</v>
      </c>
      <c r="AG439">
        <f>vlookup("922-096465-600",B:AZ,column(af1),0)*e439</f>
        <v>0</v>
      </c>
      <c r="AH439">
        <f>vlookup("922-096465-600",B:AZ,column(ag1),0)*e439</f>
        <v>0</v>
      </c>
      <c r="AI439">
        <f>vlookup("922-096465-600",B:AZ,column(ah1),0)*e439</f>
        <v>0</v>
      </c>
      <c r="AJ439">
        <f>vlookup("922-096465-600",B:AZ,column(ai1),0)*e439</f>
        <v>0</v>
      </c>
      <c r="AK439">
        <f>vlookup("922-096465-600",B:AZ,column(aj1),0)*e439</f>
        <v>0</v>
      </c>
      <c r="AL439">
        <f>vlookup("922-096465-600",B:AZ,column(ak1),0)*e439</f>
        <v>0</v>
      </c>
      <c r="AM439">
        <f>vlookup("922-096465-600",B:AZ,column(al1),0)*e439</f>
        <v>0</v>
      </c>
      <c r="AN439">
        <f>vlookup("922-096465-600",B:AZ,column(am1),0)*e439</f>
        <v>0</v>
      </c>
      <c r="AO439">
        <f>vlookup("922-096465-600",B:AZ,column(an1),0)*e439</f>
        <v>0</v>
      </c>
    </row>
    <row r="440" spans="1:41">
      <c r="A440" t="s">
        <v>22</v>
      </c>
      <c r="B440" t="s">
        <v>448</v>
      </c>
      <c r="C440" t="s">
        <v>449</v>
      </c>
      <c r="E440">
        <v>1</v>
      </c>
      <c r="F440" t="s">
        <v>13</v>
      </c>
      <c r="I440" t="s">
        <v>15</v>
      </c>
      <c r="J440">
        <f>vlookup("922-096465-600",B:AZ,column(i1),0)*e440</f>
        <v>0</v>
      </c>
      <c r="K440">
        <f>vlookup("922-096465-600",B:AZ,column(j1),0)*e440</f>
        <v>0</v>
      </c>
      <c r="L440">
        <f>vlookup("922-096465-600",B:AZ,column(k1),0)*e440</f>
        <v>0</v>
      </c>
      <c r="M440">
        <f>vlookup("922-096465-600",B:AZ,column(l1),0)*e440</f>
        <v>0</v>
      </c>
      <c r="N440">
        <f>vlookup("922-096465-600",B:AZ,column(m1),0)*e440</f>
        <v>0</v>
      </c>
      <c r="O440">
        <f>vlookup("922-096465-600",B:AZ,column(n1),0)*e440</f>
        <v>0</v>
      </c>
      <c r="P440">
        <f>vlookup("922-096465-600",B:AZ,column(o1),0)*e440</f>
        <v>0</v>
      </c>
      <c r="Q440">
        <f>vlookup("922-096465-600",B:AZ,column(p1),0)*e440</f>
        <v>0</v>
      </c>
      <c r="R440">
        <f>vlookup("922-096465-600",B:AZ,column(q1),0)*e440</f>
        <v>0</v>
      </c>
      <c r="S440">
        <f>vlookup("922-096465-600",B:AZ,column(r1),0)*e440</f>
        <v>0</v>
      </c>
      <c r="T440">
        <f>vlookup("922-096465-600",B:AZ,column(s1),0)*e440</f>
        <v>0</v>
      </c>
      <c r="U440">
        <f>vlookup("922-096465-600",B:AZ,column(t1),0)*e440</f>
        <v>0</v>
      </c>
      <c r="V440">
        <f>vlookup("922-096465-600",B:AZ,column(u1),0)*e440</f>
        <v>0</v>
      </c>
      <c r="W440">
        <f>vlookup("922-096465-600",B:AZ,column(v1),0)*e440</f>
        <v>0</v>
      </c>
      <c r="X440">
        <f>vlookup("922-096465-600",B:AZ,column(w1),0)*e440</f>
        <v>0</v>
      </c>
      <c r="Y440">
        <f>vlookup("922-096465-600",B:AZ,column(x1),0)*e440</f>
        <v>0</v>
      </c>
      <c r="Z440">
        <f>vlookup("922-096465-600",B:AZ,column(y1),0)*e440</f>
        <v>0</v>
      </c>
      <c r="AA440">
        <f>vlookup("922-096465-600",B:AZ,column(z1),0)*e440</f>
        <v>0</v>
      </c>
      <c r="AB440">
        <f>vlookup("922-096465-600",B:AZ,column(aa1),0)*e440</f>
        <v>0</v>
      </c>
      <c r="AC440">
        <f>vlookup("922-096465-600",B:AZ,column(ab1),0)*e440</f>
        <v>0</v>
      </c>
      <c r="AD440">
        <f>vlookup("922-096465-600",B:AZ,column(ac1),0)*e440</f>
        <v>0</v>
      </c>
      <c r="AE440">
        <f>vlookup("922-096465-600",B:AZ,column(ad1),0)*e440</f>
        <v>0</v>
      </c>
      <c r="AF440">
        <f>vlookup("922-096465-600",B:AZ,column(ae1),0)*e440</f>
        <v>0</v>
      </c>
      <c r="AG440">
        <f>vlookup("922-096465-600",B:AZ,column(af1),0)*e440</f>
        <v>0</v>
      </c>
      <c r="AH440">
        <f>vlookup("922-096465-600",B:AZ,column(ag1),0)*e440</f>
        <v>0</v>
      </c>
      <c r="AI440">
        <f>vlookup("922-096465-600",B:AZ,column(ah1),0)*e440</f>
        <v>0</v>
      </c>
      <c r="AJ440">
        <f>vlookup("922-096465-600",B:AZ,column(ai1),0)*e440</f>
        <v>0</v>
      </c>
      <c r="AK440">
        <f>vlookup("922-096465-600",B:AZ,column(aj1),0)*e440</f>
        <v>0</v>
      </c>
      <c r="AL440">
        <f>vlookup("922-096465-600",B:AZ,column(ak1),0)*e440</f>
        <v>0</v>
      </c>
      <c r="AM440">
        <f>vlookup("922-096465-600",B:AZ,column(al1),0)*e440</f>
        <v>0</v>
      </c>
      <c r="AN440">
        <f>vlookup("922-096465-600",B:AZ,column(am1),0)*e440</f>
        <v>0</v>
      </c>
      <c r="AO440">
        <f>vlookup("922-096465-600",B:AZ,column(an1),0)*e440</f>
        <v>0</v>
      </c>
    </row>
    <row r="441" spans="1:41">
      <c r="A441" t="s">
        <v>43</v>
      </c>
      <c r="B441" t="s">
        <v>450</v>
      </c>
      <c r="C441" t="s">
        <v>451</v>
      </c>
      <c r="E441">
        <v>0.05</v>
      </c>
      <c r="F441" t="s">
        <v>13</v>
      </c>
      <c r="I441" t="s">
        <v>15</v>
      </c>
      <c r="J441">
        <f>vlookup("922-096465-600",B:AZ,column(i1),0)*e441</f>
        <v>0</v>
      </c>
      <c r="K441">
        <f>vlookup("922-096465-600",B:AZ,column(j1),0)*e441</f>
        <v>0</v>
      </c>
      <c r="L441">
        <f>vlookup("922-096465-600",B:AZ,column(k1),0)*e441</f>
        <v>0</v>
      </c>
      <c r="M441">
        <f>vlookup("922-096465-600",B:AZ,column(l1),0)*e441</f>
        <v>0</v>
      </c>
      <c r="N441">
        <f>vlookup("922-096465-600",B:AZ,column(m1),0)*e441</f>
        <v>0</v>
      </c>
      <c r="O441">
        <f>vlookup("922-096465-600",B:AZ,column(n1),0)*e441</f>
        <v>0</v>
      </c>
      <c r="P441">
        <f>vlookup("922-096465-600",B:AZ,column(o1),0)*e441</f>
        <v>0</v>
      </c>
      <c r="Q441">
        <f>vlookup("922-096465-600",B:AZ,column(p1),0)*e441</f>
        <v>0</v>
      </c>
      <c r="R441">
        <f>vlookup("922-096465-600",B:AZ,column(q1),0)*e441</f>
        <v>0</v>
      </c>
      <c r="S441">
        <f>vlookup("922-096465-600",B:AZ,column(r1),0)*e441</f>
        <v>0</v>
      </c>
      <c r="T441">
        <f>vlookup("922-096465-600",B:AZ,column(s1),0)*e441</f>
        <v>0</v>
      </c>
      <c r="U441">
        <f>vlookup("922-096465-600",B:AZ,column(t1),0)*e441</f>
        <v>0</v>
      </c>
      <c r="V441">
        <f>vlookup("922-096465-600",B:AZ,column(u1),0)*e441</f>
        <v>0</v>
      </c>
      <c r="W441">
        <f>vlookup("922-096465-600",B:AZ,column(v1),0)*e441</f>
        <v>0</v>
      </c>
      <c r="X441">
        <f>vlookup("922-096465-600",B:AZ,column(w1),0)*e441</f>
        <v>0</v>
      </c>
      <c r="Y441">
        <f>vlookup("922-096465-600",B:AZ,column(x1),0)*e441</f>
        <v>0</v>
      </c>
      <c r="Z441">
        <f>vlookup("922-096465-600",B:AZ,column(y1),0)*e441</f>
        <v>0</v>
      </c>
      <c r="AA441">
        <f>vlookup("922-096465-600",B:AZ,column(z1),0)*e441</f>
        <v>0</v>
      </c>
      <c r="AB441">
        <f>vlookup("922-096465-600",B:AZ,column(aa1),0)*e441</f>
        <v>0</v>
      </c>
      <c r="AC441">
        <f>vlookup("922-096465-600",B:AZ,column(ab1),0)*e441</f>
        <v>0</v>
      </c>
      <c r="AD441">
        <f>vlookup("922-096465-600",B:AZ,column(ac1),0)*e441</f>
        <v>0</v>
      </c>
      <c r="AE441">
        <f>vlookup("922-096465-600",B:AZ,column(ad1),0)*e441</f>
        <v>0</v>
      </c>
      <c r="AF441">
        <f>vlookup("922-096465-600",B:AZ,column(ae1),0)*e441</f>
        <v>0</v>
      </c>
      <c r="AG441">
        <f>vlookup("922-096465-600",B:AZ,column(af1),0)*e441</f>
        <v>0</v>
      </c>
      <c r="AH441">
        <f>vlookup("922-096465-600",B:AZ,column(ag1),0)*e441</f>
        <v>0</v>
      </c>
      <c r="AI441">
        <f>vlookup("922-096465-600",B:AZ,column(ah1),0)*e441</f>
        <v>0</v>
      </c>
      <c r="AJ441">
        <f>vlookup("922-096465-600",B:AZ,column(ai1),0)*e441</f>
        <v>0</v>
      </c>
      <c r="AK441">
        <f>vlookup("922-096465-600",B:AZ,column(aj1),0)*e441</f>
        <v>0</v>
      </c>
      <c r="AL441">
        <f>vlookup("922-096465-600",B:AZ,column(ak1),0)*e441</f>
        <v>0</v>
      </c>
      <c r="AM441">
        <f>vlookup("922-096465-600",B:AZ,column(al1),0)*e441</f>
        <v>0</v>
      </c>
      <c r="AN441">
        <f>vlookup("922-096465-600",B:AZ,column(am1),0)*e441</f>
        <v>0</v>
      </c>
      <c r="AO441">
        <f>vlookup("922-096465-600",B:AZ,column(an1),0)*e441</f>
        <v>0</v>
      </c>
    </row>
    <row r="442" spans="1:41">
      <c r="A442" t="s">
        <v>10</v>
      </c>
      <c r="B442" t="s">
        <v>452</v>
      </c>
      <c r="C442" t="s">
        <v>413</v>
      </c>
      <c r="E442">
        <v>1</v>
      </c>
      <c r="F442" t="s">
        <v>13</v>
      </c>
      <c r="I442" t="s">
        <v>14</v>
      </c>
      <c r="AO442">
        <f>sum(j442:an442)</f>
        <v>0</v>
      </c>
    </row>
    <row r="443" spans="1:41">
      <c r="I443" t="s">
        <v>15</v>
      </c>
      <c r="J443">
        <f>vlookup("922-096517-100",Out!B:AZ,column(i1),0)</f>
        <v>0</v>
      </c>
      <c r="K443">
        <f>vlookup("922-096517-100",Out!B:AZ,column(j1),0)</f>
        <v>0</v>
      </c>
      <c r="L443">
        <f>vlookup("922-096517-100",Out!B:AZ,column(k1),0)</f>
        <v>0</v>
      </c>
      <c r="M443">
        <f>vlookup("922-096517-100",Out!B:AZ,column(l1),0)</f>
        <v>0</v>
      </c>
      <c r="N443">
        <f>vlookup("922-096517-100",Out!B:AZ,column(m1),0)</f>
        <v>0</v>
      </c>
      <c r="O443">
        <f>vlookup("922-096517-100",Out!B:AZ,column(n1),0)</f>
        <v>0</v>
      </c>
      <c r="P443">
        <f>vlookup("922-096517-100",Out!B:AZ,column(o1),0)</f>
        <v>0</v>
      </c>
      <c r="Q443">
        <f>vlookup("922-096517-100",Out!B:AZ,column(p1),0)</f>
        <v>0</v>
      </c>
      <c r="R443">
        <f>vlookup("922-096517-100",Out!B:AZ,column(q1),0)</f>
        <v>0</v>
      </c>
      <c r="S443">
        <f>vlookup("922-096517-100",Out!B:AZ,column(r1),0)</f>
        <v>0</v>
      </c>
      <c r="T443">
        <f>vlookup("922-096517-100",Out!B:AZ,column(s1),0)</f>
        <v>0</v>
      </c>
      <c r="U443">
        <f>vlookup("922-096517-100",Out!B:AZ,column(t1),0)</f>
        <v>0</v>
      </c>
      <c r="V443">
        <f>vlookup("922-096517-100",Out!B:AZ,column(u1),0)</f>
        <v>0</v>
      </c>
      <c r="W443">
        <f>vlookup("922-096517-100",Out!B:AZ,column(v1),0)</f>
        <v>0</v>
      </c>
      <c r="X443">
        <f>vlookup("922-096517-100",Out!B:AZ,column(w1),0)</f>
        <v>0</v>
      </c>
      <c r="Y443">
        <f>vlookup("922-096517-100",Out!B:AZ,column(x1),0)</f>
        <v>0</v>
      </c>
      <c r="Z443">
        <f>vlookup("922-096517-100",Out!B:AZ,column(y1),0)</f>
        <v>0</v>
      </c>
      <c r="AA443">
        <f>vlookup("922-096517-100",Out!B:AZ,column(z1),0)</f>
        <v>0</v>
      </c>
      <c r="AB443">
        <f>vlookup("922-096517-100",Out!B:AZ,column(aa1),0)</f>
        <v>0</v>
      </c>
      <c r="AC443">
        <f>vlookup("922-096517-100",Out!B:AZ,column(ab1),0)</f>
        <v>0</v>
      </c>
      <c r="AD443">
        <f>vlookup("922-096517-100",Out!B:AZ,column(ac1),0)</f>
        <v>0</v>
      </c>
      <c r="AE443">
        <f>vlookup("922-096517-100",Out!B:AZ,column(ad1),0)</f>
        <v>0</v>
      </c>
      <c r="AF443">
        <f>vlookup("922-096517-100",Out!B:AZ,column(ae1),0)</f>
        <v>0</v>
      </c>
      <c r="AG443">
        <f>vlookup("922-096517-100",Out!B:AZ,column(af1),0)</f>
        <v>0</v>
      </c>
      <c r="AH443">
        <f>vlookup("922-096517-100",Out!B:AZ,column(ag1),0)</f>
        <v>0</v>
      </c>
      <c r="AI443">
        <f>vlookup("922-096517-100",Out!B:AZ,column(ah1),0)</f>
        <v>0</v>
      </c>
      <c r="AJ443">
        <f>vlookup("922-096517-100",Out!B:AZ,column(ai1),0)</f>
        <v>0</v>
      </c>
      <c r="AK443">
        <f>vlookup("922-096517-100",Out!B:AZ,column(aj1),0)</f>
        <v>0</v>
      </c>
      <c r="AL443">
        <f>vlookup("922-096517-100",Out!B:AZ,column(ak1),0)</f>
        <v>0</v>
      </c>
      <c r="AM443">
        <f>vlookup("922-096517-100",Out!B:AZ,column(al1),0)</f>
        <v>0</v>
      </c>
      <c r="AN443">
        <f>vlookup("922-096517-100",Out!B:AZ,column(am1),0)</f>
        <v>0</v>
      </c>
      <c r="AO443">
        <f>vlookup("922-096517-100",Out!B:AZ,column(an1),0)</f>
        <v>0</v>
      </c>
    </row>
    <row r="444" spans="1:41">
      <c r="H444" t="s">
        <v>16</v>
      </c>
      <c r="J444">
        <f>indirect(address(444,9))+indirect(address(442,10))-indirect(address(443,10))</f>
        <v>0</v>
      </c>
      <c r="K444">
        <f>indirect(address(444,10))+indirect(address(442,11))-indirect(address(443,11))</f>
        <v>0</v>
      </c>
      <c r="L444">
        <f>indirect(address(444,11))+indirect(address(442,12))-indirect(address(443,12))</f>
        <v>0</v>
      </c>
      <c r="M444">
        <f>indirect(address(444,12))+indirect(address(442,13))-indirect(address(443,13))</f>
        <v>0</v>
      </c>
      <c r="N444">
        <f>indirect(address(444,13))+indirect(address(442,14))-indirect(address(443,14))</f>
        <v>0</v>
      </c>
      <c r="O444">
        <f>indirect(address(444,14))+indirect(address(442,15))-indirect(address(443,15))</f>
        <v>0</v>
      </c>
      <c r="P444">
        <f>indirect(address(444,15))+indirect(address(442,16))-indirect(address(443,16))</f>
        <v>0</v>
      </c>
      <c r="Q444">
        <f>indirect(address(444,16))+indirect(address(442,17))-indirect(address(443,17))</f>
        <v>0</v>
      </c>
      <c r="R444">
        <f>indirect(address(444,17))+indirect(address(442,18))-indirect(address(443,18))</f>
        <v>0</v>
      </c>
      <c r="S444">
        <f>indirect(address(444,18))+indirect(address(442,19))-indirect(address(443,19))</f>
        <v>0</v>
      </c>
      <c r="T444">
        <f>indirect(address(444,19))+indirect(address(442,20))-indirect(address(443,20))</f>
        <v>0</v>
      </c>
      <c r="U444">
        <f>indirect(address(444,20))+indirect(address(442,21))-indirect(address(443,21))</f>
        <v>0</v>
      </c>
      <c r="V444">
        <f>indirect(address(444,21))+indirect(address(442,22))-indirect(address(443,22))</f>
        <v>0</v>
      </c>
      <c r="W444">
        <f>indirect(address(444,22))+indirect(address(442,23))-indirect(address(443,23))</f>
        <v>0</v>
      </c>
      <c r="X444">
        <f>indirect(address(444,23))+indirect(address(442,24))-indirect(address(443,24))</f>
        <v>0</v>
      </c>
      <c r="Y444">
        <f>indirect(address(444,24))+indirect(address(442,25))-indirect(address(443,25))</f>
        <v>0</v>
      </c>
      <c r="Z444">
        <f>indirect(address(444,25))+indirect(address(442,26))-indirect(address(443,26))</f>
        <v>0</v>
      </c>
      <c r="AA444">
        <f>indirect(address(444,26))+indirect(address(442,27))-indirect(address(443,27))</f>
        <v>0</v>
      </c>
      <c r="AB444">
        <f>indirect(address(444,27))+indirect(address(442,28))-indirect(address(443,28))</f>
        <v>0</v>
      </c>
      <c r="AC444">
        <f>indirect(address(444,28))+indirect(address(442,29))-indirect(address(443,29))</f>
        <v>0</v>
      </c>
      <c r="AD444">
        <f>indirect(address(444,29))+indirect(address(442,30))-indirect(address(443,30))</f>
        <v>0</v>
      </c>
      <c r="AE444">
        <f>indirect(address(444,30))+indirect(address(442,31))-indirect(address(443,31))</f>
        <v>0</v>
      </c>
      <c r="AF444">
        <f>indirect(address(444,31))+indirect(address(442,32))-indirect(address(443,32))</f>
        <v>0</v>
      </c>
      <c r="AG444">
        <f>indirect(address(444,32))+indirect(address(442,33))-indirect(address(443,33))</f>
        <v>0</v>
      </c>
      <c r="AH444">
        <f>indirect(address(444,33))+indirect(address(442,34))-indirect(address(443,34))</f>
        <v>0</v>
      </c>
      <c r="AI444">
        <f>indirect(address(444,34))+indirect(address(442,35))-indirect(address(443,35))</f>
        <v>0</v>
      </c>
      <c r="AJ444">
        <f>indirect(address(444,35))+indirect(address(442,36))-indirect(address(443,36))</f>
        <v>0</v>
      </c>
      <c r="AK444">
        <f>indirect(address(444,36))+indirect(address(442,37))-indirect(address(443,37))</f>
        <v>0</v>
      </c>
      <c r="AL444">
        <f>indirect(address(444,37))+indirect(address(442,38))-indirect(address(443,38))</f>
        <v>0</v>
      </c>
      <c r="AM444">
        <f>indirect(address(444,38))+indirect(address(442,39))-indirect(address(443,39))</f>
        <v>0</v>
      </c>
      <c r="AN444">
        <f>indirect(address(444,39))+indirect(address(442,40))-indirect(address(443,40))</f>
        <v>0</v>
      </c>
      <c r="AO444">
        <f>indirect(address(444,40))</f>
        <v>0</v>
      </c>
    </row>
    <row r="445" spans="1:41">
      <c r="A445" t="s">
        <v>17</v>
      </c>
      <c r="B445" t="s">
        <v>453</v>
      </c>
      <c r="C445" t="s">
        <v>454</v>
      </c>
      <c r="E445">
        <v>1</v>
      </c>
      <c r="F445" t="s">
        <v>13</v>
      </c>
      <c r="I445" t="s">
        <v>15</v>
      </c>
      <c r="J445">
        <f>vlookup("922-096517-100",B:AZ,column(i1),0)*e445</f>
        <v>0</v>
      </c>
      <c r="K445">
        <f>vlookup("922-096517-100",B:AZ,column(j1),0)*e445</f>
        <v>0</v>
      </c>
      <c r="L445">
        <f>vlookup("922-096517-100",B:AZ,column(k1),0)*e445</f>
        <v>0</v>
      </c>
      <c r="M445">
        <f>vlookup("922-096517-100",B:AZ,column(l1),0)*e445</f>
        <v>0</v>
      </c>
      <c r="N445">
        <f>vlookup("922-096517-100",B:AZ,column(m1),0)*e445</f>
        <v>0</v>
      </c>
      <c r="O445">
        <f>vlookup("922-096517-100",B:AZ,column(n1),0)*e445</f>
        <v>0</v>
      </c>
      <c r="P445">
        <f>vlookup("922-096517-100",B:AZ,column(o1),0)*e445</f>
        <v>0</v>
      </c>
      <c r="Q445">
        <f>vlookup("922-096517-100",B:AZ,column(p1),0)*e445</f>
        <v>0</v>
      </c>
      <c r="R445">
        <f>vlookup("922-096517-100",B:AZ,column(q1),0)*e445</f>
        <v>0</v>
      </c>
      <c r="S445">
        <f>vlookup("922-096517-100",B:AZ,column(r1),0)*e445</f>
        <v>0</v>
      </c>
      <c r="T445">
        <f>vlookup("922-096517-100",B:AZ,column(s1),0)*e445</f>
        <v>0</v>
      </c>
      <c r="U445">
        <f>vlookup("922-096517-100",B:AZ,column(t1),0)*e445</f>
        <v>0</v>
      </c>
      <c r="V445">
        <f>vlookup("922-096517-100",B:AZ,column(u1),0)*e445</f>
        <v>0</v>
      </c>
      <c r="W445">
        <f>vlookup("922-096517-100",B:AZ,column(v1),0)*e445</f>
        <v>0</v>
      </c>
      <c r="X445">
        <f>vlookup("922-096517-100",B:AZ,column(w1),0)*e445</f>
        <v>0</v>
      </c>
      <c r="Y445">
        <f>vlookup("922-096517-100",B:AZ,column(x1),0)*e445</f>
        <v>0</v>
      </c>
      <c r="Z445">
        <f>vlookup("922-096517-100",B:AZ,column(y1),0)*e445</f>
        <v>0</v>
      </c>
      <c r="AA445">
        <f>vlookup("922-096517-100",B:AZ,column(z1),0)*e445</f>
        <v>0</v>
      </c>
      <c r="AB445">
        <f>vlookup("922-096517-100",B:AZ,column(aa1),0)*e445</f>
        <v>0</v>
      </c>
      <c r="AC445">
        <f>vlookup("922-096517-100",B:AZ,column(ab1),0)*e445</f>
        <v>0</v>
      </c>
      <c r="AD445">
        <f>vlookup("922-096517-100",B:AZ,column(ac1),0)*e445</f>
        <v>0</v>
      </c>
      <c r="AE445">
        <f>vlookup("922-096517-100",B:AZ,column(ad1),0)*e445</f>
        <v>0</v>
      </c>
      <c r="AF445">
        <f>vlookup("922-096517-100",B:AZ,column(ae1),0)*e445</f>
        <v>0</v>
      </c>
      <c r="AG445">
        <f>vlookup("922-096517-100",B:AZ,column(af1),0)*e445</f>
        <v>0</v>
      </c>
      <c r="AH445">
        <f>vlookup("922-096517-100",B:AZ,column(ag1),0)*e445</f>
        <v>0</v>
      </c>
      <c r="AI445">
        <f>vlookup("922-096517-100",B:AZ,column(ah1),0)*e445</f>
        <v>0</v>
      </c>
      <c r="AJ445">
        <f>vlookup("922-096517-100",B:AZ,column(ai1),0)*e445</f>
        <v>0</v>
      </c>
      <c r="AK445">
        <f>vlookup("922-096517-100",B:AZ,column(aj1),0)*e445</f>
        <v>0</v>
      </c>
      <c r="AL445">
        <f>vlookup("922-096517-100",B:AZ,column(ak1),0)*e445</f>
        <v>0</v>
      </c>
      <c r="AM445">
        <f>vlookup("922-096517-100",B:AZ,column(al1),0)*e445</f>
        <v>0</v>
      </c>
      <c r="AN445">
        <f>vlookup("922-096517-100",B:AZ,column(am1),0)*e445</f>
        <v>0</v>
      </c>
      <c r="AO445">
        <f>vlookup("922-096517-100",B:AZ,column(an1),0)*e445</f>
        <v>0</v>
      </c>
    </row>
    <row r="446" spans="1:41">
      <c r="A446" t="s">
        <v>22</v>
      </c>
      <c r="B446" t="s">
        <v>455</v>
      </c>
      <c r="C446" t="s">
        <v>456</v>
      </c>
      <c r="E446">
        <v>1</v>
      </c>
      <c r="F446" t="s">
        <v>13</v>
      </c>
      <c r="I446" t="s">
        <v>15</v>
      </c>
      <c r="J446">
        <f>vlookup("922-096517-100",B:AZ,column(i1),0)*e446</f>
        <v>0</v>
      </c>
      <c r="K446">
        <f>vlookup("922-096517-100",B:AZ,column(j1),0)*e446</f>
        <v>0</v>
      </c>
      <c r="L446">
        <f>vlookup("922-096517-100",B:AZ,column(k1),0)*e446</f>
        <v>0</v>
      </c>
      <c r="M446">
        <f>vlookup("922-096517-100",B:AZ,column(l1),0)*e446</f>
        <v>0</v>
      </c>
      <c r="N446">
        <f>vlookup("922-096517-100",B:AZ,column(m1),0)*e446</f>
        <v>0</v>
      </c>
      <c r="O446">
        <f>vlookup("922-096517-100",B:AZ,column(n1),0)*e446</f>
        <v>0</v>
      </c>
      <c r="P446">
        <f>vlookup("922-096517-100",B:AZ,column(o1),0)*e446</f>
        <v>0</v>
      </c>
      <c r="Q446">
        <f>vlookup("922-096517-100",B:AZ,column(p1),0)*e446</f>
        <v>0</v>
      </c>
      <c r="R446">
        <f>vlookup("922-096517-100",B:AZ,column(q1),0)*e446</f>
        <v>0</v>
      </c>
      <c r="S446">
        <f>vlookup("922-096517-100",B:AZ,column(r1),0)*e446</f>
        <v>0</v>
      </c>
      <c r="T446">
        <f>vlookup("922-096517-100",B:AZ,column(s1),0)*e446</f>
        <v>0</v>
      </c>
      <c r="U446">
        <f>vlookup("922-096517-100",B:AZ,column(t1),0)*e446</f>
        <v>0</v>
      </c>
      <c r="V446">
        <f>vlookup("922-096517-100",B:AZ,column(u1),0)*e446</f>
        <v>0</v>
      </c>
      <c r="W446">
        <f>vlookup("922-096517-100",B:AZ,column(v1),0)*e446</f>
        <v>0</v>
      </c>
      <c r="X446">
        <f>vlookup("922-096517-100",B:AZ,column(w1),0)*e446</f>
        <v>0</v>
      </c>
      <c r="Y446">
        <f>vlookup("922-096517-100",B:AZ,column(x1),0)*e446</f>
        <v>0</v>
      </c>
      <c r="Z446">
        <f>vlookup("922-096517-100",B:AZ,column(y1),0)*e446</f>
        <v>0</v>
      </c>
      <c r="AA446">
        <f>vlookup("922-096517-100",B:AZ,column(z1),0)*e446</f>
        <v>0</v>
      </c>
      <c r="AB446">
        <f>vlookup("922-096517-100",B:AZ,column(aa1),0)*e446</f>
        <v>0</v>
      </c>
      <c r="AC446">
        <f>vlookup("922-096517-100",B:AZ,column(ab1),0)*e446</f>
        <v>0</v>
      </c>
      <c r="AD446">
        <f>vlookup("922-096517-100",B:AZ,column(ac1),0)*e446</f>
        <v>0</v>
      </c>
      <c r="AE446">
        <f>vlookup("922-096517-100",B:AZ,column(ad1),0)*e446</f>
        <v>0</v>
      </c>
      <c r="AF446">
        <f>vlookup("922-096517-100",B:AZ,column(ae1),0)*e446</f>
        <v>0</v>
      </c>
      <c r="AG446">
        <f>vlookup("922-096517-100",B:AZ,column(af1),0)*e446</f>
        <v>0</v>
      </c>
      <c r="AH446">
        <f>vlookup("922-096517-100",B:AZ,column(ag1),0)*e446</f>
        <v>0</v>
      </c>
      <c r="AI446">
        <f>vlookup("922-096517-100",B:AZ,column(ah1),0)*e446</f>
        <v>0</v>
      </c>
      <c r="AJ446">
        <f>vlookup("922-096517-100",B:AZ,column(ai1),0)*e446</f>
        <v>0</v>
      </c>
      <c r="AK446">
        <f>vlookup("922-096517-100",B:AZ,column(aj1),0)*e446</f>
        <v>0</v>
      </c>
      <c r="AL446">
        <f>vlookup("922-096517-100",B:AZ,column(ak1),0)*e446</f>
        <v>0</v>
      </c>
      <c r="AM446">
        <f>vlookup("922-096517-100",B:AZ,column(al1),0)*e446</f>
        <v>0</v>
      </c>
      <c r="AN446">
        <f>vlookup("922-096517-100",B:AZ,column(am1),0)*e446</f>
        <v>0</v>
      </c>
      <c r="AO446">
        <f>vlookup("922-096517-100",B:AZ,column(an1),0)*e446</f>
        <v>0</v>
      </c>
    </row>
    <row r="447" spans="1:41">
      <c r="A447" t="s">
        <v>78</v>
      </c>
      <c r="B447" t="s">
        <v>457</v>
      </c>
      <c r="C447" t="s">
        <v>458</v>
      </c>
      <c r="E447">
        <v>0.005</v>
      </c>
      <c r="F447" t="s">
        <v>13</v>
      </c>
      <c r="I447" t="s">
        <v>15</v>
      </c>
      <c r="J447">
        <f>vlookup("922-096517-100",B:AZ,column(i1),0)*e447</f>
        <v>0</v>
      </c>
      <c r="K447">
        <f>vlookup("922-096517-100",B:AZ,column(j1),0)*e447</f>
        <v>0</v>
      </c>
      <c r="L447">
        <f>vlookup("922-096517-100",B:AZ,column(k1),0)*e447</f>
        <v>0</v>
      </c>
      <c r="M447">
        <f>vlookup("922-096517-100",B:AZ,column(l1),0)*e447</f>
        <v>0</v>
      </c>
      <c r="N447">
        <f>vlookup("922-096517-100",B:AZ,column(m1),0)*e447</f>
        <v>0</v>
      </c>
      <c r="O447">
        <f>vlookup("922-096517-100",B:AZ,column(n1),0)*e447</f>
        <v>0</v>
      </c>
      <c r="P447">
        <f>vlookup("922-096517-100",B:AZ,column(o1),0)*e447</f>
        <v>0</v>
      </c>
      <c r="Q447">
        <f>vlookup("922-096517-100",B:AZ,column(p1),0)*e447</f>
        <v>0</v>
      </c>
      <c r="R447">
        <f>vlookup("922-096517-100",B:AZ,column(q1),0)*e447</f>
        <v>0</v>
      </c>
      <c r="S447">
        <f>vlookup("922-096517-100",B:AZ,column(r1),0)*e447</f>
        <v>0</v>
      </c>
      <c r="T447">
        <f>vlookup("922-096517-100",B:AZ,column(s1),0)*e447</f>
        <v>0</v>
      </c>
      <c r="U447">
        <f>vlookup("922-096517-100",B:AZ,column(t1),0)*e447</f>
        <v>0</v>
      </c>
      <c r="V447">
        <f>vlookup("922-096517-100",B:AZ,column(u1),0)*e447</f>
        <v>0</v>
      </c>
      <c r="W447">
        <f>vlookup("922-096517-100",B:AZ,column(v1),0)*e447</f>
        <v>0</v>
      </c>
      <c r="X447">
        <f>vlookup("922-096517-100",B:AZ,column(w1),0)*e447</f>
        <v>0</v>
      </c>
      <c r="Y447">
        <f>vlookup("922-096517-100",B:AZ,column(x1),0)*e447</f>
        <v>0</v>
      </c>
      <c r="Z447">
        <f>vlookup("922-096517-100",B:AZ,column(y1),0)*e447</f>
        <v>0</v>
      </c>
      <c r="AA447">
        <f>vlookup("922-096517-100",B:AZ,column(z1),0)*e447</f>
        <v>0</v>
      </c>
      <c r="AB447">
        <f>vlookup("922-096517-100",B:AZ,column(aa1),0)*e447</f>
        <v>0</v>
      </c>
      <c r="AC447">
        <f>vlookup("922-096517-100",B:AZ,column(ab1),0)*e447</f>
        <v>0</v>
      </c>
      <c r="AD447">
        <f>vlookup("922-096517-100",B:AZ,column(ac1),0)*e447</f>
        <v>0</v>
      </c>
      <c r="AE447">
        <f>vlookup("922-096517-100",B:AZ,column(ad1),0)*e447</f>
        <v>0</v>
      </c>
      <c r="AF447">
        <f>vlookup("922-096517-100",B:AZ,column(ae1),0)*e447</f>
        <v>0</v>
      </c>
      <c r="AG447">
        <f>vlookup("922-096517-100",B:AZ,column(af1),0)*e447</f>
        <v>0</v>
      </c>
      <c r="AH447">
        <f>vlookup("922-096517-100",B:AZ,column(ag1),0)*e447</f>
        <v>0</v>
      </c>
      <c r="AI447">
        <f>vlookup("922-096517-100",B:AZ,column(ah1),0)*e447</f>
        <v>0</v>
      </c>
      <c r="AJ447">
        <f>vlookup("922-096517-100",B:AZ,column(ai1),0)*e447</f>
        <v>0</v>
      </c>
      <c r="AK447">
        <f>vlookup("922-096517-100",B:AZ,column(aj1),0)*e447</f>
        <v>0</v>
      </c>
      <c r="AL447">
        <f>vlookup("922-096517-100",B:AZ,column(ak1),0)*e447</f>
        <v>0</v>
      </c>
      <c r="AM447">
        <f>vlookup("922-096517-100",B:AZ,column(al1),0)*e447</f>
        <v>0</v>
      </c>
      <c r="AN447">
        <f>vlookup("922-096517-100",B:AZ,column(am1),0)*e447</f>
        <v>0</v>
      </c>
      <c r="AO447">
        <f>vlookup("922-096517-100",B:AZ,column(an1),0)*e447</f>
        <v>0</v>
      </c>
    </row>
    <row r="448" spans="1:41">
      <c r="A448" t="s">
        <v>43</v>
      </c>
      <c r="B448" t="s">
        <v>459</v>
      </c>
      <c r="C448" t="s">
        <v>460</v>
      </c>
      <c r="E448">
        <v>0.05</v>
      </c>
      <c r="F448" t="s">
        <v>13</v>
      </c>
      <c r="I448" t="s">
        <v>15</v>
      </c>
      <c r="J448">
        <f>vlookup("922-096517-100",B:AZ,column(i1),0)*e448</f>
        <v>0</v>
      </c>
      <c r="K448">
        <f>vlookup("922-096517-100",B:AZ,column(j1),0)*e448</f>
        <v>0</v>
      </c>
      <c r="L448">
        <f>vlookup("922-096517-100",B:AZ,column(k1),0)*e448</f>
        <v>0</v>
      </c>
      <c r="M448">
        <f>vlookup("922-096517-100",B:AZ,column(l1),0)*e448</f>
        <v>0</v>
      </c>
      <c r="N448">
        <f>vlookup("922-096517-100",B:AZ,column(m1),0)*e448</f>
        <v>0</v>
      </c>
      <c r="O448">
        <f>vlookup("922-096517-100",B:AZ,column(n1),0)*e448</f>
        <v>0</v>
      </c>
      <c r="P448">
        <f>vlookup("922-096517-100",B:AZ,column(o1),0)*e448</f>
        <v>0</v>
      </c>
      <c r="Q448">
        <f>vlookup("922-096517-100",B:AZ,column(p1),0)*e448</f>
        <v>0</v>
      </c>
      <c r="R448">
        <f>vlookup("922-096517-100",B:AZ,column(q1),0)*e448</f>
        <v>0</v>
      </c>
      <c r="S448">
        <f>vlookup("922-096517-100",B:AZ,column(r1),0)*e448</f>
        <v>0</v>
      </c>
      <c r="T448">
        <f>vlookup("922-096517-100",B:AZ,column(s1),0)*e448</f>
        <v>0</v>
      </c>
      <c r="U448">
        <f>vlookup("922-096517-100",B:AZ,column(t1),0)*e448</f>
        <v>0</v>
      </c>
      <c r="V448">
        <f>vlookup("922-096517-100",B:AZ,column(u1),0)*e448</f>
        <v>0</v>
      </c>
      <c r="W448">
        <f>vlookup("922-096517-100",B:AZ,column(v1),0)*e448</f>
        <v>0</v>
      </c>
      <c r="X448">
        <f>vlookup("922-096517-100",B:AZ,column(w1),0)*e448</f>
        <v>0</v>
      </c>
      <c r="Y448">
        <f>vlookup("922-096517-100",B:AZ,column(x1),0)*e448</f>
        <v>0</v>
      </c>
      <c r="Z448">
        <f>vlookup("922-096517-100",B:AZ,column(y1),0)*e448</f>
        <v>0</v>
      </c>
      <c r="AA448">
        <f>vlookup("922-096517-100",B:AZ,column(z1),0)*e448</f>
        <v>0</v>
      </c>
      <c r="AB448">
        <f>vlookup("922-096517-100",B:AZ,column(aa1),0)*e448</f>
        <v>0</v>
      </c>
      <c r="AC448">
        <f>vlookup("922-096517-100",B:AZ,column(ab1),0)*e448</f>
        <v>0</v>
      </c>
      <c r="AD448">
        <f>vlookup("922-096517-100",B:AZ,column(ac1),0)*e448</f>
        <v>0</v>
      </c>
      <c r="AE448">
        <f>vlookup("922-096517-100",B:AZ,column(ad1),0)*e448</f>
        <v>0</v>
      </c>
      <c r="AF448">
        <f>vlookup("922-096517-100",B:AZ,column(ae1),0)*e448</f>
        <v>0</v>
      </c>
      <c r="AG448">
        <f>vlookup("922-096517-100",B:AZ,column(af1),0)*e448</f>
        <v>0</v>
      </c>
      <c r="AH448">
        <f>vlookup("922-096517-100",B:AZ,column(ag1),0)*e448</f>
        <v>0</v>
      </c>
      <c r="AI448">
        <f>vlookup("922-096517-100",B:AZ,column(ah1),0)*e448</f>
        <v>0</v>
      </c>
      <c r="AJ448">
        <f>vlookup("922-096517-100",B:AZ,column(ai1),0)*e448</f>
        <v>0</v>
      </c>
      <c r="AK448">
        <f>vlookup("922-096517-100",B:AZ,column(aj1),0)*e448</f>
        <v>0</v>
      </c>
      <c r="AL448">
        <f>vlookup("922-096517-100",B:AZ,column(ak1),0)*e448</f>
        <v>0</v>
      </c>
      <c r="AM448">
        <f>vlookup("922-096517-100",B:AZ,column(al1),0)*e448</f>
        <v>0</v>
      </c>
      <c r="AN448">
        <f>vlookup("922-096517-100",B:AZ,column(am1),0)*e448</f>
        <v>0</v>
      </c>
      <c r="AO448">
        <f>vlookup("922-096517-100",B:AZ,column(an1),0)*e448</f>
        <v>0</v>
      </c>
    </row>
    <row r="449" spans="1:41">
      <c r="A449" t="s">
        <v>10</v>
      </c>
      <c r="B449" t="s">
        <v>461</v>
      </c>
      <c r="C449" t="s">
        <v>421</v>
      </c>
      <c r="E449">
        <v>1</v>
      </c>
      <c r="F449" t="s">
        <v>13</v>
      </c>
      <c r="I449" t="s">
        <v>14</v>
      </c>
      <c r="AO449">
        <f>sum(j449:an449)</f>
        <v>0</v>
      </c>
    </row>
    <row r="450" spans="1:41">
      <c r="I450" t="s">
        <v>15</v>
      </c>
      <c r="J450">
        <f>vlookup("922-096517-200",Out!B:AZ,column(i1),0)</f>
        <v>0</v>
      </c>
      <c r="K450">
        <f>vlookup("922-096517-200",Out!B:AZ,column(j1),0)</f>
        <v>0</v>
      </c>
      <c r="L450">
        <f>vlookup("922-096517-200",Out!B:AZ,column(k1),0)</f>
        <v>0</v>
      </c>
      <c r="M450">
        <f>vlookup("922-096517-200",Out!B:AZ,column(l1),0)</f>
        <v>0</v>
      </c>
      <c r="N450">
        <f>vlookup("922-096517-200",Out!B:AZ,column(m1),0)</f>
        <v>0</v>
      </c>
      <c r="O450">
        <f>vlookup("922-096517-200",Out!B:AZ,column(n1),0)</f>
        <v>0</v>
      </c>
      <c r="P450">
        <f>vlookup("922-096517-200",Out!B:AZ,column(o1),0)</f>
        <v>0</v>
      </c>
      <c r="Q450">
        <f>vlookup("922-096517-200",Out!B:AZ,column(p1),0)</f>
        <v>0</v>
      </c>
      <c r="R450">
        <f>vlookup("922-096517-200",Out!B:AZ,column(q1),0)</f>
        <v>0</v>
      </c>
      <c r="S450">
        <f>vlookup("922-096517-200",Out!B:AZ,column(r1),0)</f>
        <v>0</v>
      </c>
      <c r="T450">
        <f>vlookup("922-096517-200",Out!B:AZ,column(s1),0)</f>
        <v>0</v>
      </c>
      <c r="U450">
        <f>vlookup("922-096517-200",Out!B:AZ,column(t1),0)</f>
        <v>0</v>
      </c>
      <c r="V450">
        <f>vlookup("922-096517-200",Out!B:AZ,column(u1),0)</f>
        <v>0</v>
      </c>
      <c r="W450">
        <f>vlookup("922-096517-200",Out!B:AZ,column(v1),0)</f>
        <v>0</v>
      </c>
      <c r="X450">
        <f>vlookup("922-096517-200",Out!B:AZ,column(w1),0)</f>
        <v>0</v>
      </c>
      <c r="Y450">
        <f>vlookup("922-096517-200",Out!B:AZ,column(x1),0)</f>
        <v>0</v>
      </c>
      <c r="Z450">
        <f>vlookup("922-096517-200",Out!B:AZ,column(y1),0)</f>
        <v>0</v>
      </c>
      <c r="AA450">
        <f>vlookup("922-096517-200",Out!B:AZ,column(z1),0)</f>
        <v>0</v>
      </c>
      <c r="AB450">
        <f>vlookup("922-096517-200",Out!B:AZ,column(aa1),0)</f>
        <v>0</v>
      </c>
      <c r="AC450">
        <f>vlookup("922-096517-200",Out!B:AZ,column(ab1),0)</f>
        <v>0</v>
      </c>
      <c r="AD450">
        <f>vlookup("922-096517-200",Out!B:AZ,column(ac1),0)</f>
        <v>0</v>
      </c>
      <c r="AE450">
        <f>vlookup("922-096517-200",Out!B:AZ,column(ad1),0)</f>
        <v>0</v>
      </c>
      <c r="AF450">
        <f>vlookup("922-096517-200",Out!B:AZ,column(ae1),0)</f>
        <v>0</v>
      </c>
      <c r="AG450">
        <f>vlookup("922-096517-200",Out!B:AZ,column(af1),0)</f>
        <v>0</v>
      </c>
      <c r="AH450">
        <f>vlookup("922-096517-200",Out!B:AZ,column(ag1),0)</f>
        <v>0</v>
      </c>
      <c r="AI450">
        <f>vlookup("922-096517-200",Out!B:AZ,column(ah1),0)</f>
        <v>0</v>
      </c>
      <c r="AJ450">
        <f>vlookup("922-096517-200",Out!B:AZ,column(ai1),0)</f>
        <v>0</v>
      </c>
      <c r="AK450">
        <f>vlookup("922-096517-200",Out!B:AZ,column(aj1),0)</f>
        <v>0</v>
      </c>
      <c r="AL450">
        <f>vlookup("922-096517-200",Out!B:AZ,column(ak1),0)</f>
        <v>0</v>
      </c>
      <c r="AM450">
        <f>vlookup("922-096517-200",Out!B:AZ,column(al1),0)</f>
        <v>0</v>
      </c>
      <c r="AN450">
        <f>vlookup("922-096517-200",Out!B:AZ,column(am1),0)</f>
        <v>0</v>
      </c>
      <c r="AO450">
        <f>vlookup("922-096517-200",Out!B:AZ,column(an1),0)</f>
        <v>0</v>
      </c>
    </row>
    <row r="451" spans="1:41">
      <c r="H451" t="s">
        <v>16</v>
      </c>
      <c r="J451">
        <f>indirect(address(451,9))+indirect(address(449,10))-indirect(address(450,10))</f>
        <v>0</v>
      </c>
      <c r="K451">
        <f>indirect(address(451,10))+indirect(address(449,11))-indirect(address(450,11))</f>
        <v>0</v>
      </c>
      <c r="L451">
        <f>indirect(address(451,11))+indirect(address(449,12))-indirect(address(450,12))</f>
        <v>0</v>
      </c>
      <c r="M451">
        <f>indirect(address(451,12))+indirect(address(449,13))-indirect(address(450,13))</f>
        <v>0</v>
      </c>
      <c r="N451">
        <f>indirect(address(451,13))+indirect(address(449,14))-indirect(address(450,14))</f>
        <v>0</v>
      </c>
      <c r="O451">
        <f>indirect(address(451,14))+indirect(address(449,15))-indirect(address(450,15))</f>
        <v>0</v>
      </c>
      <c r="P451">
        <f>indirect(address(451,15))+indirect(address(449,16))-indirect(address(450,16))</f>
        <v>0</v>
      </c>
      <c r="Q451">
        <f>indirect(address(451,16))+indirect(address(449,17))-indirect(address(450,17))</f>
        <v>0</v>
      </c>
      <c r="R451">
        <f>indirect(address(451,17))+indirect(address(449,18))-indirect(address(450,18))</f>
        <v>0</v>
      </c>
      <c r="S451">
        <f>indirect(address(451,18))+indirect(address(449,19))-indirect(address(450,19))</f>
        <v>0</v>
      </c>
      <c r="T451">
        <f>indirect(address(451,19))+indirect(address(449,20))-indirect(address(450,20))</f>
        <v>0</v>
      </c>
      <c r="U451">
        <f>indirect(address(451,20))+indirect(address(449,21))-indirect(address(450,21))</f>
        <v>0</v>
      </c>
      <c r="V451">
        <f>indirect(address(451,21))+indirect(address(449,22))-indirect(address(450,22))</f>
        <v>0</v>
      </c>
      <c r="W451">
        <f>indirect(address(451,22))+indirect(address(449,23))-indirect(address(450,23))</f>
        <v>0</v>
      </c>
      <c r="X451">
        <f>indirect(address(451,23))+indirect(address(449,24))-indirect(address(450,24))</f>
        <v>0</v>
      </c>
      <c r="Y451">
        <f>indirect(address(451,24))+indirect(address(449,25))-indirect(address(450,25))</f>
        <v>0</v>
      </c>
      <c r="Z451">
        <f>indirect(address(451,25))+indirect(address(449,26))-indirect(address(450,26))</f>
        <v>0</v>
      </c>
      <c r="AA451">
        <f>indirect(address(451,26))+indirect(address(449,27))-indirect(address(450,27))</f>
        <v>0</v>
      </c>
      <c r="AB451">
        <f>indirect(address(451,27))+indirect(address(449,28))-indirect(address(450,28))</f>
        <v>0</v>
      </c>
      <c r="AC451">
        <f>indirect(address(451,28))+indirect(address(449,29))-indirect(address(450,29))</f>
        <v>0</v>
      </c>
      <c r="AD451">
        <f>indirect(address(451,29))+indirect(address(449,30))-indirect(address(450,30))</f>
        <v>0</v>
      </c>
      <c r="AE451">
        <f>indirect(address(451,30))+indirect(address(449,31))-indirect(address(450,31))</f>
        <v>0</v>
      </c>
      <c r="AF451">
        <f>indirect(address(451,31))+indirect(address(449,32))-indirect(address(450,32))</f>
        <v>0</v>
      </c>
      <c r="AG451">
        <f>indirect(address(451,32))+indirect(address(449,33))-indirect(address(450,33))</f>
        <v>0</v>
      </c>
      <c r="AH451">
        <f>indirect(address(451,33))+indirect(address(449,34))-indirect(address(450,34))</f>
        <v>0</v>
      </c>
      <c r="AI451">
        <f>indirect(address(451,34))+indirect(address(449,35))-indirect(address(450,35))</f>
        <v>0</v>
      </c>
      <c r="AJ451">
        <f>indirect(address(451,35))+indirect(address(449,36))-indirect(address(450,36))</f>
        <v>0</v>
      </c>
      <c r="AK451">
        <f>indirect(address(451,36))+indirect(address(449,37))-indirect(address(450,37))</f>
        <v>0</v>
      </c>
      <c r="AL451">
        <f>indirect(address(451,37))+indirect(address(449,38))-indirect(address(450,38))</f>
        <v>0</v>
      </c>
      <c r="AM451">
        <f>indirect(address(451,38))+indirect(address(449,39))-indirect(address(450,39))</f>
        <v>0</v>
      </c>
      <c r="AN451">
        <f>indirect(address(451,39))+indirect(address(449,40))-indirect(address(450,40))</f>
        <v>0</v>
      </c>
      <c r="AO451">
        <f>indirect(address(451,40))</f>
        <v>0</v>
      </c>
    </row>
    <row r="452" spans="1:41">
      <c r="A452" t="s">
        <v>17</v>
      </c>
      <c r="B452" t="s">
        <v>462</v>
      </c>
      <c r="C452" t="s">
        <v>463</v>
      </c>
      <c r="E452">
        <v>1</v>
      </c>
      <c r="F452" t="s">
        <v>13</v>
      </c>
      <c r="I452" t="s">
        <v>15</v>
      </c>
      <c r="J452">
        <f>vlookup("922-096517-200",B:AZ,column(i1),0)*e452</f>
        <v>0</v>
      </c>
      <c r="K452">
        <f>vlookup("922-096517-200",B:AZ,column(j1),0)*e452</f>
        <v>0</v>
      </c>
      <c r="L452">
        <f>vlookup("922-096517-200",B:AZ,column(k1),0)*e452</f>
        <v>0</v>
      </c>
      <c r="M452">
        <f>vlookup("922-096517-200",B:AZ,column(l1),0)*e452</f>
        <v>0</v>
      </c>
      <c r="N452">
        <f>vlookup("922-096517-200",B:AZ,column(m1),0)*e452</f>
        <v>0</v>
      </c>
      <c r="O452">
        <f>vlookup("922-096517-200",B:AZ,column(n1),0)*e452</f>
        <v>0</v>
      </c>
      <c r="P452">
        <f>vlookup("922-096517-200",B:AZ,column(o1),0)*e452</f>
        <v>0</v>
      </c>
      <c r="Q452">
        <f>vlookup("922-096517-200",B:AZ,column(p1),0)*e452</f>
        <v>0</v>
      </c>
      <c r="R452">
        <f>vlookup("922-096517-200",B:AZ,column(q1),0)*e452</f>
        <v>0</v>
      </c>
      <c r="S452">
        <f>vlookup("922-096517-200",B:AZ,column(r1),0)*e452</f>
        <v>0</v>
      </c>
      <c r="T452">
        <f>vlookup("922-096517-200",B:AZ,column(s1),0)*e452</f>
        <v>0</v>
      </c>
      <c r="U452">
        <f>vlookup("922-096517-200",B:AZ,column(t1),0)*e452</f>
        <v>0</v>
      </c>
      <c r="V452">
        <f>vlookup("922-096517-200",B:AZ,column(u1),0)*e452</f>
        <v>0</v>
      </c>
      <c r="W452">
        <f>vlookup("922-096517-200",B:AZ,column(v1),0)*e452</f>
        <v>0</v>
      </c>
      <c r="X452">
        <f>vlookup("922-096517-200",B:AZ,column(w1),0)*e452</f>
        <v>0</v>
      </c>
      <c r="Y452">
        <f>vlookup("922-096517-200",B:AZ,column(x1),0)*e452</f>
        <v>0</v>
      </c>
      <c r="Z452">
        <f>vlookup("922-096517-200",B:AZ,column(y1),0)*e452</f>
        <v>0</v>
      </c>
      <c r="AA452">
        <f>vlookup("922-096517-200",B:AZ,column(z1),0)*e452</f>
        <v>0</v>
      </c>
      <c r="AB452">
        <f>vlookup("922-096517-200",B:AZ,column(aa1),0)*e452</f>
        <v>0</v>
      </c>
      <c r="AC452">
        <f>vlookup("922-096517-200",B:AZ,column(ab1),0)*e452</f>
        <v>0</v>
      </c>
      <c r="AD452">
        <f>vlookup("922-096517-200",B:AZ,column(ac1),0)*e452</f>
        <v>0</v>
      </c>
      <c r="AE452">
        <f>vlookup("922-096517-200",B:AZ,column(ad1),0)*e452</f>
        <v>0</v>
      </c>
      <c r="AF452">
        <f>vlookup("922-096517-200",B:AZ,column(ae1),0)*e452</f>
        <v>0</v>
      </c>
      <c r="AG452">
        <f>vlookup("922-096517-200",B:AZ,column(af1),0)*e452</f>
        <v>0</v>
      </c>
      <c r="AH452">
        <f>vlookup("922-096517-200",B:AZ,column(ag1),0)*e452</f>
        <v>0</v>
      </c>
      <c r="AI452">
        <f>vlookup("922-096517-200",B:AZ,column(ah1),0)*e452</f>
        <v>0</v>
      </c>
      <c r="AJ452">
        <f>vlookup("922-096517-200",B:AZ,column(ai1),0)*e452</f>
        <v>0</v>
      </c>
      <c r="AK452">
        <f>vlookup("922-096517-200",B:AZ,column(aj1),0)*e452</f>
        <v>0</v>
      </c>
      <c r="AL452">
        <f>vlookup("922-096517-200",B:AZ,column(ak1),0)*e452</f>
        <v>0</v>
      </c>
      <c r="AM452">
        <f>vlookup("922-096517-200",B:AZ,column(al1),0)*e452</f>
        <v>0</v>
      </c>
      <c r="AN452">
        <f>vlookup("922-096517-200",B:AZ,column(am1),0)*e452</f>
        <v>0</v>
      </c>
      <c r="AO452">
        <f>vlookup("922-096517-200",B:AZ,column(an1),0)*e452</f>
        <v>0</v>
      </c>
    </row>
    <row r="453" spans="1:41">
      <c r="A453" t="s">
        <v>22</v>
      </c>
      <c r="B453" t="s">
        <v>464</v>
      </c>
      <c r="C453" t="s">
        <v>465</v>
      </c>
      <c r="E453">
        <v>1</v>
      </c>
      <c r="F453" t="s">
        <v>13</v>
      </c>
      <c r="I453" t="s">
        <v>15</v>
      </c>
      <c r="J453">
        <f>vlookup("922-096517-200",B:AZ,column(i1),0)*e453</f>
        <v>0</v>
      </c>
      <c r="K453">
        <f>vlookup("922-096517-200",B:AZ,column(j1),0)*e453</f>
        <v>0</v>
      </c>
      <c r="L453">
        <f>vlookup("922-096517-200",B:AZ,column(k1),0)*e453</f>
        <v>0</v>
      </c>
      <c r="M453">
        <f>vlookup("922-096517-200",B:AZ,column(l1),0)*e453</f>
        <v>0</v>
      </c>
      <c r="N453">
        <f>vlookup("922-096517-200",B:AZ,column(m1),0)*e453</f>
        <v>0</v>
      </c>
      <c r="O453">
        <f>vlookup("922-096517-200",B:AZ,column(n1),0)*e453</f>
        <v>0</v>
      </c>
      <c r="P453">
        <f>vlookup("922-096517-200",B:AZ,column(o1),0)*e453</f>
        <v>0</v>
      </c>
      <c r="Q453">
        <f>vlookup("922-096517-200",B:AZ,column(p1),0)*e453</f>
        <v>0</v>
      </c>
      <c r="R453">
        <f>vlookup("922-096517-200",B:AZ,column(q1),0)*e453</f>
        <v>0</v>
      </c>
      <c r="S453">
        <f>vlookup("922-096517-200",B:AZ,column(r1),0)*e453</f>
        <v>0</v>
      </c>
      <c r="T453">
        <f>vlookup("922-096517-200",B:AZ,column(s1),0)*e453</f>
        <v>0</v>
      </c>
      <c r="U453">
        <f>vlookup("922-096517-200",B:AZ,column(t1),0)*e453</f>
        <v>0</v>
      </c>
      <c r="V453">
        <f>vlookup("922-096517-200",B:AZ,column(u1),0)*e453</f>
        <v>0</v>
      </c>
      <c r="W453">
        <f>vlookup("922-096517-200",B:AZ,column(v1),0)*e453</f>
        <v>0</v>
      </c>
      <c r="X453">
        <f>vlookup("922-096517-200",B:AZ,column(w1),0)*e453</f>
        <v>0</v>
      </c>
      <c r="Y453">
        <f>vlookup("922-096517-200",B:AZ,column(x1),0)*e453</f>
        <v>0</v>
      </c>
      <c r="Z453">
        <f>vlookup("922-096517-200",B:AZ,column(y1),0)*e453</f>
        <v>0</v>
      </c>
      <c r="AA453">
        <f>vlookup("922-096517-200",B:AZ,column(z1),0)*e453</f>
        <v>0</v>
      </c>
      <c r="AB453">
        <f>vlookup("922-096517-200",B:AZ,column(aa1),0)*e453</f>
        <v>0</v>
      </c>
      <c r="AC453">
        <f>vlookup("922-096517-200",B:AZ,column(ab1),0)*e453</f>
        <v>0</v>
      </c>
      <c r="AD453">
        <f>vlookup("922-096517-200",B:AZ,column(ac1),0)*e453</f>
        <v>0</v>
      </c>
      <c r="AE453">
        <f>vlookup("922-096517-200",B:AZ,column(ad1),0)*e453</f>
        <v>0</v>
      </c>
      <c r="AF453">
        <f>vlookup("922-096517-200",B:AZ,column(ae1),0)*e453</f>
        <v>0</v>
      </c>
      <c r="AG453">
        <f>vlookup("922-096517-200",B:AZ,column(af1),0)*e453</f>
        <v>0</v>
      </c>
      <c r="AH453">
        <f>vlookup("922-096517-200",B:AZ,column(ag1),0)*e453</f>
        <v>0</v>
      </c>
      <c r="AI453">
        <f>vlookup("922-096517-200",B:AZ,column(ah1),0)*e453</f>
        <v>0</v>
      </c>
      <c r="AJ453">
        <f>vlookup("922-096517-200",B:AZ,column(ai1),0)*e453</f>
        <v>0</v>
      </c>
      <c r="AK453">
        <f>vlookup("922-096517-200",B:AZ,column(aj1),0)*e453</f>
        <v>0</v>
      </c>
      <c r="AL453">
        <f>vlookup("922-096517-200",B:AZ,column(ak1),0)*e453</f>
        <v>0</v>
      </c>
      <c r="AM453">
        <f>vlookup("922-096517-200",B:AZ,column(al1),0)*e453</f>
        <v>0</v>
      </c>
      <c r="AN453">
        <f>vlookup("922-096517-200",B:AZ,column(am1),0)*e453</f>
        <v>0</v>
      </c>
      <c r="AO453">
        <f>vlookup("922-096517-200",B:AZ,column(an1),0)*e453</f>
        <v>0</v>
      </c>
    </row>
    <row r="454" spans="1:41">
      <c r="A454" t="s">
        <v>43</v>
      </c>
      <c r="B454" t="s">
        <v>466</v>
      </c>
      <c r="C454" t="s">
        <v>467</v>
      </c>
      <c r="E454">
        <v>0.05</v>
      </c>
      <c r="F454" t="s">
        <v>13</v>
      </c>
      <c r="I454" t="s">
        <v>15</v>
      </c>
      <c r="J454">
        <f>vlookup("922-096517-200",B:AZ,column(i1),0)*e454</f>
        <v>0</v>
      </c>
      <c r="K454">
        <f>vlookup("922-096517-200",B:AZ,column(j1),0)*e454</f>
        <v>0</v>
      </c>
      <c r="L454">
        <f>vlookup("922-096517-200",B:AZ,column(k1),0)*e454</f>
        <v>0</v>
      </c>
      <c r="M454">
        <f>vlookup("922-096517-200",B:AZ,column(l1),0)*e454</f>
        <v>0</v>
      </c>
      <c r="N454">
        <f>vlookup("922-096517-200",B:AZ,column(m1),0)*e454</f>
        <v>0</v>
      </c>
      <c r="O454">
        <f>vlookup("922-096517-200",B:AZ,column(n1),0)*e454</f>
        <v>0</v>
      </c>
      <c r="P454">
        <f>vlookup("922-096517-200",B:AZ,column(o1),0)*e454</f>
        <v>0</v>
      </c>
      <c r="Q454">
        <f>vlookup("922-096517-200",B:AZ,column(p1),0)*e454</f>
        <v>0</v>
      </c>
      <c r="R454">
        <f>vlookup("922-096517-200",B:AZ,column(q1),0)*e454</f>
        <v>0</v>
      </c>
      <c r="S454">
        <f>vlookup("922-096517-200",B:AZ,column(r1),0)*e454</f>
        <v>0</v>
      </c>
      <c r="T454">
        <f>vlookup("922-096517-200",B:AZ,column(s1),0)*e454</f>
        <v>0</v>
      </c>
      <c r="U454">
        <f>vlookup("922-096517-200",B:AZ,column(t1),0)*e454</f>
        <v>0</v>
      </c>
      <c r="V454">
        <f>vlookup("922-096517-200",B:AZ,column(u1),0)*e454</f>
        <v>0</v>
      </c>
      <c r="W454">
        <f>vlookup("922-096517-200",B:AZ,column(v1),0)*e454</f>
        <v>0</v>
      </c>
      <c r="X454">
        <f>vlookup("922-096517-200",B:AZ,column(w1),0)*e454</f>
        <v>0</v>
      </c>
      <c r="Y454">
        <f>vlookup("922-096517-200",B:AZ,column(x1),0)*e454</f>
        <v>0</v>
      </c>
      <c r="Z454">
        <f>vlookup("922-096517-200",B:AZ,column(y1),0)*e454</f>
        <v>0</v>
      </c>
      <c r="AA454">
        <f>vlookup("922-096517-200",B:AZ,column(z1),0)*e454</f>
        <v>0</v>
      </c>
      <c r="AB454">
        <f>vlookup("922-096517-200",B:AZ,column(aa1),0)*e454</f>
        <v>0</v>
      </c>
      <c r="AC454">
        <f>vlookup("922-096517-200",B:AZ,column(ab1),0)*e454</f>
        <v>0</v>
      </c>
      <c r="AD454">
        <f>vlookup("922-096517-200",B:AZ,column(ac1),0)*e454</f>
        <v>0</v>
      </c>
      <c r="AE454">
        <f>vlookup("922-096517-200",B:AZ,column(ad1),0)*e454</f>
        <v>0</v>
      </c>
      <c r="AF454">
        <f>vlookup("922-096517-200",B:AZ,column(ae1),0)*e454</f>
        <v>0</v>
      </c>
      <c r="AG454">
        <f>vlookup("922-096517-200",B:AZ,column(af1),0)*e454</f>
        <v>0</v>
      </c>
      <c r="AH454">
        <f>vlookup("922-096517-200",B:AZ,column(ag1),0)*e454</f>
        <v>0</v>
      </c>
      <c r="AI454">
        <f>vlookup("922-096517-200",B:AZ,column(ah1),0)*e454</f>
        <v>0</v>
      </c>
      <c r="AJ454">
        <f>vlookup("922-096517-200",B:AZ,column(ai1),0)*e454</f>
        <v>0</v>
      </c>
      <c r="AK454">
        <f>vlookup("922-096517-200",B:AZ,column(aj1),0)*e454</f>
        <v>0</v>
      </c>
      <c r="AL454">
        <f>vlookup("922-096517-200",B:AZ,column(ak1),0)*e454</f>
        <v>0</v>
      </c>
      <c r="AM454">
        <f>vlookup("922-096517-200",B:AZ,column(al1),0)*e454</f>
        <v>0</v>
      </c>
      <c r="AN454">
        <f>vlookup("922-096517-200",B:AZ,column(am1),0)*e454</f>
        <v>0</v>
      </c>
      <c r="AO454">
        <f>vlookup("922-096517-200",B:AZ,column(an1),0)*e454</f>
        <v>0</v>
      </c>
    </row>
    <row r="455" spans="1:41">
      <c r="A455" t="s">
        <v>10</v>
      </c>
      <c r="B455" t="s">
        <v>468</v>
      </c>
      <c r="C455" t="s">
        <v>429</v>
      </c>
      <c r="E455">
        <v>1</v>
      </c>
      <c r="F455" t="s">
        <v>13</v>
      </c>
      <c r="I455" t="s">
        <v>14</v>
      </c>
      <c r="AO455">
        <f>sum(j455:an455)</f>
        <v>0</v>
      </c>
    </row>
    <row r="456" spans="1:41">
      <c r="I456" t="s">
        <v>15</v>
      </c>
      <c r="J456">
        <f>vlookup("922-096517-300",Out!B:AZ,column(i1),0)</f>
        <v>0</v>
      </c>
      <c r="K456">
        <f>vlookup("922-096517-300",Out!B:AZ,column(j1),0)</f>
        <v>0</v>
      </c>
      <c r="L456">
        <f>vlookup("922-096517-300",Out!B:AZ,column(k1),0)</f>
        <v>0</v>
      </c>
      <c r="M456">
        <f>vlookup("922-096517-300",Out!B:AZ,column(l1),0)</f>
        <v>0</v>
      </c>
      <c r="N456">
        <f>vlookup("922-096517-300",Out!B:AZ,column(m1),0)</f>
        <v>0</v>
      </c>
      <c r="O456">
        <f>vlookup("922-096517-300",Out!B:AZ,column(n1),0)</f>
        <v>0</v>
      </c>
      <c r="P456">
        <f>vlookup("922-096517-300",Out!B:AZ,column(o1),0)</f>
        <v>0</v>
      </c>
      <c r="Q456">
        <f>vlookup("922-096517-300",Out!B:AZ,column(p1),0)</f>
        <v>0</v>
      </c>
      <c r="R456">
        <f>vlookup("922-096517-300",Out!B:AZ,column(q1),0)</f>
        <v>0</v>
      </c>
      <c r="S456">
        <f>vlookup("922-096517-300",Out!B:AZ,column(r1),0)</f>
        <v>0</v>
      </c>
      <c r="T456">
        <f>vlookup("922-096517-300",Out!B:AZ,column(s1),0)</f>
        <v>0</v>
      </c>
      <c r="U456">
        <f>vlookup("922-096517-300",Out!B:AZ,column(t1),0)</f>
        <v>0</v>
      </c>
      <c r="V456">
        <f>vlookup("922-096517-300",Out!B:AZ,column(u1),0)</f>
        <v>0</v>
      </c>
      <c r="W456">
        <f>vlookup("922-096517-300",Out!B:AZ,column(v1),0)</f>
        <v>0</v>
      </c>
      <c r="X456">
        <f>vlookup("922-096517-300",Out!B:AZ,column(w1),0)</f>
        <v>0</v>
      </c>
      <c r="Y456">
        <f>vlookup("922-096517-300",Out!B:AZ,column(x1),0)</f>
        <v>0</v>
      </c>
      <c r="Z456">
        <f>vlookup("922-096517-300",Out!B:AZ,column(y1),0)</f>
        <v>0</v>
      </c>
      <c r="AA456">
        <f>vlookup("922-096517-300",Out!B:AZ,column(z1),0)</f>
        <v>0</v>
      </c>
      <c r="AB456">
        <f>vlookup("922-096517-300",Out!B:AZ,column(aa1),0)</f>
        <v>0</v>
      </c>
      <c r="AC456">
        <f>vlookup("922-096517-300",Out!B:AZ,column(ab1),0)</f>
        <v>0</v>
      </c>
      <c r="AD456">
        <f>vlookup("922-096517-300",Out!B:AZ,column(ac1),0)</f>
        <v>0</v>
      </c>
      <c r="AE456">
        <f>vlookup("922-096517-300",Out!B:AZ,column(ad1),0)</f>
        <v>0</v>
      </c>
      <c r="AF456">
        <f>vlookup("922-096517-300",Out!B:AZ,column(ae1),0)</f>
        <v>0</v>
      </c>
      <c r="AG456">
        <f>vlookup("922-096517-300",Out!B:AZ,column(af1),0)</f>
        <v>0</v>
      </c>
      <c r="AH456">
        <f>vlookup("922-096517-300",Out!B:AZ,column(ag1),0)</f>
        <v>0</v>
      </c>
      <c r="AI456">
        <f>vlookup("922-096517-300",Out!B:AZ,column(ah1),0)</f>
        <v>0</v>
      </c>
      <c r="AJ456">
        <f>vlookup("922-096517-300",Out!B:AZ,column(ai1),0)</f>
        <v>0</v>
      </c>
      <c r="AK456">
        <f>vlookup("922-096517-300",Out!B:AZ,column(aj1),0)</f>
        <v>0</v>
      </c>
      <c r="AL456">
        <f>vlookup("922-096517-300",Out!B:AZ,column(ak1),0)</f>
        <v>0</v>
      </c>
      <c r="AM456">
        <f>vlookup("922-096517-300",Out!B:AZ,column(al1),0)</f>
        <v>0</v>
      </c>
      <c r="AN456">
        <f>vlookup("922-096517-300",Out!B:AZ,column(am1),0)</f>
        <v>0</v>
      </c>
      <c r="AO456">
        <f>vlookup("922-096517-300",Out!B:AZ,column(an1),0)</f>
        <v>0</v>
      </c>
    </row>
    <row r="457" spans="1:41">
      <c r="H457" t="s">
        <v>16</v>
      </c>
      <c r="J457">
        <f>indirect(address(457,9))+indirect(address(455,10))-indirect(address(456,10))</f>
        <v>0</v>
      </c>
      <c r="K457">
        <f>indirect(address(457,10))+indirect(address(455,11))-indirect(address(456,11))</f>
        <v>0</v>
      </c>
      <c r="L457">
        <f>indirect(address(457,11))+indirect(address(455,12))-indirect(address(456,12))</f>
        <v>0</v>
      </c>
      <c r="M457">
        <f>indirect(address(457,12))+indirect(address(455,13))-indirect(address(456,13))</f>
        <v>0</v>
      </c>
      <c r="N457">
        <f>indirect(address(457,13))+indirect(address(455,14))-indirect(address(456,14))</f>
        <v>0</v>
      </c>
      <c r="O457">
        <f>indirect(address(457,14))+indirect(address(455,15))-indirect(address(456,15))</f>
        <v>0</v>
      </c>
      <c r="P457">
        <f>indirect(address(457,15))+indirect(address(455,16))-indirect(address(456,16))</f>
        <v>0</v>
      </c>
      <c r="Q457">
        <f>indirect(address(457,16))+indirect(address(455,17))-indirect(address(456,17))</f>
        <v>0</v>
      </c>
      <c r="R457">
        <f>indirect(address(457,17))+indirect(address(455,18))-indirect(address(456,18))</f>
        <v>0</v>
      </c>
      <c r="S457">
        <f>indirect(address(457,18))+indirect(address(455,19))-indirect(address(456,19))</f>
        <v>0</v>
      </c>
      <c r="T457">
        <f>indirect(address(457,19))+indirect(address(455,20))-indirect(address(456,20))</f>
        <v>0</v>
      </c>
      <c r="U457">
        <f>indirect(address(457,20))+indirect(address(455,21))-indirect(address(456,21))</f>
        <v>0</v>
      </c>
      <c r="V457">
        <f>indirect(address(457,21))+indirect(address(455,22))-indirect(address(456,22))</f>
        <v>0</v>
      </c>
      <c r="W457">
        <f>indirect(address(457,22))+indirect(address(455,23))-indirect(address(456,23))</f>
        <v>0</v>
      </c>
      <c r="X457">
        <f>indirect(address(457,23))+indirect(address(455,24))-indirect(address(456,24))</f>
        <v>0</v>
      </c>
      <c r="Y457">
        <f>indirect(address(457,24))+indirect(address(455,25))-indirect(address(456,25))</f>
        <v>0</v>
      </c>
      <c r="Z457">
        <f>indirect(address(457,25))+indirect(address(455,26))-indirect(address(456,26))</f>
        <v>0</v>
      </c>
      <c r="AA457">
        <f>indirect(address(457,26))+indirect(address(455,27))-indirect(address(456,27))</f>
        <v>0</v>
      </c>
      <c r="AB457">
        <f>indirect(address(457,27))+indirect(address(455,28))-indirect(address(456,28))</f>
        <v>0</v>
      </c>
      <c r="AC457">
        <f>indirect(address(457,28))+indirect(address(455,29))-indirect(address(456,29))</f>
        <v>0</v>
      </c>
      <c r="AD457">
        <f>indirect(address(457,29))+indirect(address(455,30))-indirect(address(456,30))</f>
        <v>0</v>
      </c>
      <c r="AE457">
        <f>indirect(address(457,30))+indirect(address(455,31))-indirect(address(456,31))</f>
        <v>0</v>
      </c>
      <c r="AF457">
        <f>indirect(address(457,31))+indirect(address(455,32))-indirect(address(456,32))</f>
        <v>0</v>
      </c>
      <c r="AG457">
        <f>indirect(address(457,32))+indirect(address(455,33))-indirect(address(456,33))</f>
        <v>0</v>
      </c>
      <c r="AH457">
        <f>indirect(address(457,33))+indirect(address(455,34))-indirect(address(456,34))</f>
        <v>0</v>
      </c>
      <c r="AI457">
        <f>indirect(address(457,34))+indirect(address(455,35))-indirect(address(456,35))</f>
        <v>0</v>
      </c>
      <c r="AJ457">
        <f>indirect(address(457,35))+indirect(address(455,36))-indirect(address(456,36))</f>
        <v>0</v>
      </c>
      <c r="AK457">
        <f>indirect(address(457,36))+indirect(address(455,37))-indirect(address(456,37))</f>
        <v>0</v>
      </c>
      <c r="AL457">
        <f>indirect(address(457,37))+indirect(address(455,38))-indirect(address(456,38))</f>
        <v>0</v>
      </c>
      <c r="AM457">
        <f>indirect(address(457,38))+indirect(address(455,39))-indirect(address(456,39))</f>
        <v>0</v>
      </c>
      <c r="AN457">
        <f>indirect(address(457,39))+indirect(address(455,40))-indirect(address(456,40))</f>
        <v>0</v>
      </c>
      <c r="AO457">
        <f>indirect(address(457,40))</f>
        <v>0</v>
      </c>
    </row>
    <row r="458" spans="1:41">
      <c r="A458" t="s">
        <v>17</v>
      </c>
      <c r="B458" t="s">
        <v>453</v>
      </c>
      <c r="C458" t="s">
        <v>454</v>
      </c>
      <c r="E458">
        <v>1</v>
      </c>
      <c r="F458" t="s">
        <v>13</v>
      </c>
      <c r="I458" t="s">
        <v>15</v>
      </c>
      <c r="J458">
        <f>vlookup("922-096517-300",B:AZ,column(i1),0)*e458</f>
        <v>0</v>
      </c>
      <c r="K458">
        <f>vlookup("922-096517-300",B:AZ,column(j1),0)*e458</f>
        <v>0</v>
      </c>
      <c r="L458">
        <f>vlookup("922-096517-300",B:AZ,column(k1),0)*e458</f>
        <v>0</v>
      </c>
      <c r="M458">
        <f>vlookup("922-096517-300",B:AZ,column(l1),0)*e458</f>
        <v>0</v>
      </c>
      <c r="N458">
        <f>vlookup("922-096517-300",B:AZ,column(m1),0)*e458</f>
        <v>0</v>
      </c>
      <c r="O458">
        <f>vlookup("922-096517-300",B:AZ,column(n1),0)*e458</f>
        <v>0</v>
      </c>
      <c r="P458">
        <f>vlookup("922-096517-300",B:AZ,column(o1),0)*e458</f>
        <v>0</v>
      </c>
      <c r="Q458">
        <f>vlookup("922-096517-300",B:AZ,column(p1),0)*e458</f>
        <v>0</v>
      </c>
      <c r="R458">
        <f>vlookup("922-096517-300",B:AZ,column(q1),0)*e458</f>
        <v>0</v>
      </c>
      <c r="S458">
        <f>vlookup("922-096517-300",B:AZ,column(r1),0)*e458</f>
        <v>0</v>
      </c>
      <c r="T458">
        <f>vlookup("922-096517-300",B:AZ,column(s1),0)*e458</f>
        <v>0</v>
      </c>
      <c r="U458">
        <f>vlookup("922-096517-300",B:AZ,column(t1),0)*e458</f>
        <v>0</v>
      </c>
      <c r="V458">
        <f>vlookup("922-096517-300",B:AZ,column(u1),0)*e458</f>
        <v>0</v>
      </c>
      <c r="W458">
        <f>vlookup("922-096517-300",B:AZ,column(v1),0)*e458</f>
        <v>0</v>
      </c>
      <c r="X458">
        <f>vlookup("922-096517-300",B:AZ,column(w1),0)*e458</f>
        <v>0</v>
      </c>
      <c r="Y458">
        <f>vlookup("922-096517-300",B:AZ,column(x1),0)*e458</f>
        <v>0</v>
      </c>
      <c r="Z458">
        <f>vlookup("922-096517-300",B:AZ,column(y1),0)*e458</f>
        <v>0</v>
      </c>
      <c r="AA458">
        <f>vlookup("922-096517-300",B:AZ,column(z1),0)*e458</f>
        <v>0</v>
      </c>
      <c r="AB458">
        <f>vlookup("922-096517-300",B:AZ,column(aa1),0)*e458</f>
        <v>0</v>
      </c>
      <c r="AC458">
        <f>vlookup("922-096517-300",B:AZ,column(ab1),0)*e458</f>
        <v>0</v>
      </c>
      <c r="AD458">
        <f>vlookup("922-096517-300",B:AZ,column(ac1),0)*e458</f>
        <v>0</v>
      </c>
      <c r="AE458">
        <f>vlookup("922-096517-300",B:AZ,column(ad1),0)*e458</f>
        <v>0</v>
      </c>
      <c r="AF458">
        <f>vlookup("922-096517-300",B:AZ,column(ae1),0)*e458</f>
        <v>0</v>
      </c>
      <c r="AG458">
        <f>vlookup("922-096517-300",B:AZ,column(af1),0)*e458</f>
        <v>0</v>
      </c>
      <c r="AH458">
        <f>vlookup("922-096517-300",B:AZ,column(ag1),0)*e458</f>
        <v>0</v>
      </c>
      <c r="AI458">
        <f>vlookup("922-096517-300",B:AZ,column(ah1),0)*e458</f>
        <v>0</v>
      </c>
      <c r="AJ458">
        <f>vlookup("922-096517-300",B:AZ,column(ai1),0)*e458</f>
        <v>0</v>
      </c>
      <c r="AK458">
        <f>vlookup("922-096517-300",B:AZ,column(aj1),0)*e458</f>
        <v>0</v>
      </c>
      <c r="AL458">
        <f>vlookup("922-096517-300",B:AZ,column(ak1),0)*e458</f>
        <v>0</v>
      </c>
      <c r="AM458">
        <f>vlookup("922-096517-300",B:AZ,column(al1),0)*e458</f>
        <v>0</v>
      </c>
      <c r="AN458">
        <f>vlookup("922-096517-300",B:AZ,column(am1),0)*e458</f>
        <v>0</v>
      </c>
      <c r="AO458">
        <f>vlookup("922-096517-300",B:AZ,column(an1),0)*e458</f>
        <v>0</v>
      </c>
    </row>
    <row r="459" spans="1:41">
      <c r="A459" t="s">
        <v>22</v>
      </c>
      <c r="B459" t="s">
        <v>469</v>
      </c>
      <c r="C459" t="s">
        <v>470</v>
      </c>
      <c r="E459">
        <v>1</v>
      </c>
      <c r="F459" t="s">
        <v>13</v>
      </c>
      <c r="I459" t="s">
        <v>15</v>
      </c>
      <c r="J459">
        <f>vlookup("922-096517-300",B:AZ,column(i1),0)*e459</f>
        <v>0</v>
      </c>
      <c r="K459">
        <f>vlookup("922-096517-300",B:AZ,column(j1),0)*e459</f>
        <v>0</v>
      </c>
      <c r="L459">
        <f>vlookup("922-096517-300",B:AZ,column(k1),0)*e459</f>
        <v>0</v>
      </c>
      <c r="M459">
        <f>vlookup("922-096517-300",B:AZ,column(l1),0)*e459</f>
        <v>0</v>
      </c>
      <c r="N459">
        <f>vlookup("922-096517-300",B:AZ,column(m1),0)*e459</f>
        <v>0</v>
      </c>
      <c r="O459">
        <f>vlookup("922-096517-300",B:AZ,column(n1),0)*e459</f>
        <v>0</v>
      </c>
      <c r="P459">
        <f>vlookup("922-096517-300",B:AZ,column(o1),0)*e459</f>
        <v>0</v>
      </c>
      <c r="Q459">
        <f>vlookup("922-096517-300",B:AZ,column(p1),0)*e459</f>
        <v>0</v>
      </c>
      <c r="R459">
        <f>vlookup("922-096517-300",B:AZ,column(q1),0)*e459</f>
        <v>0</v>
      </c>
      <c r="S459">
        <f>vlookup("922-096517-300",B:AZ,column(r1),0)*e459</f>
        <v>0</v>
      </c>
      <c r="T459">
        <f>vlookup("922-096517-300",B:AZ,column(s1),0)*e459</f>
        <v>0</v>
      </c>
      <c r="U459">
        <f>vlookup("922-096517-300",B:AZ,column(t1),0)*e459</f>
        <v>0</v>
      </c>
      <c r="V459">
        <f>vlookup("922-096517-300",B:AZ,column(u1),0)*e459</f>
        <v>0</v>
      </c>
      <c r="W459">
        <f>vlookup("922-096517-300",B:AZ,column(v1),0)*e459</f>
        <v>0</v>
      </c>
      <c r="X459">
        <f>vlookup("922-096517-300",B:AZ,column(w1),0)*e459</f>
        <v>0</v>
      </c>
      <c r="Y459">
        <f>vlookup("922-096517-300",B:AZ,column(x1),0)*e459</f>
        <v>0</v>
      </c>
      <c r="Z459">
        <f>vlookup("922-096517-300",B:AZ,column(y1),0)*e459</f>
        <v>0</v>
      </c>
      <c r="AA459">
        <f>vlookup("922-096517-300",B:AZ,column(z1),0)*e459</f>
        <v>0</v>
      </c>
      <c r="AB459">
        <f>vlookup("922-096517-300",B:AZ,column(aa1),0)*e459</f>
        <v>0</v>
      </c>
      <c r="AC459">
        <f>vlookup("922-096517-300",B:AZ,column(ab1),0)*e459</f>
        <v>0</v>
      </c>
      <c r="AD459">
        <f>vlookup("922-096517-300",B:AZ,column(ac1),0)*e459</f>
        <v>0</v>
      </c>
      <c r="AE459">
        <f>vlookup("922-096517-300",B:AZ,column(ad1),0)*e459</f>
        <v>0</v>
      </c>
      <c r="AF459">
        <f>vlookup("922-096517-300",B:AZ,column(ae1),0)*e459</f>
        <v>0</v>
      </c>
      <c r="AG459">
        <f>vlookup("922-096517-300",B:AZ,column(af1),0)*e459</f>
        <v>0</v>
      </c>
      <c r="AH459">
        <f>vlookup("922-096517-300",B:AZ,column(ag1),0)*e459</f>
        <v>0</v>
      </c>
      <c r="AI459">
        <f>vlookup("922-096517-300",B:AZ,column(ah1),0)*e459</f>
        <v>0</v>
      </c>
      <c r="AJ459">
        <f>vlookup("922-096517-300",B:AZ,column(ai1),0)*e459</f>
        <v>0</v>
      </c>
      <c r="AK459">
        <f>vlookup("922-096517-300",B:AZ,column(aj1),0)*e459</f>
        <v>0</v>
      </c>
      <c r="AL459">
        <f>vlookup("922-096517-300",B:AZ,column(ak1),0)*e459</f>
        <v>0</v>
      </c>
      <c r="AM459">
        <f>vlookup("922-096517-300",B:AZ,column(al1),0)*e459</f>
        <v>0</v>
      </c>
      <c r="AN459">
        <f>vlookup("922-096517-300",B:AZ,column(am1),0)*e459</f>
        <v>0</v>
      </c>
      <c r="AO459">
        <f>vlookup("922-096517-300",B:AZ,column(an1),0)*e459</f>
        <v>0</v>
      </c>
    </row>
    <row r="460" spans="1:41">
      <c r="A460" t="s">
        <v>43</v>
      </c>
      <c r="B460" t="s">
        <v>471</v>
      </c>
      <c r="C460" t="s">
        <v>472</v>
      </c>
      <c r="E460">
        <v>0.05</v>
      </c>
      <c r="F460" t="s">
        <v>13</v>
      </c>
      <c r="I460" t="s">
        <v>15</v>
      </c>
      <c r="J460">
        <f>vlookup("922-096517-300",B:AZ,column(i1),0)*e460</f>
        <v>0</v>
      </c>
      <c r="K460">
        <f>vlookup("922-096517-300",B:AZ,column(j1),0)*e460</f>
        <v>0</v>
      </c>
      <c r="L460">
        <f>vlookup("922-096517-300",B:AZ,column(k1),0)*e460</f>
        <v>0</v>
      </c>
      <c r="M460">
        <f>vlookup("922-096517-300",B:AZ,column(l1),0)*e460</f>
        <v>0</v>
      </c>
      <c r="N460">
        <f>vlookup("922-096517-300",B:AZ,column(m1),0)*e460</f>
        <v>0</v>
      </c>
      <c r="O460">
        <f>vlookup("922-096517-300",B:AZ,column(n1),0)*e460</f>
        <v>0</v>
      </c>
      <c r="P460">
        <f>vlookup("922-096517-300",B:AZ,column(o1),0)*e460</f>
        <v>0</v>
      </c>
      <c r="Q460">
        <f>vlookup("922-096517-300",B:AZ,column(p1),0)*e460</f>
        <v>0</v>
      </c>
      <c r="R460">
        <f>vlookup("922-096517-300",B:AZ,column(q1),0)*e460</f>
        <v>0</v>
      </c>
      <c r="S460">
        <f>vlookup("922-096517-300",B:AZ,column(r1),0)*e460</f>
        <v>0</v>
      </c>
      <c r="T460">
        <f>vlookup("922-096517-300",B:AZ,column(s1),0)*e460</f>
        <v>0</v>
      </c>
      <c r="U460">
        <f>vlookup("922-096517-300",B:AZ,column(t1),0)*e460</f>
        <v>0</v>
      </c>
      <c r="V460">
        <f>vlookup("922-096517-300",B:AZ,column(u1),0)*e460</f>
        <v>0</v>
      </c>
      <c r="W460">
        <f>vlookup("922-096517-300",B:AZ,column(v1),0)*e460</f>
        <v>0</v>
      </c>
      <c r="X460">
        <f>vlookup("922-096517-300",B:AZ,column(w1),0)*e460</f>
        <v>0</v>
      </c>
      <c r="Y460">
        <f>vlookup("922-096517-300",B:AZ,column(x1),0)*e460</f>
        <v>0</v>
      </c>
      <c r="Z460">
        <f>vlookup("922-096517-300",B:AZ,column(y1),0)*e460</f>
        <v>0</v>
      </c>
      <c r="AA460">
        <f>vlookup("922-096517-300",B:AZ,column(z1),0)*e460</f>
        <v>0</v>
      </c>
      <c r="AB460">
        <f>vlookup("922-096517-300",B:AZ,column(aa1),0)*e460</f>
        <v>0</v>
      </c>
      <c r="AC460">
        <f>vlookup("922-096517-300",B:AZ,column(ab1),0)*e460</f>
        <v>0</v>
      </c>
      <c r="AD460">
        <f>vlookup("922-096517-300",B:AZ,column(ac1),0)*e460</f>
        <v>0</v>
      </c>
      <c r="AE460">
        <f>vlookup("922-096517-300",B:AZ,column(ad1),0)*e460</f>
        <v>0</v>
      </c>
      <c r="AF460">
        <f>vlookup("922-096517-300",B:AZ,column(ae1),0)*e460</f>
        <v>0</v>
      </c>
      <c r="AG460">
        <f>vlookup("922-096517-300",B:AZ,column(af1),0)*e460</f>
        <v>0</v>
      </c>
      <c r="AH460">
        <f>vlookup("922-096517-300",B:AZ,column(ag1),0)*e460</f>
        <v>0</v>
      </c>
      <c r="AI460">
        <f>vlookup("922-096517-300",B:AZ,column(ah1),0)*e460</f>
        <v>0</v>
      </c>
      <c r="AJ460">
        <f>vlookup("922-096517-300",B:AZ,column(ai1),0)*e460</f>
        <v>0</v>
      </c>
      <c r="AK460">
        <f>vlookup("922-096517-300",B:AZ,column(aj1),0)*e460</f>
        <v>0</v>
      </c>
      <c r="AL460">
        <f>vlookup("922-096517-300",B:AZ,column(ak1),0)*e460</f>
        <v>0</v>
      </c>
      <c r="AM460">
        <f>vlookup("922-096517-300",B:AZ,column(al1),0)*e460</f>
        <v>0</v>
      </c>
      <c r="AN460">
        <f>vlookup("922-096517-300",B:AZ,column(am1),0)*e460</f>
        <v>0</v>
      </c>
      <c r="AO460">
        <f>vlookup("922-096517-300",B:AZ,column(an1),0)*e460</f>
        <v>0</v>
      </c>
    </row>
    <row r="461" spans="1:41">
      <c r="A461" t="s">
        <v>10</v>
      </c>
      <c r="B461" t="s">
        <v>473</v>
      </c>
      <c r="C461" t="s">
        <v>435</v>
      </c>
      <c r="E461">
        <v>1</v>
      </c>
      <c r="F461" t="s">
        <v>13</v>
      </c>
      <c r="I461" t="s">
        <v>14</v>
      </c>
      <c r="AO461">
        <f>sum(j461:an461)</f>
        <v>0</v>
      </c>
    </row>
    <row r="462" spans="1:41">
      <c r="I462" t="s">
        <v>15</v>
      </c>
      <c r="J462">
        <f>vlookup("922-096517-400",Out!B:AZ,column(i1),0)</f>
        <v>0</v>
      </c>
      <c r="K462">
        <f>vlookup("922-096517-400",Out!B:AZ,column(j1),0)</f>
        <v>0</v>
      </c>
      <c r="L462">
        <f>vlookup("922-096517-400",Out!B:AZ,column(k1),0)</f>
        <v>0</v>
      </c>
      <c r="M462">
        <f>vlookup("922-096517-400",Out!B:AZ,column(l1),0)</f>
        <v>0</v>
      </c>
      <c r="N462">
        <f>vlookup("922-096517-400",Out!B:AZ,column(m1),0)</f>
        <v>0</v>
      </c>
      <c r="O462">
        <f>vlookup("922-096517-400",Out!B:AZ,column(n1),0)</f>
        <v>0</v>
      </c>
      <c r="P462">
        <f>vlookup("922-096517-400",Out!B:AZ,column(o1),0)</f>
        <v>0</v>
      </c>
      <c r="Q462">
        <f>vlookup("922-096517-400",Out!B:AZ,column(p1),0)</f>
        <v>0</v>
      </c>
      <c r="R462">
        <f>vlookup("922-096517-400",Out!B:AZ,column(q1),0)</f>
        <v>0</v>
      </c>
      <c r="S462">
        <f>vlookup("922-096517-400",Out!B:AZ,column(r1),0)</f>
        <v>0</v>
      </c>
      <c r="T462">
        <f>vlookup("922-096517-400",Out!B:AZ,column(s1),0)</f>
        <v>0</v>
      </c>
      <c r="U462">
        <f>vlookup("922-096517-400",Out!B:AZ,column(t1),0)</f>
        <v>0</v>
      </c>
      <c r="V462">
        <f>vlookup("922-096517-400",Out!B:AZ,column(u1),0)</f>
        <v>0</v>
      </c>
      <c r="W462">
        <f>vlookup("922-096517-400",Out!B:AZ,column(v1),0)</f>
        <v>0</v>
      </c>
      <c r="X462">
        <f>vlookup("922-096517-400",Out!B:AZ,column(w1),0)</f>
        <v>0</v>
      </c>
      <c r="Y462">
        <f>vlookup("922-096517-400",Out!B:AZ,column(x1),0)</f>
        <v>0</v>
      </c>
      <c r="Z462">
        <f>vlookup("922-096517-400",Out!B:AZ,column(y1),0)</f>
        <v>0</v>
      </c>
      <c r="AA462">
        <f>vlookup("922-096517-400",Out!B:AZ,column(z1),0)</f>
        <v>0</v>
      </c>
      <c r="AB462">
        <f>vlookup("922-096517-400",Out!B:AZ,column(aa1),0)</f>
        <v>0</v>
      </c>
      <c r="AC462">
        <f>vlookup("922-096517-400",Out!B:AZ,column(ab1),0)</f>
        <v>0</v>
      </c>
      <c r="AD462">
        <f>vlookup("922-096517-400",Out!B:AZ,column(ac1),0)</f>
        <v>0</v>
      </c>
      <c r="AE462">
        <f>vlookup("922-096517-400",Out!B:AZ,column(ad1),0)</f>
        <v>0</v>
      </c>
      <c r="AF462">
        <f>vlookup("922-096517-400",Out!B:AZ,column(ae1),0)</f>
        <v>0</v>
      </c>
      <c r="AG462">
        <f>vlookup("922-096517-400",Out!B:AZ,column(af1),0)</f>
        <v>0</v>
      </c>
      <c r="AH462">
        <f>vlookup("922-096517-400",Out!B:AZ,column(ag1),0)</f>
        <v>0</v>
      </c>
      <c r="AI462">
        <f>vlookup("922-096517-400",Out!B:AZ,column(ah1),0)</f>
        <v>0</v>
      </c>
      <c r="AJ462">
        <f>vlookup("922-096517-400",Out!B:AZ,column(ai1),0)</f>
        <v>0</v>
      </c>
      <c r="AK462">
        <f>vlookup("922-096517-400",Out!B:AZ,column(aj1),0)</f>
        <v>0</v>
      </c>
      <c r="AL462">
        <f>vlookup("922-096517-400",Out!B:AZ,column(ak1),0)</f>
        <v>0</v>
      </c>
      <c r="AM462">
        <f>vlookup("922-096517-400",Out!B:AZ,column(al1),0)</f>
        <v>0</v>
      </c>
      <c r="AN462">
        <f>vlookup("922-096517-400",Out!B:AZ,column(am1),0)</f>
        <v>0</v>
      </c>
      <c r="AO462">
        <f>vlookup("922-096517-400",Out!B:AZ,column(an1),0)</f>
        <v>0</v>
      </c>
    </row>
    <row r="463" spans="1:41">
      <c r="H463" t="s">
        <v>16</v>
      </c>
      <c r="J463">
        <f>indirect(address(463,9))+indirect(address(461,10))-indirect(address(462,10))</f>
        <v>0</v>
      </c>
      <c r="K463">
        <f>indirect(address(463,10))+indirect(address(461,11))-indirect(address(462,11))</f>
        <v>0</v>
      </c>
      <c r="L463">
        <f>indirect(address(463,11))+indirect(address(461,12))-indirect(address(462,12))</f>
        <v>0</v>
      </c>
      <c r="M463">
        <f>indirect(address(463,12))+indirect(address(461,13))-indirect(address(462,13))</f>
        <v>0</v>
      </c>
      <c r="N463">
        <f>indirect(address(463,13))+indirect(address(461,14))-indirect(address(462,14))</f>
        <v>0</v>
      </c>
      <c r="O463">
        <f>indirect(address(463,14))+indirect(address(461,15))-indirect(address(462,15))</f>
        <v>0</v>
      </c>
      <c r="P463">
        <f>indirect(address(463,15))+indirect(address(461,16))-indirect(address(462,16))</f>
        <v>0</v>
      </c>
      <c r="Q463">
        <f>indirect(address(463,16))+indirect(address(461,17))-indirect(address(462,17))</f>
        <v>0</v>
      </c>
      <c r="R463">
        <f>indirect(address(463,17))+indirect(address(461,18))-indirect(address(462,18))</f>
        <v>0</v>
      </c>
      <c r="S463">
        <f>indirect(address(463,18))+indirect(address(461,19))-indirect(address(462,19))</f>
        <v>0</v>
      </c>
      <c r="T463">
        <f>indirect(address(463,19))+indirect(address(461,20))-indirect(address(462,20))</f>
        <v>0</v>
      </c>
      <c r="U463">
        <f>indirect(address(463,20))+indirect(address(461,21))-indirect(address(462,21))</f>
        <v>0</v>
      </c>
      <c r="V463">
        <f>indirect(address(463,21))+indirect(address(461,22))-indirect(address(462,22))</f>
        <v>0</v>
      </c>
      <c r="W463">
        <f>indirect(address(463,22))+indirect(address(461,23))-indirect(address(462,23))</f>
        <v>0</v>
      </c>
      <c r="X463">
        <f>indirect(address(463,23))+indirect(address(461,24))-indirect(address(462,24))</f>
        <v>0</v>
      </c>
      <c r="Y463">
        <f>indirect(address(463,24))+indirect(address(461,25))-indirect(address(462,25))</f>
        <v>0</v>
      </c>
      <c r="Z463">
        <f>indirect(address(463,25))+indirect(address(461,26))-indirect(address(462,26))</f>
        <v>0</v>
      </c>
      <c r="AA463">
        <f>indirect(address(463,26))+indirect(address(461,27))-indirect(address(462,27))</f>
        <v>0</v>
      </c>
      <c r="AB463">
        <f>indirect(address(463,27))+indirect(address(461,28))-indirect(address(462,28))</f>
        <v>0</v>
      </c>
      <c r="AC463">
        <f>indirect(address(463,28))+indirect(address(461,29))-indirect(address(462,29))</f>
        <v>0</v>
      </c>
      <c r="AD463">
        <f>indirect(address(463,29))+indirect(address(461,30))-indirect(address(462,30))</f>
        <v>0</v>
      </c>
      <c r="AE463">
        <f>indirect(address(463,30))+indirect(address(461,31))-indirect(address(462,31))</f>
        <v>0</v>
      </c>
      <c r="AF463">
        <f>indirect(address(463,31))+indirect(address(461,32))-indirect(address(462,32))</f>
        <v>0</v>
      </c>
      <c r="AG463">
        <f>indirect(address(463,32))+indirect(address(461,33))-indirect(address(462,33))</f>
        <v>0</v>
      </c>
      <c r="AH463">
        <f>indirect(address(463,33))+indirect(address(461,34))-indirect(address(462,34))</f>
        <v>0</v>
      </c>
      <c r="AI463">
        <f>indirect(address(463,34))+indirect(address(461,35))-indirect(address(462,35))</f>
        <v>0</v>
      </c>
      <c r="AJ463">
        <f>indirect(address(463,35))+indirect(address(461,36))-indirect(address(462,36))</f>
        <v>0</v>
      </c>
      <c r="AK463">
        <f>indirect(address(463,36))+indirect(address(461,37))-indirect(address(462,37))</f>
        <v>0</v>
      </c>
      <c r="AL463">
        <f>indirect(address(463,37))+indirect(address(461,38))-indirect(address(462,38))</f>
        <v>0</v>
      </c>
      <c r="AM463">
        <f>indirect(address(463,38))+indirect(address(461,39))-indirect(address(462,39))</f>
        <v>0</v>
      </c>
      <c r="AN463">
        <f>indirect(address(463,39))+indirect(address(461,40))-indirect(address(462,40))</f>
        <v>0</v>
      </c>
      <c r="AO463">
        <f>indirect(address(463,40))</f>
        <v>0</v>
      </c>
    </row>
    <row r="464" spans="1:41">
      <c r="A464" t="s">
        <v>17</v>
      </c>
      <c r="B464" t="s">
        <v>462</v>
      </c>
      <c r="C464" t="s">
        <v>463</v>
      </c>
      <c r="E464">
        <v>1</v>
      </c>
      <c r="F464" t="s">
        <v>13</v>
      </c>
      <c r="I464" t="s">
        <v>15</v>
      </c>
      <c r="J464">
        <f>vlookup("922-096517-400",B:AZ,column(i1),0)*e464</f>
        <v>0</v>
      </c>
      <c r="K464">
        <f>vlookup("922-096517-400",B:AZ,column(j1),0)*e464</f>
        <v>0</v>
      </c>
      <c r="L464">
        <f>vlookup("922-096517-400",B:AZ,column(k1),0)*e464</f>
        <v>0</v>
      </c>
      <c r="M464">
        <f>vlookup("922-096517-400",B:AZ,column(l1),0)*e464</f>
        <v>0</v>
      </c>
      <c r="N464">
        <f>vlookup("922-096517-400",B:AZ,column(m1),0)*e464</f>
        <v>0</v>
      </c>
      <c r="O464">
        <f>vlookup("922-096517-400",B:AZ,column(n1),0)*e464</f>
        <v>0</v>
      </c>
      <c r="P464">
        <f>vlookup("922-096517-400",B:AZ,column(o1),0)*e464</f>
        <v>0</v>
      </c>
      <c r="Q464">
        <f>vlookup("922-096517-400",B:AZ,column(p1),0)*e464</f>
        <v>0</v>
      </c>
      <c r="R464">
        <f>vlookup("922-096517-400",B:AZ,column(q1),0)*e464</f>
        <v>0</v>
      </c>
      <c r="S464">
        <f>vlookup("922-096517-400",B:AZ,column(r1),0)*e464</f>
        <v>0</v>
      </c>
      <c r="T464">
        <f>vlookup("922-096517-400",B:AZ,column(s1),0)*e464</f>
        <v>0</v>
      </c>
      <c r="U464">
        <f>vlookup("922-096517-400",B:AZ,column(t1),0)*e464</f>
        <v>0</v>
      </c>
      <c r="V464">
        <f>vlookup("922-096517-400",B:AZ,column(u1),0)*e464</f>
        <v>0</v>
      </c>
      <c r="W464">
        <f>vlookup("922-096517-400",B:AZ,column(v1),0)*e464</f>
        <v>0</v>
      </c>
      <c r="X464">
        <f>vlookup("922-096517-400",B:AZ,column(w1),0)*e464</f>
        <v>0</v>
      </c>
      <c r="Y464">
        <f>vlookup("922-096517-400",B:AZ,column(x1),0)*e464</f>
        <v>0</v>
      </c>
      <c r="Z464">
        <f>vlookup("922-096517-400",B:AZ,column(y1),0)*e464</f>
        <v>0</v>
      </c>
      <c r="AA464">
        <f>vlookup("922-096517-400",B:AZ,column(z1),0)*e464</f>
        <v>0</v>
      </c>
      <c r="AB464">
        <f>vlookup("922-096517-400",B:AZ,column(aa1),0)*e464</f>
        <v>0</v>
      </c>
      <c r="AC464">
        <f>vlookup("922-096517-400",B:AZ,column(ab1),0)*e464</f>
        <v>0</v>
      </c>
      <c r="AD464">
        <f>vlookup("922-096517-400",B:AZ,column(ac1),0)*e464</f>
        <v>0</v>
      </c>
      <c r="AE464">
        <f>vlookup("922-096517-400",B:AZ,column(ad1),0)*e464</f>
        <v>0</v>
      </c>
      <c r="AF464">
        <f>vlookup("922-096517-400",B:AZ,column(ae1),0)*e464</f>
        <v>0</v>
      </c>
      <c r="AG464">
        <f>vlookup("922-096517-400",B:AZ,column(af1),0)*e464</f>
        <v>0</v>
      </c>
      <c r="AH464">
        <f>vlookup("922-096517-400",B:AZ,column(ag1),0)*e464</f>
        <v>0</v>
      </c>
      <c r="AI464">
        <f>vlookup("922-096517-400",B:AZ,column(ah1),0)*e464</f>
        <v>0</v>
      </c>
      <c r="AJ464">
        <f>vlookup("922-096517-400",B:AZ,column(ai1),0)*e464</f>
        <v>0</v>
      </c>
      <c r="AK464">
        <f>vlookup("922-096517-400",B:AZ,column(aj1),0)*e464</f>
        <v>0</v>
      </c>
      <c r="AL464">
        <f>vlookup("922-096517-400",B:AZ,column(ak1),0)*e464</f>
        <v>0</v>
      </c>
      <c r="AM464">
        <f>vlookup("922-096517-400",B:AZ,column(al1),0)*e464</f>
        <v>0</v>
      </c>
      <c r="AN464">
        <f>vlookup("922-096517-400",B:AZ,column(am1),0)*e464</f>
        <v>0</v>
      </c>
      <c r="AO464">
        <f>vlookup("922-096517-400",B:AZ,column(an1),0)*e464</f>
        <v>0</v>
      </c>
    </row>
    <row r="465" spans="1:41">
      <c r="A465" t="s">
        <v>22</v>
      </c>
      <c r="B465" t="s">
        <v>474</v>
      </c>
      <c r="C465" t="s">
        <v>475</v>
      </c>
      <c r="E465">
        <v>1</v>
      </c>
      <c r="F465" t="s">
        <v>13</v>
      </c>
      <c r="I465" t="s">
        <v>15</v>
      </c>
      <c r="J465">
        <f>vlookup("922-096517-400",B:AZ,column(i1),0)*e465</f>
        <v>0</v>
      </c>
      <c r="K465">
        <f>vlookup("922-096517-400",B:AZ,column(j1),0)*e465</f>
        <v>0</v>
      </c>
      <c r="L465">
        <f>vlookup("922-096517-400",B:AZ,column(k1),0)*e465</f>
        <v>0</v>
      </c>
      <c r="M465">
        <f>vlookup("922-096517-400",B:AZ,column(l1),0)*e465</f>
        <v>0</v>
      </c>
      <c r="N465">
        <f>vlookup("922-096517-400",B:AZ,column(m1),0)*e465</f>
        <v>0</v>
      </c>
      <c r="O465">
        <f>vlookup("922-096517-400",B:AZ,column(n1),0)*e465</f>
        <v>0</v>
      </c>
      <c r="P465">
        <f>vlookup("922-096517-400",B:AZ,column(o1),0)*e465</f>
        <v>0</v>
      </c>
      <c r="Q465">
        <f>vlookup("922-096517-400",B:AZ,column(p1),0)*e465</f>
        <v>0</v>
      </c>
      <c r="R465">
        <f>vlookup("922-096517-400",B:AZ,column(q1),0)*e465</f>
        <v>0</v>
      </c>
      <c r="S465">
        <f>vlookup("922-096517-400",B:AZ,column(r1),0)*e465</f>
        <v>0</v>
      </c>
      <c r="T465">
        <f>vlookup("922-096517-400",B:AZ,column(s1),0)*e465</f>
        <v>0</v>
      </c>
      <c r="U465">
        <f>vlookup("922-096517-400",B:AZ,column(t1),0)*e465</f>
        <v>0</v>
      </c>
      <c r="V465">
        <f>vlookup("922-096517-400",B:AZ,column(u1),0)*e465</f>
        <v>0</v>
      </c>
      <c r="W465">
        <f>vlookup("922-096517-400",B:AZ,column(v1),0)*e465</f>
        <v>0</v>
      </c>
      <c r="X465">
        <f>vlookup("922-096517-400",B:AZ,column(w1),0)*e465</f>
        <v>0</v>
      </c>
      <c r="Y465">
        <f>vlookup("922-096517-400",B:AZ,column(x1),0)*e465</f>
        <v>0</v>
      </c>
      <c r="Z465">
        <f>vlookup("922-096517-400",B:AZ,column(y1),0)*e465</f>
        <v>0</v>
      </c>
      <c r="AA465">
        <f>vlookup("922-096517-400",B:AZ,column(z1),0)*e465</f>
        <v>0</v>
      </c>
      <c r="AB465">
        <f>vlookup("922-096517-400",B:AZ,column(aa1),0)*e465</f>
        <v>0</v>
      </c>
      <c r="AC465">
        <f>vlookup("922-096517-400",B:AZ,column(ab1),0)*e465</f>
        <v>0</v>
      </c>
      <c r="AD465">
        <f>vlookup("922-096517-400",B:AZ,column(ac1),0)*e465</f>
        <v>0</v>
      </c>
      <c r="AE465">
        <f>vlookup("922-096517-400",B:AZ,column(ad1),0)*e465</f>
        <v>0</v>
      </c>
      <c r="AF465">
        <f>vlookup("922-096517-400",B:AZ,column(ae1),0)*e465</f>
        <v>0</v>
      </c>
      <c r="AG465">
        <f>vlookup("922-096517-400",B:AZ,column(af1),0)*e465</f>
        <v>0</v>
      </c>
      <c r="AH465">
        <f>vlookup("922-096517-400",B:AZ,column(ag1),0)*e465</f>
        <v>0</v>
      </c>
      <c r="AI465">
        <f>vlookup("922-096517-400",B:AZ,column(ah1),0)*e465</f>
        <v>0</v>
      </c>
      <c r="AJ465">
        <f>vlookup("922-096517-400",B:AZ,column(ai1),0)*e465</f>
        <v>0</v>
      </c>
      <c r="AK465">
        <f>vlookup("922-096517-400",B:AZ,column(aj1),0)*e465</f>
        <v>0</v>
      </c>
      <c r="AL465">
        <f>vlookup("922-096517-400",B:AZ,column(ak1),0)*e465</f>
        <v>0</v>
      </c>
      <c r="AM465">
        <f>vlookup("922-096517-400",B:AZ,column(al1),0)*e465</f>
        <v>0</v>
      </c>
      <c r="AN465">
        <f>vlookup("922-096517-400",B:AZ,column(am1),0)*e465</f>
        <v>0</v>
      </c>
      <c r="AO465">
        <f>vlookup("922-096517-400",B:AZ,column(an1),0)*e465</f>
        <v>0</v>
      </c>
    </row>
    <row r="466" spans="1:41">
      <c r="A466" t="s">
        <v>43</v>
      </c>
      <c r="B466" t="s">
        <v>476</v>
      </c>
      <c r="C466" t="s">
        <v>477</v>
      </c>
      <c r="E466">
        <v>0.05</v>
      </c>
      <c r="F466" t="s">
        <v>13</v>
      </c>
      <c r="I466" t="s">
        <v>15</v>
      </c>
      <c r="J466">
        <f>vlookup("922-096517-400",B:AZ,column(i1),0)*e466</f>
        <v>0</v>
      </c>
      <c r="K466">
        <f>vlookup("922-096517-400",B:AZ,column(j1),0)*e466</f>
        <v>0</v>
      </c>
      <c r="L466">
        <f>vlookup("922-096517-400",B:AZ,column(k1),0)*e466</f>
        <v>0</v>
      </c>
      <c r="M466">
        <f>vlookup("922-096517-400",B:AZ,column(l1),0)*e466</f>
        <v>0</v>
      </c>
      <c r="N466">
        <f>vlookup("922-096517-400",B:AZ,column(m1),0)*e466</f>
        <v>0</v>
      </c>
      <c r="O466">
        <f>vlookup("922-096517-400",B:AZ,column(n1),0)*e466</f>
        <v>0</v>
      </c>
      <c r="P466">
        <f>vlookup("922-096517-400",B:AZ,column(o1),0)*e466</f>
        <v>0</v>
      </c>
      <c r="Q466">
        <f>vlookup("922-096517-400",B:AZ,column(p1),0)*e466</f>
        <v>0</v>
      </c>
      <c r="R466">
        <f>vlookup("922-096517-400",B:AZ,column(q1),0)*e466</f>
        <v>0</v>
      </c>
      <c r="S466">
        <f>vlookup("922-096517-400",B:AZ,column(r1),0)*e466</f>
        <v>0</v>
      </c>
      <c r="T466">
        <f>vlookup("922-096517-400",B:AZ,column(s1),0)*e466</f>
        <v>0</v>
      </c>
      <c r="U466">
        <f>vlookup("922-096517-400",B:AZ,column(t1),0)*e466</f>
        <v>0</v>
      </c>
      <c r="V466">
        <f>vlookup("922-096517-400",B:AZ,column(u1),0)*e466</f>
        <v>0</v>
      </c>
      <c r="W466">
        <f>vlookup("922-096517-400",B:AZ,column(v1),0)*e466</f>
        <v>0</v>
      </c>
      <c r="X466">
        <f>vlookup("922-096517-400",B:AZ,column(w1),0)*e466</f>
        <v>0</v>
      </c>
      <c r="Y466">
        <f>vlookup("922-096517-400",B:AZ,column(x1),0)*e466</f>
        <v>0</v>
      </c>
      <c r="Z466">
        <f>vlookup("922-096517-400",B:AZ,column(y1),0)*e466</f>
        <v>0</v>
      </c>
      <c r="AA466">
        <f>vlookup("922-096517-400",B:AZ,column(z1),0)*e466</f>
        <v>0</v>
      </c>
      <c r="AB466">
        <f>vlookup("922-096517-400",B:AZ,column(aa1),0)*e466</f>
        <v>0</v>
      </c>
      <c r="AC466">
        <f>vlookup("922-096517-400",B:AZ,column(ab1),0)*e466</f>
        <v>0</v>
      </c>
      <c r="AD466">
        <f>vlookup("922-096517-400",B:AZ,column(ac1),0)*e466</f>
        <v>0</v>
      </c>
      <c r="AE466">
        <f>vlookup("922-096517-400",B:AZ,column(ad1),0)*e466</f>
        <v>0</v>
      </c>
      <c r="AF466">
        <f>vlookup("922-096517-400",B:AZ,column(ae1),0)*e466</f>
        <v>0</v>
      </c>
      <c r="AG466">
        <f>vlookup("922-096517-400",B:AZ,column(af1),0)*e466</f>
        <v>0</v>
      </c>
      <c r="AH466">
        <f>vlookup("922-096517-400",B:AZ,column(ag1),0)*e466</f>
        <v>0</v>
      </c>
      <c r="AI466">
        <f>vlookup("922-096517-400",B:AZ,column(ah1),0)*e466</f>
        <v>0</v>
      </c>
      <c r="AJ466">
        <f>vlookup("922-096517-400",B:AZ,column(ai1),0)*e466</f>
        <v>0</v>
      </c>
      <c r="AK466">
        <f>vlookup("922-096517-400",B:AZ,column(aj1),0)*e466</f>
        <v>0</v>
      </c>
      <c r="AL466">
        <f>vlookup("922-096517-400",B:AZ,column(ak1),0)*e466</f>
        <v>0</v>
      </c>
      <c r="AM466">
        <f>vlookup("922-096517-400",B:AZ,column(al1),0)*e466</f>
        <v>0</v>
      </c>
      <c r="AN466">
        <f>vlookup("922-096517-400",B:AZ,column(am1),0)*e466</f>
        <v>0</v>
      </c>
      <c r="AO466">
        <f>vlookup("922-096517-400",B:AZ,column(an1),0)*e466</f>
        <v>0</v>
      </c>
    </row>
    <row r="467" spans="1:41">
      <c r="A467" t="s">
        <v>10</v>
      </c>
      <c r="B467" t="s">
        <v>478</v>
      </c>
      <c r="C467" t="s">
        <v>441</v>
      </c>
      <c r="E467">
        <v>1</v>
      </c>
      <c r="F467" t="s">
        <v>13</v>
      </c>
      <c r="I467" t="s">
        <v>14</v>
      </c>
      <c r="AO467">
        <f>sum(j467:an467)</f>
        <v>0</v>
      </c>
    </row>
    <row r="468" spans="1:41">
      <c r="I468" t="s">
        <v>15</v>
      </c>
      <c r="J468">
        <f>vlookup("922-096517-500",Out!B:AZ,column(i1),0)</f>
        <v>0</v>
      </c>
      <c r="K468">
        <f>vlookup("922-096517-500",Out!B:AZ,column(j1),0)</f>
        <v>0</v>
      </c>
      <c r="L468">
        <f>vlookup("922-096517-500",Out!B:AZ,column(k1),0)</f>
        <v>0</v>
      </c>
      <c r="M468">
        <f>vlookup("922-096517-500",Out!B:AZ,column(l1),0)</f>
        <v>0</v>
      </c>
      <c r="N468">
        <f>vlookup("922-096517-500",Out!B:AZ,column(m1),0)</f>
        <v>0</v>
      </c>
      <c r="O468">
        <f>vlookup("922-096517-500",Out!B:AZ,column(n1),0)</f>
        <v>0</v>
      </c>
      <c r="P468">
        <f>vlookup("922-096517-500",Out!B:AZ,column(o1),0)</f>
        <v>0</v>
      </c>
      <c r="Q468">
        <f>vlookup("922-096517-500",Out!B:AZ,column(p1),0)</f>
        <v>0</v>
      </c>
      <c r="R468">
        <f>vlookup("922-096517-500",Out!B:AZ,column(q1),0)</f>
        <v>0</v>
      </c>
      <c r="S468">
        <f>vlookup("922-096517-500",Out!B:AZ,column(r1),0)</f>
        <v>0</v>
      </c>
      <c r="T468">
        <f>vlookup("922-096517-500",Out!B:AZ,column(s1),0)</f>
        <v>0</v>
      </c>
      <c r="U468">
        <f>vlookup("922-096517-500",Out!B:AZ,column(t1),0)</f>
        <v>0</v>
      </c>
      <c r="V468">
        <f>vlookup("922-096517-500",Out!B:AZ,column(u1),0)</f>
        <v>0</v>
      </c>
      <c r="W468">
        <f>vlookup("922-096517-500",Out!B:AZ,column(v1),0)</f>
        <v>0</v>
      </c>
      <c r="X468">
        <f>vlookup("922-096517-500",Out!B:AZ,column(w1),0)</f>
        <v>0</v>
      </c>
      <c r="Y468">
        <f>vlookup("922-096517-500",Out!B:AZ,column(x1),0)</f>
        <v>0</v>
      </c>
      <c r="Z468">
        <f>vlookup("922-096517-500",Out!B:AZ,column(y1),0)</f>
        <v>0</v>
      </c>
      <c r="AA468">
        <f>vlookup("922-096517-500",Out!B:AZ,column(z1),0)</f>
        <v>0</v>
      </c>
      <c r="AB468">
        <f>vlookup("922-096517-500",Out!B:AZ,column(aa1),0)</f>
        <v>0</v>
      </c>
      <c r="AC468">
        <f>vlookup("922-096517-500",Out!B:AZ,column(ab1),0)</f>
        <v>0</v>
      </c>
      <c r="AD468">
        <f>vlookup("922-096517-500",Out!B:AZ,column(ac1),0)</f>
        <v>0</v>
      </c>
      <c r="AE468">
        <f>vlookup("922-096517-500",Out!B:AZ,column(ad1),0)</f>
        <v>0</v>
      </c>
      <c r="AF468">
        <f>vlookup("922-096517-500",Out!B:AZ,column(ae1),0)</f>
        <v>0</v>
      </c>
      <c r="AG468">
        <f>vlookup("922-096517-500",Out!B:AZ,column(af1),0)</f>
        <v>0</v>
      </c>
      <c r="AH468">
        <f>vlookup("922-096517-500",Out!B:AZ,column(ag1),0)</f>
        <v>0</v>
      </c>
      <c r="AI468">
        <f>vlookup("922-096517-500",Out!B:AZ,column(ah1),0)</f>
        <v>0</v>
      </c>
      <c r="AJ468">
        <f>vlookup("922-096517-500",Out!B:AZ,column(ai1),0)</f>
        <v>0</v>
      </c>
      <c r="AK468">
        <f>vlookup("922-096517-500",Out!B:AZ,column(aj1),0)</f>
        <v>0</v>
      </c>
      <c r="AL468">
        <f>vlookup("922-096517-500",Out!B:AZ,column(ak1),0)</f>
        <v>0</v>
      </c>
      <c r="AM468">
        <f>vlookup("922-096517-500",Out!B:AZ,column(al1),0)</f>
        <v>0</v>
      </c>
      <c r="AN468">
        <f>vlookup("922-096517-500",Out!B:AZ,column(am1),0)</f>
        <v>0</v>
      </c>
      <c r="AO468">
        <f>vlookup("922-096517-500",Out!B:AZ,column(an1),0)</f>
        <v>0</v>
      </c>
    </row>
    <row r="469" spans="1:41">
      <c r="H469" t="s">
        <v>16</v>
      </c>
      <c r="J469">
        <f>indirect(address(469,9))+indirect(address(467,10))-indirect(address(468,10))</f>
        <v>0</v>
      </c>
      <c r="K469">
        <f>indirect(address(469,10))+indirect(address(467,11))-indirect(address(468,11))</f>
        <v>0</v>
      </c>
      <c r="L469">
        <f>indirect(address(469,11))+indirect(address(467,12))-indirect(address(468,12))</f>
        <v>0</v>
      </c>
      <c r="M469">
        <f>indirect(address(469,12))+indirect(address(467,13))-indirect(address(468,13))</f>
        <v>0</v>
      </c>
      <c r="N469">
        <f>indirect(address(469,13))+indirect(address(467,14))-indirect(address(468,14))</f>
        <v>0</v>
      </c>
      <c r="O469">
        <f>indirect(address(469,14))+indirect(address(467,15))-indirect(address(468,15))</f>
        <v>0</v>
      </c>
      <c r="P469">
        <f>indirect(address(469,15))+indirect(address(467,16))-indirect(address(468,16))</f>
        <v>0</v>
      </c>
      <c r="Q469">
        <f>indirect(address(469,16))+indirect(address(467,17))-indirect(address(468,17))</f>
        <v>0</v>
      </c>
      <c r="R469">
        <f>indirect(address(469,17))+indirect(address(467,18))-indirect(address(468,18))</f>
        <v>0</v>
      </c>
      <c r="S469">
        <f>indirect(address(469,18))+indirect(address(467,19))-indirect(address(468,19))</f>
        <v>0</v>
      </c>
      <c r="T469">
        <f>indirect(address(469,19))+indirect(address(467,20))-indirect(address(468,20))</f>
        <v>0</v>
      </c>
      <c r="U469">
        <f>indirect(address(469,20))+indirect(address(467,21))-indirect(address(468,21))</f>
        <v>0</v>
      </c>
      <c r="V469">
        <f>indirect(address(469,21))+indirect(address(467,22))-indirect(address(468,22))</f>
        <v>0</v>
      </c>
      <c r="W469">
        <f>indirect(address(469,22))+indirect(address(467,23))-indirect(address(468,23))</f>
        <v>0</v>
      </c>
      <c r="X469">
        <f>indirect(address(469,23))+indirect(address(467,24))-indirect(address(468,24))</f>
        <v>0</v>
      </c>
      <c r="Y469">
        <f>indirect(address(469,24))+indirect(address(467,25))-indirect(address(468,25))</f>
        <v>0</v>
      </c>
      <c r="Z469">
        <f>indirect(address(469,25))+indirect(address(467,26))-indirect(address(468,26))</f>
        <v>0</v>
      </c>
      <c r="AA469">
        <f>indirect(address(469,26))+indirect(address(467,27))-indirect(address(468,27))</f>
        <v>0</v>
      </c>
      <c r="AB469">
        <f>indirect(address(469,27))+indirect(address(467,28))-indirect(address(468,28))</f>
        <v>0</v>
      </c>
      <c r="AC469">
        <f>indirect(address(469,28))+indirect(address(467,29))-indirect(address(468,29))</f>
        <v>0</v>
      </c>
      <c r="AD469">
        <f>indirect(address(469,29))+indirect(address(467,30))-indirect(address(468,30))</f>
        <v>0</v>
      </c>
      <c r="AE469">
        <f>indirect(address(469,30))+indirect(address(467,31))-indirect(address(468,31))</f>
        <v>0</v>
      </c>
      <c r="AF469">
        <f>indirect(address(469,31))+indirect(address(467,32))-indirect(address(468,32))</f>
        <v>0</v>
      </c>
      <c r="AG469">
        <f>indirect(address(469,32))+indirect(address(467,33))-indirect(address(468,33))</f>
        <v>0</v>
      </c>
      <c r="AH469">
        <f>indirect(address(469,33))+indirect(address(467,34))-indirect(address(468,34))</f>
        <v>0</v>
      </c>
      <c r="AI469">
        <f>indirect(address(469,34))+indirect(address(467,35))-indirect(address(468,35))</f>
        <v>0</v>
      </c>
      <c r="AJ469">
        <f>indirect(address(469,35))+indirect(address(467,36))-indirect(address(468,36))</f>
        <v>0</v>
      </c>
      <c r="AK469">
        <f>indirect(address(469,36))+indirect(address(467,37))-indirect(address(468,37))</f>
        <v>0</v>
      </c>
      <c r="AL469">
        <f>indirect(address(469,37))+indirect(address(467,38))-indirect(address(468,38))</f>
        <v>0</v>
      </c>
      <c r="AM469">
        <f>indirect(address(469,38))+indirect(address(467,39))-indirect(address(468,39))</f>
        <v>0</v>
      </c>
      <c r="AN469">
        <f>indirect(address(469,39))+indirect(address(467,40))-indirect(address(468,40))</f>
        <v>0</v>
      </c>
      <c r="AO469">
        <f>indirect(address(469,40))</f>
        <v>0</v>
      </c>
    </row>
    <row r="470" spans="1:41">
      <c r="A470" t="s">
        <v>17</v>
      </c>
      <c r="B470" t="s">
        <v>453</v>
      </c>
      <c r="C470" t="s">
        <v>454</v>
      </c>
      <c r="E470">
        <v>1</v>
      </c>
      <c r="F470" t="s">
        <v>13</v>
      </c>
      <c r="I470" t="s">
        <v>15</v>
      </c>
      <c r="J470">
        <f>vlookup("922-096517-500",B:AZ,column(i1),0)*e470</f>
        <v>0</v>
      </c>
      <c r="K470">
        <f>vlookup("922-096517-500",B:AZ,column(j1),0)*e470</f>
        <v>0</v>
      </c>
      <c r="L470">
        <f>vlookup("922-096517-500",B:AZ,column(k1),0)*e470</f>
        <v>0</v>
      </c>
      <c r="M470">
        <f>vlookup("922-096517-500",B:AZ,column(l1),0)*e470</f>
        <v>0</v>
      </c>
      <c r="N470">
        <f>vlookup("922-096517-500",B:AZ,column(m1),0)*e470</f>
        <v>0</v>
      </c>
      <c r="O470">
        <f>vlookup("922-096517-500",B:AZ,column(n1),0)*e470</f>
        <v>0</v>
      </c>
      <c r="P470">
        <f>vlookup("922-096517-500",B:AZ,column(o1),0)*e470</f>
        <v>0</v>
      </c>
      <c r="Q470">
        <f>vlookup("922-096517-500",B:AZ,column(p1),0)*e470</f>
        <v>0</v>
      </c>
      <c r="R470">
        <f>vlookup("922-096517-500",B:AZ,column(q1),0)*e470</f>
        <v>0</v>
      </c>
      <c r="S470">
        <f>vlookup("922-096517-500",B:AZ,column(r1),0)*e470</f>
        <v>0</v>
      </c>
      <c r="T470">
        <f>vlookup("922-096517-500",B:AZ,column(s1),0)*e470</f>
        <v>0</v>
      </c>
      <c r="U470">
        <f>vlookup("922-096517-500",B:AZ,column(t1),0)*e470</f>
        <v>0</v>
      </c>
      <c r="V470">
        <f>vlookup("922-096517-500",B:AZ,column(u1),0)*e470</f>
        <v>0</v>
      </c>
      <c r="W470">
        <f>vlookup("922-096517-500",B:AZ,column(v1),0)*e470</f>
        <v>0</v>
      </c>
      <c r="X470">
        <f>vlookup("922-096517-500",B:AZ,column(w1),0)*e470</f>
        <v>0</v>
      </c>
      <c r="Y470">
        <f>vlookup("922-096517-500",B:AZ,column(x1),0)*e470</f>
        <v>0</v>
      </c>
      <c r="Z470">
        <f>vlookup("922-096517-500",B:AZ,column(y1),0)*e470</f>
        <v>0</v>
      </c>
      <c r="AA470">
        <f>vlookup("922-096517-500",B:AZ,column(z1),0)*e470</f>
        <v>0</v>
      </c>
      <c r="AB470">
        <f>vlookup("922-096517-500",B:AZ,column(aa1),0)*e470</f>
        <v>0</v>
      </c>
      <c r="AC470">
        <f>vlookup("922-096517-500",B:AZ,column(ab1),0)*e470</f>
        <v>0</v>
      </c>
      <c r="AD470">
        <f>vlookup("922-096517-500",B:AZ,column(ac1),0)*e470</f>
        <v>0</v>
      </c>
      <c r="AE470">
        <f>vlookup("922-096517-500",B:AZ,column(ad1),0)*e470</f>
        <v>0</v>
      </c>
      <c r="AF470">
        <f>vlookup("922-096517-500",B:AZ,column(ae1),0)*e470</f>
        <v>0</v>
      </c>
      <c r="AG470">
        <f>vlookup("922-096517-500",B:AZ,column(af1),0)*e470</f>
        <v>0</v>
      </c>
      <c r="AH470">
        <f>vlookup("922-096517-500",B:AZ,column(ag1),0)*e470</f>
        <v>0</v>
      </c>
      <c r="AI470">
        <f>vlookup("922-096517-500",B:AZ,column(ah1),0)*e470</f>
        <v>0</v>
      </c>
      <c r="AJ470">
        <f>vlookup("922-096517-500",B:AZ,column(ai1),0)*e470</f>
        <v>0</v>
      </c>
      <c r="AK470">
        <f>vlookup("922-096517-500",B:AZ,column(aj1),0)*e470</f>
        <v>0</v>
      </c>
      <c r="AL470">
        <f>vlookup("922-096517-500",B:AZ,column(ak1),0)*e470</f>
        <v>0</v>
      </c>
      <c r="AM470">
        <f>vlookup("922-096517-500",B:AZ,column(al1),0)*e470</f>
        <v>0</v>
      </c>
      <c r="AN470">
        <f>vlookup("922-096517-500",B:AZ,column(am1),0)*e470</f>
        <v>0</v>
      </c>
      <c r="AO470">
        <f>vlookup("922-096517-500",B:AZ,column(an1),0)*e470</f>
        <v>0</v>
      </c>
    </row>
    <row r="471" spans="1:41">
      <c r="A471" t="s">
        <v>22</v>
      </c>
      <c r="B471" t="s">
        <v>479</v>
      </c>
      <c r="C471" t="s">
        <v>443</v>
      </c>
      <c r="E471">
        <v>1</v>
      </c>
      <c r="F471" t="s">
        <v>13</v>
      </c>
      <c r="I471" t="s">
        <v>15</v>
      </c>
      <c r="J471">
        <f>vlookup("922-096517-500",B:AZ,column(i1),0)*e471</f>
        <v>0</v>
      </c>
      <c r="K471">
        <f>vlookup("922-096517-500",B:AZ,column(j1),0)*e471</f>
        <v>0</v>
      </c>
      <c r="L471">
        <f>vlookup("922-096517-500",B:AZ,column(k1),0)*e471</f>
        <v>0</v>
      </c>
      <c r="M471">
        <f>vlookup("922-096517-500",B:AZ,column(l1),0)*e471</f>
        <v>0</v>
      </c>
      <c r="N471">
        <f>vlookup("922-096517-500",B:AZ,column(m1),0)*e471</f>
        <v>0</v>
      </c>
      <c r="O471">
        <f>vlookup("922-096517-500",B:AZ,column(n1),0)*e471</f>
        <v>0</v>
      </c>
      <c r="P471">
        <f>vlookup("922-096517-500",B:AZ,column(o1),0)*e471</f>
        <v>0</v>
      </c>
      <c r="Q471">
        <f>vlookup("922-096517-500",B:AZ,column(p1),0)*e471</f>
        <v>0</v>
      </c>
      <c r="R471">
        <f>vlookup("922-096517-500",B:AZ,column(q1),0)*e471</f>
        <v>0</v>
      </c>
      <c r="S471">
        <f>vlookup("922-096517-500",B:AZ,column(r1),0)*e471</f>
        <v>0</v>
      </c>
      <c r="T471">
        <f>vlookup("922-096517-500",B:AZ,column(s1),0)*e471</f>
        <v>0</v>
      </c>
      <c r="U471">
        <f>vlookup("922-096517-500",B:AZ,column(t1),0)*e471</f>
        <v>0</v>
      </c>
      <c r="V471">
        <f>vlookup("922-096517-500",B:AZ,column(u1),0)*e471</f>
        <v>0</v>
      </c>
      <c r="W471">
        <f>vlookup("922-096517-500",B:AZ,column(v1),0)*e471</f>
        <v>0</v>
      </c>
      <c r="X471">
        <f>vlookup("922-096517-500",B:AZ,column(w1),0)*e471</f>
        <v>0</v>
      </c>
      <c r="Y471">
        <f>vlookup("922-096517-500",B:AZ,column(x1),0)*e471</f>
        <v>0</v>
      </c>
      <c r="Z471">
        <f>vlookup("922-096517-500",B:AZ,column(y1),0)*e471</f>
        <v>0</v>
      </c>
      <c r="AA471">
        <f>vlookup("922-096517-500",B:AZ,column(z1),0)*e471</f>
        <v>0</v>
      </c>
      <c r="AB471">
        <f>vlookup("922-096517-500",B:AZ,column(aa1),0)*e471</f>
        <v>0</v>
      </c>
      <c r="AC471">
        <f>vlookup("922-096517-500",B:AZ,column(ab1),0)*e471</f>
        <v>0</v>
      </c>
      <c r="AD471">
        <f>vlookup("922-096517-500",B:AZ,column(ac1),0)*e471</f>
        <v>0</v>
      </c>
      <c r="AE471">
        <f>vlookup("922-096517-500",B:AZ,column(ad1),0)*e471</f>
        <v>0</v>
      </c>
      <c r="AF471">
        <f>vlookup("922-096517-500",B:AZ,column(ae1),0)*e471</f>
        <v>0</v>
      </c>
      <c r="AG471">
        <f>vlookup("922-096517-500",B:AZ,column(af1),0)*e471</f>
        <v>0</v>
      </c>
      <c r="AH471">
        <f>vlookup("922-096517-500",B:AZ,column(ag1),0)*e471</f>
        <v>0</v>
      </c>
      <c r="AI471">
        <f>vlookup("922-096517-500",B:AZ,column(ah1),0)*e471</f>
        <v>0</v>
      </c>
      <c r="AJ471">
        <f>vlookup("922-096517-500",B:AZ,column(ai1),0)*e471</f>
        <v>0</v>
      </c>
      <c r="AK471">
        <f>vlookup("922-096517-500",B:AZ,column(aj1),0)*e471</f>
        <v>0</v>
      </c>
      <c r="AL471">
        <f>vlookup("922-096517-500",B:AZ,column(ak1),0)*e471</f>
        <v>0</v>
      </c>
      <c r="AM471">
        <f>vlookup("922-096517-500",B:AZ,column(al1),0)*e471</f>
        <v>0</v>
      </c>
      <c r="AN471">
        <f>vlookup("922-096517-500",B:AZ,column(am1),0)*e471</f>
        <v>0</v>
      </c>
      <c r="AO471">
        <f>vlookup("922-096517-500",B:AZ,column(an1),0)*e471</f>
        <v>0</v>
      </c>
    </row>
    <row r="472" spans="1:41">
      <c r="A472" t="s">
        <v>43</v>
      </c>
      <c r="B472" t="s">
        <v>480</v>
      </c>
      <c r="C472" t="s">
        <v>481</v>
      </c>
      <c r="E472">
        <v>0.05</v>
      </c>
      <c r="F472" t="s">
        <v>13</v>
      </c>
      <c r="I472" t="s">
        <v>15</v>
      </c>
      <c r="J472">
        <f>vlookup("922-096517-500",B:AZ,column(i1),0)*e472</f>
        <v>0</v>
      </c>
      <c r="K472">
        <f>vlookup("922-096517-500",B:AZ,column(j1),0)*e472</f>
        <v>0</v>
      </c>
      <c r="L472">
        <f>vlookup("922-096517-500",B:AZ,column(k1),0)*e472</f>
        <v>0</v>
      </c>
      <c r="M472">
        <f>vlookup("922-096517-500",B:AZ,column(l1),0)*e472</f>
        <v>0</v>
      </c>
      <c r="N472">
        <f>vlookup("922-096517-500",B:AZ,column(m1),0)*e472</f>
        <v>0</v>
      </c>
      <c r="O472">
        <f>vlookup("922-096517-500",B:AZ,column(n1),0)*e472</f>
        <v>0</v>
      </c>
      <c r="P472">
        <f>vlookup("922-096517-500",B:AZ,column(o1),0)*e472</f>
        <v>0</v>
      </c>
      <c r="Q472">
        <f>vlookup("922-096517-500",B:AZ,column(p1),0)*e472</f>
        <v>0</v>
      </c>
      <c r="R472">
        <f>vlookup("922-096517-500",B:AZ,column(q1),0)*e472</f>
        <v>0</v>
      </c>
      <c r="S472">
        <f>vlookup("922-096517-500",B:AZ,column(r1),0)*e472</f>
        <v>0</v>
      </c>
      <c r="T472">
        <f>vlookup("922-096517-500",B:AZ,column(s1),0)*e472</f>
        <v>0</v>
      </c>
      <c r="U472">
        <f>vlookup("922-096517-500",B:AZ,column(t1),0)*e472</f>
        <v>0</v>
      </c>
      <c r="V472">
        <f>vlookup("922-096517-500",B:AZ,column(u1),0)*e472</f>
        <v>0</v>
      </c>
      <c r="W472">
        <f>vlookup("922-096517-500",B:AZ,column(v1),0)*e472</f>
        <v>0</v>
      </c>
      <c r="X472">
        <f>vlookup("922-096517-500",B:AZ,column(w1),0)*e472</f>
        <v>0</v>
      </c>
      <c r="Y472">
        <f>vlookup("922-096517-500",B:AZ,column(x1),0)*e472</f>
        <v>0</v>
      </c>
      <c r="Z472">
        <f>vlookup("922-096517-500",B:AZ,column(y1),0)*e472</f>
        <v>0</v>
      </c>
      <c r="AA472">
        <f>vlookup("922-096517-500",B:AZ,column(z1),0)*e472</f>
        <v>0</v>
      </c>
      <c r="AB472">
        <f>vlookup("922-096517-500",B:AZ,column(aa1),0)*e472</f>
        <v>0</v>
      </c>
      <c r="AC472">
        <f>vlookup("922-096517-500",B:AZ,column(ab1),0)*e472</f>
        <v>0</v>
      </c>
      <c r="AD472">
        <f>vlookup("922-096517-500",B:AZ,column(ac1),0)*e472</f>
        <v>0</v>
      </c>
      <c r="AE472">
        <f>vlookup("922-096517-500",B:AZ,column(ad1),0)*e472</f>
        <v>0</v>
      </c>
      <c r="AF472">
        <f>vlookup("922-096517-500",B:AZ,column(ae1),0)*e472</f>
        <v>0</v>
      </c>
      <c r="AG472">
        <f>vlookup("922-096517-500",B:AZ,column(af1),0)*e472</f>
        <v>0</v>
      </c>
      <c r="AH472">
        <f>vlookup("922-096517-500",B:AZ,column(ag1),0)*e472</f>
        <v>0</v>
      </c>
      <c r="AI472">
        <f>vlookup("922-096517-500",B:AZ,column(ah1),0)*e472</f>
        <v>0</v>
      </c>
      <c r="AJ472">
        <f>vlookup("922-096517-500",B:AZ,column(ai1),0)*e472</f>
        <v>0</v>
      </c>
      <c r="AK472">
        <f>vlookup("922-096517-500",B:AZ,column(aj1),0)*e472</f>
        <v>0</v>
      </c>
      <c r="AL472">
        <f>vlookup("922-096517-500",B:AZ,column(ak1),0)*e472</f>
        <v>0</v>
      </c>
      <c r="AM472">
        <f>vlookup("922-096517-500",B:AZ,column(al1),0)*e472</f>
        <v>0</v>
      </c>
      <c r="AN472">
        <f>vlookup("922-096517-500",B:AZ,column(am1),0)*e472</f>
        <v>0</v>
      </c>
      <c r="AO472">
        <f>vlookup("922-096517-500",B:AZ,column(an1),0)*e472</f>
        <v>0</v>
      </c>
    </row>
    <row r="473" spans="1:41">
      <c r="A473" t="s">
        <v>10</v>
      </c>
      <c r="B473" t="s">
        <v>482</v>
      </c>
      <c r="C473" t="s">
        <v>447</v>
      </c>
      <c r="E473">
        <v>1</v>
      </c>
      <c r="F473" t="s">
        <v>13</v>
      </c>
      <c r="I473" t="s">
        <v>14</v>
      </c>
      <c r="AO473">
        <f>sum(j473:an473)</f>
        <v>0</v>
      </c>
    </row>
    <row r="474" spans="1:41">
      <c r="I474" t="s">
        <v>15</v>
      </c>
      <c r="J474">
        <f>vlookup("922-096517-600",Out!B:AZ,column(i1),0)</f>
        <v>0</v>
      </c>
      <c r="K474">
        <f>vlookup("922-096517-600",Out!B:AZ,column(j1),0)</f>
        <v>0</v>
      </c>
      <c r="L474">
        <f>vlookup("922-096517-600",Out!B:AZ,column(k1),0)</f>
        <v>0</v>
      </c>
      <c r="M474">
        <f>vlookup("922-096517-600",Out!B:AZ,column(l1),0)</f>
        <v>0</v>
      </c>
      <c r="N474">
        <f>vlookup("922-096517-600",Out!B:AZ,column(m1),0)</f>
        <v>0</v>
      </c>
      <c r="O474">
        <f>vlookup("922-096517-600",Out!B:AZ,column(n1),0)</f>
        <v>0</v>
      </c>
      <c r="P474">
        <f>vlookup("922-096517-600",Out!B:AZ,column(o1),0)</f>
        <v>0</v>
      </c>
      <c r="Q474">
        <f>vlookup("922-096517-600",Out!B:AZ,column(p1),0)</f>
        <v>0</v>
      </c>
      <c r="R474">
        <f>vlookup("922-096517-600",Out!B:AZ,column(q1),0)</f>
        <v>0</v>
      </c>
      <c r="S474">
        <f>vlookup("922-096517-600",Out!B:AZ,column(r1),0)</f>
        <v>0</v>
      </c>
      <c r="T474">
        <f>vlookup("922-096517-600",Out!B:AZ,column(s1),0)</f>
        <v>0</v>
      </c>
      <c r="U474">
        <f>vlookup("922-096517-600",Out!B:AZ,column(t1),0)</f>
        <v>0</v>
      </c>
      <c r="V474">
        <f>vlookup("922-096517-600",Out!B:AZ,column(u1),0)</f>
        <v>0</v>
      </c>
      <c r="W474">
        <f>vlookup("922-096517-600",Out!B:AZ,column(v1),0)</f>
        <v>0</v>
      </c>
      <c r="X474">
        <f>vlookup("922-096517-600",Out!B:AZ,column(w1),0)</f>
        <v>0</v>
      </c>
      <c r="Y474">
        <f>vlookup("922-096517-600",Out!B:AZ,column(x1),0)</f>
        <v>0</v>
      </c>
      <c r="Z474">
        <f>vlookup("922-096517-600",Out!B:AZ,column(y1),0)</f>
        <v>0</v>
      </c>
      <c r="AA474">
        <f>vlookup("922-096517-600",Out!B:AZ,column(z1),0)</f>
        <v>0</v>
      </c>
      <c r="AB474">
        <f>vlookup("922-096517-600",Out!B:AZ,column(aa1),0)</f>
        <v>0</v>
      </c>
      <c r="AC474">
        <f>vlookup("922-096517-600",Out!B:AZ,column(ab1),0)</f>
        <v>0</v>
      </c>
      <c r="AD474">
        <f>vlookup("922-096517-600",Out!B:AZ,column(ac1),0)</f>
        <v>0</v>
      </c>
      <c r="AE474">
        <f>vlookup("922-096517-600",Out!B:AZ,column(ad1),0)</f>
        <v>0</v>
      </c>
      <c r="AF474">
        <f>vlookup("922-096517-600",Out!B:AZ,column(ae1),0)</f>
        <v>0</v>
      </c>
      <c r="AG474">
        <f>vlookup("922-096517-600",Out!B:AZ,column(af1),0)</f>
        <v>0</v>
      </c>
      <c r="AH474">
        <f>vlookup("922-096517-600",Out!B:AZ,column(ag1),0)</f>
        <v>0</v>
      </c>
      <c r="AI474">
        <f>vlookup("922-096517-600",Out!B:AZ,column(ah1),0)</f>
        <v>0</v>
      </c>
      <c r="AJ474">
        <f>vlookup("922-096517-600",Out!B:AZ,column(ai1),0)</f>
        <v>0</v>
      </c>
      <c r="AK474">
        <f>vlookup("922-096517-600",Out!B:AZ,column(aj1),0)</f>
        <v>0</v>
      </c>
      <c r="AL474">
        <f>vlookup("922-096517-600",Out!B:AZ,column(ak1),0)</f>
        <v>0</v>
      </c>
      <c r="AM474">
        <f>vlookup("922-096517-600",Out!B:AZ,column(al1),0)</f>
        <v>0</v>
      </c>
      <c r="AN474">
        <f>vlookup("922-096517-600",Out!B:AZ,column(am1),0)</f>
        <v>0</v>
      </c>
      <c r="AO474">
        <f>vlookup("922-096517-600",Out!B:AZ,column(an1),0)</f>
        <v>0</v>
      </c>
    </row>
    <row r="475" spans="1:41">
      <c r="H475" t="s">
        <v>16</v>
      </c>
      <c r="J475">
        <f>indirect(address(475,9))+indirect(address(473,10))-indirect(address(474,10))</f>
        <v>0</v>
      </c>
      <c r="K475">
        <f>indirect(address(475,10))+indirect(address(473,11))-indirect(address(474,11))</f>
        <v>0</v>
      </c>
      <c r="L475">
        <f>indirect(address(475,11))+indirect(address(473,12))-indirect(address(474,12))</f>
        <v>0</v>
      </c>
      <c r="M475">
        <f>indirect(address(475,12))+indirect(address(473,13))-indirect(address(474,13))</f>
        <v>0</v>
      </c>
      <c r="N475">
        <f>indirect(address(475,13))+indirect(address(473,14))-indirect(address(474,14))</f>
        <v>0</v>
      </c>
      <c r="O475">
        <f>indirect(address(475,14))+indirect(address(473,15))-indirect(address(474,15))</f>
        <v>0</v>
      </c>
      <c r="P475">
        <f>indirect(address(475,15))+indirect(address(473,16))-indirect(address(474,16))</f>
        <v>0</v>
      </c>
      <c r="Q475">
        <f>indirect(address(475,16))+indirect(address(473,17))-indirect(address(474,17))</f>
        <v>0</v>
      </c>
      <c r="R475">
        <f>indirect(address(475,17))+indirect(address(473,18))-indirect(address(474,18))</f>
        <v>0</v>
      </c>
      <c r="S475">
        <f>indirect(address(475,18))+indirect(address(473,19))-indirect(address(474,19))</f>
        <v>0</v>
      </c>
      <c r="T475">
        <f>indirect(address(475,19))+indirect(address(473,20))-indirect(address(474,20))</f>
        <v>0</v>
      </c>
      <c r="U475">
        <f>indirect(address(475,20))+indirect(address(473,21))-indirect(address(474,21))</f>
        <v>0</v>
      </c>
      <c r="V475">
        <f>indirect(address(475,21))+indirect(address(473,22))-indirect(address(474,22))</f>
        <v>0</v>
      </c>
      <c r="W475">
        <f>indirect(address(475,22))+indirect(address(473,23))-indirect(address(474,23))</f>
        <v>0</v>
      </c>
      <c r="X475">
        <f>indirect(address(475,23))+indirect(address(473,24))-indirect(address(474,24))</f>
        <v>0</v>
      </c>
      <c r="Y475">
        <f>indirect(address(475,24))+indirect(address(473,25))-indirect(address(474,25))</f>
        <v>0</v>
      </c>
      <c r="Z475">
        <f>indirect(address(475,25))+indirect(address(473,26))-indirect(address(474,26))</f>
        <v>0</v>
      </c>
      <c r="AA475">
        <f>indirect(address(475,26))+indirect(address(473,27))-indirect(address(474,27))</f>
        <v>0</v>
      </c>
      <c r="AB475">
        <f>indirect(address(475,27))+indirect(address(473,28))-indirect(address(474,28))</f>
        <v>0</v>
      </c>
      <c r="AC475">
        <f>indirect(address(475,28))+indirect(address(473,29))-indirect(address(474,29))</f>
        <v>0</v>
      </c>
      <c r="AD475">
        <f>indirect(address(475,29))+indirect(address(473,30))-indirect(address(474,30))</f>
        <v>0</v>
      </c>
      <c r="AE475">
        <f>indirect(address(475,30))+indirect(address(473,31))-indirect(address(474,31))</f>
        <v>0</v>
      </c>
      <c r="AF475">
        <f>indirect(address(475,31))+indirect(address(473,32))-indirect(address(474,32))</f>
        <v>0</v>
      </c>
      <c r="AG475">
        <f>indirect(address(475,32))+indirect(address(473,33))-indirect(address(474,33))</f>
        <v>0</v>
      </c>
      <c r="AH475">
        <f>indirect(address(475,33))+indirect(address(473,34))-indirect(address(474,34))</f>
        <v>0</v>
      </c>
      <c r="AI475">
        <f>indirect(address(475,34))+indirect(address(473,35))-indirect(address(474,35))</f>
        <v>0</v>
      </c>
      <c r="AJ475">
        <f>indirect(address(475,35))+indirect(address(473,36))-indirect(address(474,36))</f>
        <v>0</v>
      </c>
      <c r="AK475">
        <f>indirect(address(475,36))+indirect(address(473,37))-indirect(address(474,37))</f>
        <v>0</v>
      </c>
      <c r="AL475">
        <f>indirect(address(475,37))+indirect(address(473,38))-indirect(address(474,38))</f>
        <v>0</v>
      </c>
      <c r="AM475">
        <f>indirect(address(475,38))+indirect(address(473,39))-indirect(address(474,39))</f>
        <v>0</v>
      </c>
      <c r="AN475">
        <f>indirect(address(475,39))+indirect(address(473,40))-indirect(address(474,40))</f>
        <v>0</v>
      </c>
      <c r="AO475">
        <f>indirect(address(475,40))</f>
        <v>0</v>
      </c>
    </row>
    <row r="476" spans="1:41">
      <c r="A476" t="s">
        <v>17</v>
      </c>
      <c r="B476" t="s">
        <v>462</v>
      </c>
      <c r="C476" t="s">
        <v>463</v>
      </c>
      <c r="E476">
        <v>1</v>
      </c>
      <c r="F476" t="s">
        <v>13</v>
      </c>
      <c r="I476" t="s">
        <v>15</v>
      </c>
      <c r="J476">
        <f>vlookup("922-096517-600",B:AZ,column(i1),0)*e476</f>
        <v>0</v>
      </c>
      <c r="K476">
        <f>vlookup("922-096517-600",B:AZ,column(j1),0)*e476</f>
        <v>0</v>
      </c>
      <c r="L476">
        <f>vlookup("922-096517-600",B:AZ,column(k1),0)*e476</f>
        <v>0</v>
      </c>
      <c r="M476">
        <f>vlookup("922-096517-600",B:AZ,column(l1),0)*e476</f>
        <v>0</v>
      </c>
      <c r="N476">
        <f>vlookup("922-096517-600",B:AZ,column(m1),0)*e476</f>
        <v>0</v>
      </c>
      <c r="O476">
        <f>vlookup("922-096517-600",B:AZ,column(n1),0)*e476</f>
        <v>0</v>
      </c>
      <c r="P476">
        <f>vlookup("922-096517-600",B:AZ,column(o1),0)*e476</f>
        <v>0</v>
      </c>
      <c r="Q476">
        <f>vlookup("922-096517-600",B:AZ,column(p1),0)*e476</f>
        <v>0</v>
      </c>
      <c r="R476">
        <f>vlookup("922-096517-600",B:AZ,column(q1),0)*e476</f>
        <v>0</v>
      </c>
      <c r="S476">
        <f>vlookup("922-096517-600",B:AZ,column(r1),0)*e476</f>
        <v>0</v>
      </c>
      <c r="T476">
        <f>vlookup("922-096517-600",B:AZ,column(s1),0)*e476</f>
        <v>0</v>
      </c>
      <c r="U476">
        <f>vlookup("922-096517-600",B:AZ,column(t1),0)*e476</f>
        <v>0</v>
      </c>
      <c r="V476">
        <f>vlookup("922-096517-600",B:AZ,column(u1),0)*e476</f>
        <v>0</v>
      </c>
      <c r="W476">
        <f>vlookup("922-096517-600",B:AZ,column(v1),0)*e476</f>
        <v>0</v>
      </c>
      <c r="X476">
        <f>vlookup("922-096517-600",B:AZ,column(w1),0)*e476</f>
        <v>0</v>
      </c>
      <c r="Y476">
        <f>vlookup("922-096517-600",B:AZ,column(x1),0)*e476</f>
        <v>0</v>
      </c>
      <c r="Z476">
        <f>vlookup("922-096517-600",B:AZ,column(y1),0)*e476</f>
        <v>0</v>
      </c>
      <c r="AA476">
        <f>vlookup("922-096517-600",B:AZ,column(z1),0)*e476</f>
        <v>0</v>
      </c>
      <c r="AB476">
        <f>vlookup("922-096517-600",B:AZ,column(aa1),0)*e476</f>
        <v>0</v>
      </c>
      <c r="AC476">
        <f>vlookup("922-096517-600",B:AZ,column(ab1),0)*e476</f>
        <v>0</v>
      </c>
      <c r="AD476">
        <f>vlookup("922-096517-600",B:AZ,column(ac1),0)*e476</f>
        <v>0</v>
      </c>
      <c r="AE476">
        <f>vlookup("922-096517-600",B:AZ,column(ad1),0)*e476</f>
        <v>0</v>
      </c>
      <c r="AF476">
        <f>vlookup("922-096517-600",B:AZ,column(ae1),0)*e476</f>
        <v>0</v>
      </c>
      <c r="AG476">
        <f>vlookup("922-096517-600",B:AZ,column(af1),0)*e476</f>
        <v>0</v>
      </c>
      <c r="AH476">
        <f>vlookup("922-096517-600",B:AZ,column(ag1),0)*e476</f>
        <v>0</v>
      </c>
      <c r="AI476">
        <f>vlookup("922-096517-600",B:AZ,column(ah1),0)*e476</f>
        <v>0</v>
      </c>
      <c r="AJ476">
        <f>vlookup("922-096517-600",B:AZ,column(ai1),0)*e476</f>
        <v>0</v>
      </c>
      <c r="AK476">
        <f>vlookup("922-096517-600",B:AZ,column(aj1),0)*e476</f>
        <v>0</v>
      </c>
      <c r="AL476">
        <f>vlookup("922-096517-600",B:AZ,column(ak1),0)*e476</f>
        <v>0</v>
      </c>
      <c r="AM476">
        <f>vlookup("922-096517-600",B:AZ,column(al1),0)*e476</f>
        <v>0</v>
      </c>
      <c r="AN476">
        <f>vlookup("922-096517-600",B:AZ,column(am1),0)*e476</f>
        <v>0</v>
      </c>
      <c r="AO476">
        <f>vlookup("922-096517-600",B:AZ,column(an1),0)*e476</f>
        <v>0</v>
      </c>
    </row>
    <row r="477" spans="1:41">
      <c r="A477" t="s">
        <v>22</v>
      </c>
      <c r="B477" t="s">
        <v>483</v>
      </c>
      <c r="C477" t="s">
        <v>449</v>
      </c>
      <c r="E477">
        <v>1</v>
      </c>
      <c r="F477" t="s">
        <v>13</v>
      </c>
      <c r="I477" t="s">
        <v>15</v>
      </c>
      <c r="J477">
        <f>vlookup("922-096517-600",B:AZ,column(i1),0)*e477</f>
        <v>0</v>
      </c>
      <c r="K477">
        <f>vlookup("922-096517-600",B:AZ,column(j1),0)*e477</f>
        <v>0</v>
      </c>
      <c r="L477">
        <f>vlookup("922-096517-600",B:AZ,column(k1),0)*e477</f>
        <v>0</v>
      </c>
      <c r="M477">
        <f>vlookup("922-096517-600",B:AZ,column(l1),0)*e477</f>
        <v>0</v>
      </c>
      <c r="N477">
        <f>vlookup("922-096517-600",B:AZ,column(m1),0)*e477</f>
        <v>0</v>
      </c>
      <c r="O477">
        <f>vlookup("922-096517-600",B:AZ,column(n1),0)*e477</f>
        <v>0</v>
      </c>
      <c r="P477">
        <f>vlookup("922-096517-600",B:AZ,column(o1),0)*e477</f>
        <v>0</v>
      </c>
      <c r="Q477">
        <f>vlookup("922-096517-600",B:AZ,column(p1),0)*e477</f>
        <v>0</v>
      </c>
      <c r="R477">
        <f>vlookup("922-096517-600",B:AZ,column(q1),0)*e477</f>
        <v>0</v>
      </c>
      <c r="S477">
        <f>vlookup("922-096517-600",B:AZ,column(r1),0)*e477</f>
        <v>0</v>
      </c>
      <c r="T477">
        <f>vlookup("922-096517-600",B:AZ,column(s1),0)*e477</f>
        <v>0</v>
      </c>
      <c r="U477">
        <f>vlookup("922-096517-600",B:AZ,column(t1),0)*e477</f>
        <v>0</v>
      </c>
      <c r="V477">
        <f>vlookup("922-096517-600",B:AZ,column(u1),0)*e477</f>
        <v>0</v>
      </c>
      <c r="W477">
        <f>vlookup("922-096517-600",B:AZ,column(v1),0)*e477</f>
        <v>0</v>
      </c>
      <c r="X477">
        <f>vlookup("922-096517-600",B:AZ,column(w1),0)*e477</f>
        <v>0</v>
      </c>
      <c r="Y477">
        <f>vlookup("922-096517-600",B:AZ,column(x1),0)*e477</f>
        <v>0</v>
      </c>
      <c r="Z477">
        <f>vlookup("922-096517-600",B:AZ,column(y1),0)*e477</f>
        <v>0</v>
      </c>
      <c r="AA477">
        <f>vlookup("922-096517-600",B:AZ,column(z1),0)*e477</f>
        <v>0</v>
      </c>
      <c r="AB477">
        <f>vlookup("922-096517-600",B:AZ,column(aa1),0)*e477</f>
        <v>0</v>
      </c>
      <c r="AC477">
        <f>vlookup("922-096517-600",B:AZ,column(ab1),0)*e477</f>
        <v>0</v>
      </c>
      <c r="AD477">
        <f>vlookup("922-096517-600",B:AZ,column(ac1),0)*e477</f>
        <v>0</v>
      </c>
      <c r="AE477">
        <f>vlookup("922-096517-600",B:AZ,column(ad1),0)*e477</f>
        <v>0</v>
      </c>
      <c r="AF477">
        <f>vlookup("922-096517-600",B:AZ,column(ae1),0)*e477</f>
        <v>0</v>
      </c>
      <c r="AG477">
        <f>vlookup("922-096517-600",B:AZ,column(af1),0)*e477</f>
        <v>0</v>
      </c>
      <c r="AH477">
        <f>vlookup("922-096517-600",B:AZ,column(ag1),0)*e477</f>
        <v>0</v>
      </c>
      <c r="AI477">
        <f>vlookup("922-096517-600",B:AZ,column(ah1),0)*e477</f>
        <v>0</v>
      </c>
      <c r="AJ477">
        <f>vlookup("922-096517-600",B:AZ,column(ai1),0)*e477</f>
        <v>0</v>
      </c>
      <c r="AK477">
        <f>vlookup("922-096517-600",B:AZ,column(aj1),0)*e477</f>
        <v>0</v>
      </c>
      <c r="AL477">
        <f>vlookup("922-096517-600",B:AZ,column(ak1),0)*e477</f>
        <v>0</v>
      </c>
      <c r="AM477">
        <f>vlookup("922-096517-600",B:AZ,column(al1),0)*e477</f>
        <v>0</v>
      </c>
      <c r="AN477">
        <f>vlookup("922-096517-600",B:AZ,column(am1),0)*e477</f>
        <v>0</v>
      </c>
      <c r="AO477">
        <f>vlookup("922-096517-600",B:AZ,column(an1),0)*e477</f>
        <v>0</v>
      </c>
    </row>
    <row r="478" spans="1:41">
      <c r="A478" t="s">
        <v>43</v>
      </c>
      <c r="B478" t="s">
        <v>484</v>
      </c>
      <c r="C478" t="s">
        <v>485</v>
      </c>
      <c r="E478">
        <v>0.05</v>
      </c>
      <c r="F478" t="s">
        <v>13</v>
      </c>
      <c r="I478" t="s">
        <v>15</v>
      </c>
      <c r="J478">
        <f>vlookup("922-096517-600",B:AZ,column(i1),0)*e478</f>
        <v>0</v>
      </c>
      <c r="K478">
        <f>vlookup("922-096517-600",B:AZ,column(j1),0)*e478</f>
        <v>0</v>
      </c>
      <c r="L478">
        <f>vlookup("922-096517-600",B:AZ,column(k1),0)*e478</f>
        <v>0</v>
      </c>
      <c r="M478">
        <f>vlookup("922-096517-600",B:AZ,column(l1),0)*e478</f>
        <v>0</v>
      </c>
      <c r="N478">
        <f>vlookup("922-096517-600",B:AZ,column(m1),0)*e478</f>
        <v>0</v>
      </c>
      <c r="O478">
        <f>vlookup("922-096517-600",B:AZ,column(n1),0)*e478</f>
        <v>0</v>
      </c>
      <c r="P478">
        <f>vlookup("922-096517-600",B:AZ,column(o1),0)*e478</f>
        <v>0</v>
      </c>
      <c r="Q478">
        <f>vlookup("922-096517-600",B:AZ,column(p1),0)*e478</f>
        <v>0</v>
      </c>
      <c r="R478">
        <f>vlookup("922-096517-600",B:AZ,column(q1),0)*e478</f>
        <v>0</v>
      </c>
      <c r="S478">
        <f>vlookup("922-096517-600",B:AZ,column(r1),0)*e478</f>
        <v>0</v>
      </c>
      <c r="T478">
        <f>vlookup("922-096517-600",B:AZ,column(s1),0)*e478</f>
        <v>0</v>
      </c>
      <c r="U478">
        <f>vlookup("922-096517-600",B:AZ,column(t1),0)*e478</f>
        <v>0</v>
      </c>
      <c r="V478">
        <f>vlookup("922-096517-600",B:AZ,column(u1),0)*e478</f>
        <v>0</v>
      </c>
      <c r="W478">
        <f>vlookup("922-096517-600",B:AZ,column(v1),0)*e478</f>
        <v>0</v>
      </c>
      <c r="X478">
        <f>vlookup("922-096517-600",B:AZ,column(w1),0)*e478</f>
        <v>0</v>
      </c>
      <c r="Y478">
        <f>vlookup("922-096517-600",B:AZ,column(x1),0)*e478</f>
        <v>0</v>
      </c>
      <c r="Z478">
        <f>vlookup("922-096517-600",B:AZ,column(y1),0)*e478</f>
        <v>0</v>
      </c>
      <c r="AA478">
        <f>vlookup("922-096517-600",B:AZ,column(z1),0)*e478</f>
        <v>0</v>
      </c>
      <c r="AB478">
        <f>vlookup("922-096517-600",B:AZ,column(aa1),0)*e478</f>
        <v>0</v>
      </c>
      <c r="AC478">
        <f>vlookup("922-096517-600",B:AZ,column(ab1),0)*e478</f>
        <v>0</v>
      </c>
      <c r="AD478">
        <f>vlookup("922-096517-600",B:AZ,column(ac1),0)*e478</f>
        <v>0</v>
      </c>
      <c r="AE478">
        <f>vlookup("922-096517-600",B:AZ,column(ad1),0)*e478</f>
        <v>0</v>
      </c>
      <c r="AF478">
        <f>vlookup("922-096517-600",B:AZ,column(ae1),0)*e478</f>
        <v>0</v>
      </c>
      <c r="AG478">
        <f>vlookup("922-096517-600",B:AZ,column(af1),0)*e478</f>
        <v>0</v>
      </c>
      <c r="AH478">
        <f>vlookup("922-096517-600",B:AZ,column(ag1),0)*e478</f>
        <v>0</v>
      </c>
      <c r="AI478">
        <f>vlookup("922-096517-600",B:AZ,column(ah1),0)*e478</f>
        <v>0</v>
      </c>
      <c r="AJ478">
        <f>vlookup("922-096517-600",B:AZ,column(ai1),0)*e478</f>
        <v>0</v>
      </c>
      <c r="AK478">
        <f>vlookup("922-096517-600",B:AZ,column(aj1),0)*e478</f>
        <v>0</v>
      </c>
      <c r="AL478">
        <f>vlookup("922-096517-600",B:AZ,column(ak1),0)*e478</f>
        <v>0</v>
      </c>
      <c r="AM478">
        <f>vlookup("922-096517-600",B:AZ,column(al1),0)*e478</f>
        <v>0</v>
      </c>
      <c r="AN478">
        <f>vlookup("922-096517-600",B:AZ,column(am1),0)*e478</f>
        <v>0</v>
      </c>
      <c r="AO478">
        <f>vlookup("922-096517-600",B:AZ,column(an1),0)*e478</f>
        <v>0</v>
      </c>
    </row>
    <row r="479" spans="1:41">
      <c r="A479" t="s">
        <v>10</v>
      </c>
      <c r="B479" t="s">
        <v>486</v>
      </c>
      <c r="C479" t="s">
        <v>487</v>
      </c>
      <c r="E479">
        <v>1</v>
      </c>
      <c r="F479" t="s">
        <v>13</v>
      </c>
      <c r="I479" t="s">
        <v>14</v>
      </c>
      <c r="AO479">
        <f>sum(j479:an479)</f>
        <v>0</v>
      </c>
    </row>
    <row r="480" spans="1:41">
      <c r="I480" t="s">
        <v>15</v>
      </c>
      <c r="J480">
        <f>vlookup("906-286000-110",Out!B:AZ,column(i1),0)</f>
        <v>0</v>
      </c>
      <c r="K480">
        <f>vlookup("906-286000-110",Out!B:AZ,column(j1),0)</f>
        <v>0</v>
      </c>
      <c r="L480">
        <f>vlookup("906-286000-110",Out!B:AZ,column(k1),0)</f>
        <v>0</v>
      </c>
      <c r="M480">
        <f>vlookup("906-286000-110",Out!B:AZ,column(l1),0)</f>
        <v>0</v>
      </c>
      <c r="N480">
        <f>vlookup("906-286000-110",Out!B:AZ,column(m1),0)</f>
        <v>0</v>
      </c>
      <c r="O480">
        <f>vlookup("906-286000-110",Out!B:AZ,column(n1),0)</f>
        <v>0</v>
      </c>
      <c r="P480">
        <f>vlookup("906-286000-110",Out!B:AZ,column(o1),0)</f>
        <v>0</v>
      </c>
      <c r="Q480">
        <f>vlookup("906-286000-110",Out!B:AZ,column(p1),0)</f>
        <v>0</v>
      </c>
      <c r="R480">
        <f>vlookup("906-286000-110",Out!B:AZ,column(q1),0)</f>
        <v>0</v>
      </c>
      <c r="S480">
        <f>vlookup("906-286000-110",Out!B:AZ,column(r1),0)</f>
        <v>0</v>
      </c>
      <c r="T480">
        <f>vlookup("906-286000-110",Out!B:AZ,column(s1),0)</f>
        <v>0</v>
      </c>
      <c r="U480">
        <f>vlookup("906-286000-110",Out!B:AZ,column(t1),0)</f>
        <v>0</v>
      </c>
      <c r="V480">
        <f>vlookup("906-286000-110",Out!B:AZ,column(u1),0)</f>
        <v>0</v>
      </c>
      <c r="W480">
        <f>vlookup("906-286000-110",Out!B:AZ,column(v1),0)</f>
        <v>0</v>
      </c>
      <c r="X480">
        <f>vlookup("906-286000-110",Out!B:AZ,column(w1),0)</f>
        <v>0</v>
      </c>
      <c r="Y480">
        <f>vlookup("906-286000-110",Out!B:AZ,column(x1),0)</f>
        <v>0</v>
      </c>
      <c r="Z480">
        <f>vlookup("906-286000-110",Out!B:AZ,column(y1),0)</f>
        <v>0</v>
      </c>
      <c r="AA480">
        <f>vlookup("906-286000-110",Out!B:AZ,column(z1),0)</f>
        <v>0</v>
      </c>
      <c r="AB480">
        <f>vlookup("906-286000-110",Out!B:AZ,column(aa1),0)</f>
        <v>0</v>
      </c>
      <c r="AC480">
        <f>vlookup("906-286000-110",Out!B:AZ,column(ab1),0)</f>
        <v>0</v>
      </c>
      <c r="AD480">
        <f>vlookup("906-286000-110",Out!B:AZ,column(ac1),0)</f>
        <v>0</v>
      </c>
      <c r="AE480">
        <f>vlookup("906-286000-110",Out!B:AZ,column(ad1),0)</f>
        <v>0</v>
      </c>
      <c r="AF480">
        <f>vlookup("906-286000-110",Out!B:AZ,column(ae1),0)</f>
        <v>0</v>
      </c>
      <c r="AG480">
        <f>vlookup("906-286000-110",Out!B:AZ,column(af1),0)</f>
        <v>0</v>
      </c>
      <c r="AH480">
        <f>vlookup("906-286000-110",Out!B:AZ,column(ag1),0)</f>
        <v>0</v>
      </c>
      <c r="AI480">
        <f>vlookup("906-286000-110",Out!B:AZ,column(ah1),0)</f>
        <v>0</v>
      </c>
      <c r="AJ480">
        <f>vlookup("906-286000-110",Out!B:AZ,column(ai1),0)</f>
        <v>0</v>
      </c>
      <c r="AK480">
        <f>vlookup("906-286000-110",Out!B:AZ,column(aj1),0)</f>
        <v>0</v>
      </c>
      <c r="AL480">
        <f>vlookup("906-286000-110",Out!B:AZ,column(ak1),0)</f>
        <v>0</v>
      </c>
      <c r="AM480">
        <f>vlookup("906-286000-110",Out!B:AZ,column(al1),0)</f>
        <v>0</v>
      </c>
      <c r="AN480">
        <f>vlookup("906-286000-110",Out!B:AZ,column(am1),0)</f>
        <v>0</v>
      </c>
      <c r="AO480">
        <f>vlookup("906-286000-110",Out!B:AZ,column(an1),0)</f>
        <v>0</v>
      </c>
    </row>
    <row r="481" spans="1:41">
      <c r="H481" t="s">
        <v>16</v>
      </c>
      <c r="J481">
        <f>indirect(address(481,9))+indirect(address(479,10))-indirect(address(480,10))</f>
        <v>0</v>
      </c>
      <c r="K481">
        <f>indirect(address(481,10))+indirect(address(479,11))-indirect(address(480,11))</f>
        <v>0</v>
      </c>
      <c r="L481">
        <f>indirect(address(481,11))+indirect(address(479,12))-indirect(address(480,12))</f>
        <v>0</v>
      </c>
      <c r="M481">
        <f>indirect(address(481,12))+indirect(address(479,13))-indirect(address(480,13))</f>
        <v>0</v>
      </c>
      <c r="N481">
        <f>indirect(address(481,13))+indirect(address(479,14))-indirect(address(480,14))</f>
        <v>0</v>
      </c>
      <c r="O481">
        <f>indirect(address(481,14))+indirect(address(479,15))-indirect(address(480,15))</f>
        <v>0</v>
      </c>
      <c r="P481">
        <f>indirect(address(481,15))+indirect(address(479,16))-indirect(address(480,16))</f>
        <v>0</v>
      </c>
      <c r="Q481">
        <f>indirect(address(481,16))+indirect(address(479,17))-indirect(address(480,17))</f>
        <v>0</v>
      </c>
      <c r="R481">
        <f>indirect(address(481,17))+indirect(address(479,18))-indirect(address(480,18))</f>
        <v>0</v>
      </c>
      <c r="S481">
        <f>indirect(address(481,18))+indirect(address(479,19))-indirect(address(480,19))</f>
        <v>0</v>
      </c>
      <c r="T481">
        <f>indirect(address(481,19))+indirect(address(479,20))-indirect(address(480,20))</f>
        <v>0</v>
      </c>
      <c r="U481">
        <f>indirect(address(481,20))+indirect(address(479,21))-indirect(address(480,21))</f>
        <v>0</v>
      </c>
      <c r="V481">
        <f>indirect(address(481,21))+indirect(address(479,22))-indirect(address(480,22))</f>
        <v>0</v>
      </c>
      <c r="W481">
        <f>indirect(address(481,22))+indirect(address(479,23))-indirect(address(480,23))</f>
        <v>0</v>
      </c>
      <c r="X481">
        <f>indirect(address(481,23))+indirect(address(479,24))-indirect(address(480,24))</f>
        <v>0</v>
      </c>
      <c r="Y481">
        <f>indirect(address(481,24))+indirect(address(479,25))-indirect(address(480,25))</f>
        <v>0</v>
      </c>
      <c r="Z481">
        <f>indirect(address(481,25))+indirect(address(479,26))-indirect(address(480,26))</f>
        <v>0</v>
      </c>
      <c r="AA481">
        <f>indirect(address(481,26))+indirect(address(479,27))-indirect(address(480,27))</f>
        <v>0</v>
      </c>
      <c r="AB481">
        <f>indirect(address(481,27))+indirect(address(479,28))-indirect(address(480,28))</f>
        <v>0</v>
      </c>
      <c r="AC481">
        <f>indirect(address(481,28))+indirect(address(479,29))-indirect(address(480,29))</f>
        <v>0</v>
      </c>
      <c r="AD481">
        <f>indirect(address(481,29))+indirect(address(479,30))-indirect(address(480,30))</f>
        <v>0</v>
      </c>
      <c r="AE481">
        <f>indirect(address(481,30))+indirect(address(479,31))-indirect(address(480,31))</f>
        <v>0</v>
      </c>
      <c r="AF481">
        <f>indirect(address(481,31))+indirect(address(479,32))-indirect(address(480,32))</f>
        <v>0</v>
      </c>
      <c r="AG481">
        <f>indirect(address(481,32))+indirect(address(479,33))-indirect(address(480,33))</f>
        <v>0</v>
      </c>
      <c r="AH481">
        <f>indirect(address(481,33))+indirect(address(479,34))-indirect(address(480,34))</f>
        <v>0</v>
      </c>
      <c r="AI481">
        <f>indirect(address(481,34))+indirect(address(479,35))-indirect(address(480,35))</f>
        <v>0</v>
      </c>
      <c r="AJ481">
        <f>indirect(address(481,35))+indirect(address(479,36))-indirect(address(480,36))</f>
        <v>0</v>
      </c>
      <c r="AK481">
        <f>indirect(address(481,36))+indirect(address(479,37))-indirect(address(480,37))</f>
        <v>0</v>
      </c>
      <c r="AL481">
        <f>indirect(address(481,37))+indirect(address(479,38))-indirect(address(480,38))</f>
        <v>0</v>
      </c>
      <c r="AM481">
        <f>indirect(address(481,38))+indirect(address(479,39))-indirect(address(480,39))</f>
        <v>0</v>
      </c>
      <c r="AN481">
        <f>indirect(address(481,39))+indirect(address(479,40))-indirect(address(480,40))</f>
        <v>0</v>
      </c>
      <c r="AO481">
        <f>indirect(address(481,40))</f>
        <v>0</v>
      </c>
    </row>
    <row r="482" spans="1:41">
      <c r="A482" t="s">
        <v>17</v>
      </c>
      <c r="B482" t="s">
        <v>488</v>
      </c>
      <c r="C482" t="s">
        <v>489</v>
      </c>
      <c r="E482">
        <v>1</v>
      </c>
      <c r="F482" t="s">
        <v>13</v>
      </c>
      <c r="I482" t="s">
        <v>15</v>
      </c>
      <c r="J482">
        <f>vlookup("906-286000-110",B:AZ,column(i1),0)*e482</f>
        <v>0</v>
      </c>
      <c r="K482">
        <f>vlookup("906-286000-110",B:AZ,column(j1),0)*e482</f>
        <v>0</v>
      </c>
      <c r="L482">
        <f>vlookup("906-286000-110",B:AZ,column(k1),0)*e482</f>
        <v>0</v>
      </c>
      <c r="M482">
        <f>vlookup("906-286000-110",B:AZ,column(l1),0)*e482</f>
        <v>0</v>
      </c>
      <c r="N482">
        <f>vlookup("906-286000-110",B:AZ,column(m1),0)*e482</f>
        <v>0</v>
      </c>
      <c r="O482">
        <f>vlookup("906-286000-110",B:AZ,column(n1),0)*e482</f>
        <v>0</v>
      </c>
      <c r="P482">
        <f>vlookup("906-286000-110",B:AZ,column(o1),0)*e482</f>
        <v>0</v>
      </c>
      <c r="Q482">
        <f>vlookup("906-286000-110",B:AZ,column(p1),0)*e482</f>
        <v>0</v>
      </c>
      <c r="R482">
        <f>vlookup("906-286000-110",B:AZ,column(q1),0)*e482</f>
        <v>0</v>
      </c>
      <c r="S482">
        <f>vlookup("906-286000-110",B:AZ,column(r1),0)*e482</f>
        <v>0</v>
      </c>
      <c r="T482">
        <f>vlookup("906-286000-110",B:AZ,column(s1),0)*e482</f>
        <v>0</v>
      </c>
      <c r="U482">
        <f>vlookup("906-286000-110",B:AZ,column(t1),0)*e482</f>
        <v>0</v>
      </c>
      <c r="V482">
        <f>vlookup("906-286000-110",B:AZ,column(u1),0)*e482</f>
        <v>0</v>
      </c>
      <c r="W482">
        <f>vlookup("906-286000-110",B:AZ,column(v1),0)*e482</f>
        <v>0</v>
      </c>
      <c r="X482">
        <f>vlookup("906-286000-110",B:AZ,column(w1),0)*e482</f>
        <v>0</v>
      </c>
      <c r="Y482">
        <f>vlookup("906-286000-110",B:AZ,column(x1),0)*e482</f>
        <v>0</v>
      </c>
      <c r="Z482">
        <f>vlookup("906-286000-110",B:AZ,column(y1),0)*e482</f>
        <v>0</v>
      </c>
      <c r="AA482">
        <f>vlookup("906-286000-110",B:AZ,column(z1),0)*e482</f>
        <v>0</v>
      </c>
      <c r="AB482">
        <f>vlookup("906-286000-110",B:AZ,column(aa1),0)*e482</f>
        <v>0</v>
      </c>
      <c r="AC482">
        <f>vlookup("906-286000-110",B:AZ,column(ab1),0)*e482</f>
        <v>0</v>
      </c>
      <c r="AD482">
        <f>vlookup("906-286000-110",B:AZ,column(ac1),0)*e482</f>
        <v>0</v>
      </c>
      <c r="AE482">
        <f>vlookup("906-286000-110",B:AZ,column(ad1),0)*e482</f>
        <v>0</v>
      </c>
      <c r="AF482">
        <f>vlookup("906-286000-110",B:AZ,column(ae1),0)*e482</f>
        <v>0</v>
      </c>
      <c r="AG482">
        <f>vlookup("906-286000-110",B:AZ,column(af1),0)*e482</f>
        <v>0</v>
      </c>
      <c r="AH482">
        <f>vlookup("906-286000-110",B:AZ,column(ag1),0)*e482</f>
        <v>0</v>
      </c>
      <c r="AI482">
        <f>vlookup("906-286000-110",B:AZ,column(ah1),0)*e482</f>
        <v>0</v>
      </c>
      <c r="AJ482">
        <f>vlookup("906-286000-110",B:AZ,column(ai1),0)*e482</f>
        <v>0</v>
      </c>
      <c r="AK482">
        <f>vlookup("906-286000-110",B:AZ,column(aj1),0)*e482</f>
        <v>0</v>
      </c>
      <c r="AL482">
        <f>vlookup("906-286000-110",B:AZ,column(ak1),0)*e482</f>
        <v>0</v>
      </c>
      <c r="AM482">
        <f>vlookup("906-286000-110",B:AZ,column(al1),0)*e482</f>
        <v>0</v>
      </c>
      <c r="AN482">
        <f>vlookup("906-286000-110",B:AZ,column(am1),0)*e482</f>
        <v>0</v>
      </c>
      <c r="AO482">
        <f>vlookup("906-286000-110",B:AZ,column(an1),0)*e482</f>
        <v>0</v>
      </c>
    </row>
    <row r="483" spans="1:41">
      <c r="A483" t="s">
        <v>17</v>
      </c>
      <c r="B483" t="s">
        <v>490</v>
      </c>
      <c r="C483" t="s">
        <v>491</v>
      </c>
      <c r="E483">
        <v>1</v>
      </c>
      <c r="F483" t="s">
        <v>13</v>
      </c>
      <c r="I483" t="s">
        <v>15</v>
      </c>
      <c r="J483">
        <f>vlookup("906-286000-110",B:AZ,column(i1),0)*e483</f>
        <v>0</v>
      </c>
      <c r="K483">
        <f>vlookup("906-286000-110",B:AZ,column(j1),0)*e483</f>
        <v>0</v>
      </c>
      <c r="L483">
        <f>vlookup("906-286000-110",B:AZ,column(k1),0)*e483</f>
        <v>0</v>
      </c>
      <c r="M483">
        <f>vlookup("906-286000-110",B:AZ,column(l1),0)*e483</f>
        <v>0</v>
      </c>
      <c r="N483">
        <f>vlookup("906-286000-110",B:AZ,column(m1),0)*e483</f>
        <v>0</v>
      </c>
      <c r="O483">
        <f>vlookup("906-286000-110",B:AZ,column(n1),0)*e483</f>
        <v>0</v>
      </c>
      <c r="P483">
        <f>vlookup("906-286000-110",B:AZ,column(o1),0)*e483</f>
        <v>0</v>
      </c>
      <c r="Q483">
        <f>vlookup("906-286000-110",B:AZ,column(p1),0)*e483</f>
        <v>0</v>
      </c>
      <c r="R483">
        <f>vlookup("906-286000-110",B:AZ,column(q1),0)*e483</f>
        <v>0</v>
      </c>
      <c r="S483">
        <f>vlookup("906-286000-110",B:AZ,column(r1),0)*e483</f>
        <v>0</v>
      </c>
      <c r="T483">
        <f>vlookup("906-286000-110",B:AZ,column(s1),0)*e483</f>
        <v>0</v>
      </c>
      <c r="U483">
        <f>vlookup("906-286000-110",B:AZ,column(t1),0)*e483</f>
        <v>0</v>
      </c>
      <c r="V483">
        <f>vlookup("906-286000-110",B:AZ,column(u1),0)*e483</f>
        <v>0</v>
      </c>
      <c r="W483">
        <f>vlookup("906-286000-110",B:AZ,column(v1),0)*e483</f>
        <v>0</v>
      </c>
      <c r="X483">
        <f>vlookup("906-286000-110",B:AZ,column(w1),0)*e483</f>
        <v>0</v>
      </c>
      <c r="Y483">
        <f>vlookup("906-286000-110",B:AZ,column(x1),0)*e483</f>
        <v>0</v>
      </c>
      <c r="Z483">
        <f>vlookup("906-286000-110",B:AZ,column(y1),0)*e483</f>
        <v>0</v>
      </c>
      <c r="AA483">
        <f>vlookup("906-286000-110",B:AZ,column(z1),0)*e483</f>
        <v>0</v>
      </c>
      <c r="AB483">
        <f>vlookup("906-286000-110",B:AZ,column(aa1),0)*e483</f>
        <v>0</v>
      </c>
      <c r="AC483">
        <f>vlookup("906-286000-110",B:AZ,column(ab1),0)*e483</f>
        <v>0</v>
      </c>
      <c r="AD483">
        <f>vlookup("906-286000-110",B:AZ,column(ac1),0)*e483</f>
        <v>0</v>
      </c>
      <c r="AE483">
        <f>vlookup("906-286000-110",B:AZ,column(ad1),0)*e483</f>
        <v>0</v>
      </c>
      <c r="AF483">
        <f>vlookup("906-286000-110",B:AZ,column(ae1),0)*e483</f>
        <v>0</v>
      </c>
      <c r="AG483">
        <f>vlookup("906-286000-110",B:AZ,column(af1),0)*e483</f>
        <v>0</v>
      </c>
      <c r="AH483">
        <f>vlookup("906-286000-110",B:AZ,column(ag1),0)*e483</f>
        <v>0</v>
      </c>
      <c r="AI483">
        <f>vlookup("906-286000-110",B:AZ,column(ah1),0)*e483</f>
        <v>0</v>
      </c>
      <c r="AJ483">
        <f>vlookup("906-286000-110",B:AZ,column(ai1),0)*e483</f>
        <v>0</v>
      </c>
      <c r="AK483">
        <f>vlookup("906-286000-110",B:AZ,column(aj1),0)*e483</f>
        <v>0</v>
      </c>
      <c r="AL483">
        <f>vlookup("906-286000-110",B:AZ,column(ak1),0)*e483</f>
        <v>0</v>
      </c>
      <c r="AM483">
        <f>vlookup("906-286000-110",B:AZ,column(al1),0)*e483</f>
        <v>0</v>
      </c>
      <c r="AN483">
        <f>vlookup("906-286000-110",B:AZ,column(am1),0)*e483</f>
        <v>0</v>
      </c>
      <c r="AO483">
        <f>vlookup("906-286000-110",B:AZ,column(an1),0)*e483</f>
        <v>0</v>
      </c>
    </row>
    <row r="484" spans="1:41">
      <c r="A484" t="s">
        <v>22</v>
      </c>
      <c r="B484" t="s">
        <v>492</v>
      </c>
      <c r="C484" t="s">
        <v>493</v>
      </c>
      <c r="E484">
        <v>1</v>
      </c>
      <c r="F484" t="s">
        <v>13</v>
      </c>
      <c r="I484" t="s">
        <v>15</v>
      </c>
      <c r="J484">
        <f>vlookup("906-286000-110",B:AZ,column(i1),0)*e484</f>
        <v>0</v>
      </c>
      <c r="K484">
        <f>vlookup("906-286000-110",B:AZ,column(j1),0)*e484</f>
        <v>0</v>
      </c>
      <c r="L484">
        <f>vlookup("906-286000-110",B:AZ,column(k1),0)*e484</f>
        <v>0</v>
      </c>
      <c r="M484">
        <f>vlookup("906-286000-110",B:AZ,column(l1),0)*e484</f>
        <v>0</v>
      </c>
      <c r="N484">
        <f>vlookup("906-286000-110",B:AZ,column(m1),0)*e484</f>
        <v>0</v>
      </c>
      <c r="O484">
        <f>vlookup("906-286000-110",B:AZ,column(n1),0)*e484</f>
        <v>0</v>
      </c>
      <c r="P484">
        <f>vlookup("906-286000-110",B:AZ,column(o1),0)*e484</f>
        <v>0</v>
      </c>
      <c r="Q484">
        <f>vlookup("906-286000-110",B:AZ,column(p1),0)*e484</f>
        <v>0</v>
      </c>
      <c r="R484">
        <f>vlookup("906-286000-110",B:AZ,column(q1),0)*e484</f>
        <v>0</v>
      </c>
      <c r="S484">
        <f>vlookup("906-286000-110",B:AZ,column(r1),0)*e484</f>
        <v>0</v>
      </c>
      <c r="T484">
        <f>vlookup("906-286000-110",B:AZ,column(s1),0)*e484</f>
        <v>0</v>
      </c>
      <c r="U484">
        <f>vlookup("906-286000-110",B:AZ,column(t1),0)*e484</f>
        <v>0</v>
      </c>
      <c r="V484">
        <f>vlookup("906-286000-110",B:AZ,column(u1),0)*e484</f>
        <v>0</v>
      </c>
      <c r="W484">
        <f>vlookup("906-286000-110",B:AZ,column(v1),0)*e484</f>
        <v>0</v>
      </c>
      <c r="X484">
        <f>vlookup("906-286000-110",B:AZ,column(w1),0)*e484</f>
        <v>0</v>
      </c>
      <c r="Y484">
        <f>vlookup("906-286000-110",B:AZ,column(x1),0)*e484</f>
        <v>0</v>
      </c>
      <c r="Z484">
        <f>vlookup("906-286000-110",B:AZ,column(y1),0)*e484</f>
        <v>0</v>
      </c>
      <c r="AA484">
        <f>vlookup("906-286000-110",B:AZ,column(z1),0)*e484</f>
        <v>0</v>
      </c>
      <c r="AB484">
        <f>vlookup("906-286000-110",B:AZ,column(aa1),0)*e484</f>
        <v>0</v>
      </c>
      <c r="AC484">
        <f>vlookup("906-286000-110",B:AZ,column(ab1),0)*e484</f>
        <v>0</v>
      </c>
      <c r="AD484">
        <f>vlookup("906-286000-110",B:AZ,column(ac1),0)*e484</f>
        <v>0</v>
      </c>
      <c r="AE484">
        <f>vlookup("906-286000-110",B:AZ,column(ad1),0)*e484</f>
        <v>0</v>
      </c>
      <c r="AF484">
        <f>vlookup("906-286000-110",B:AZ,column(ae1),0)*e484</f>
        <v>0</v>
      </c>
      <c r="AG484">
        <f>vlookup("906-286000-110",B:AZ,column(af1),0)*e484</f>
        <v>0</v>
      </c>
      <c r="AH484">
        <f>vlookup("906-286000-110",B:AZ,column(ag1),0)*e484</f>
        <v>0</v>
      </c>
      <c r="AI484">
        <f>vlookup("906-286000-110",B:AZ,column(ah1),0)*e484</f>
        <v>0</v>
      </c>
      <c r="AJ484">
        <f>vlookup("906-286000-110",B:AZ,column(ai1),0)*e484</f>
        <v>0</v>
      </c>
      <c r="AK484">
        <f>vlookup("906-286000-110",B:AZ,column(aj1),0)*e484</f>
        <v>0</v>
      </c>
      <c r="AL484">
        <f>vlookup("906-286000-110",B:AZ,column(ak1),0)*e484</f>
        <v>0</v>
      </c>
      <c r="AM484">
        <f>vlookup("906-286000-110",B:AZ,column(al1),0)*e484</f>
        <v>0</v>
      </c>
      <c r="AN484">
        <f>vlookup("906-286000-110",B:AZ,column(am1),0)*e484</f>
        <v>0</v>
      </c>
      <c r="AO484">
        <f>vlookup("906-286000-110",B:AZ,column(an1),0)*e484</f>
        <v>0</v>
      </c>
    </row>
    <row r="485" spans="1:41">
      <c r="A485" t="s">
        <v>22</v>
      </c>
      <c r="B485" t="s">
        <v>494</v>
      </c>
      <c r="C485" t="s">
        <v>495</v>
      </c>
      <c r="E485">
        <v>1</v>
      </c>
      <c r="F485" t="s">
        <v>13</v>
      </c>
      <c r="I485" t="s">
        <v>15</v>
      </c>
      <c r="J485">
        <f>vlookup("906-286000-110",B:AZ,column(i1),0)*e485</f>
        <v>0</v>
      </c>
      <c r="K485">
        <f>vlookup("906-286000-110",B:AZ,column(j1),0)*e485</f>
        <v>0</v>
      </c>
      <c r="L485">
        <f>vlookup("906-286000-110",B:AZ,column(k1),0)*e485</f>
        <v>0</v>
      </c>
      <c r="M485">
        <f>vlookup("906-286000-110",B:AZ,column(l1),0)*e485</f>
        <v>0</v>
      </c>
      <c r="N485">
        <f>vlookup("906-286000-110",B:AZ,column(m1),0)*e485</f>
        <v>0</v>
      </c>
      <c r="O485">
        <f>vlookup("906-286000-110",B:AZ,column(n1),0)*e485</f>
        <v>0</v>
      </c>
      <c r="P485">
        <f>vlookup("906-286000-110",B:AZ,column(o1),0)*e485</f>
        <v>0</v>
      </c>
      <c r="Q485">
        <f>vlookup("906-286000-110",B:AZ,column(p1),0)*e485</f>
        <v>0</v>
      </c>
      <c r="R485">
        <f>vlookup("906-286000-110",B:AZ,column(q1),0)*e485</f>
        <v>0</v>
      </c>
      <c r="S485">
        <f>vlookup("906-286000-110",B:AZ,column(r1),0)*e485</f>
        <v>0</v>
      </c>
      <c r="T485">
        <f>vlookup("906-286000-110",B:AZ,column(s1),0)*e485</f>
        <v>0</v>
      </c>
      <c r="U485">
        <f>vlookup("906-286000-110",B:AZ,column(t1),0)*e485</f>
        <v>0</v>
      </c>
      <c r="V485">
        <f>vlookup("906-286000-110",B:AZ,column(u1),0)*e485</f>
        <v>0</v>
      </c>
      <c r="W485">
        <f>vlookup("906-286000-110",B:AZ,column(v1),0)*e485</f>
        <v>0</v>
      </c>
      <c r="X485">
        <f>vlookup("906-286000-110",B:AZ,column(w1),0)*e485</f>
        <v>0</v>
      </c>
      <c r="Y485">
        <f>vlookup("906-286000-110",B:AZ,column(x1),0)*e485</f>
        <v>0</v>
      </c>
      <c r="Z485">
        <f>vlookup("906-286000-110",B:AZ,column(y1),0)*e485</f>
        <v>0</v>
      </c>
      <c r="AA485">
        <f>vlookup("906-286000-110",B:AZ,column(z1),0)*e485</f>
        <v>0</v>
      </c>
      <c r="AB485">
        <f>vlookup("906-286000-110",B:AZ,column(aa1),0)*e485</f>
        <v>0</v>
      </c>
      <c r="AC485">
        <f>vlookup("906-286000-110",B:AZ,column(ab1),0)*e485</f>
        <v>0</v>
      </c>
      <c r="AD485">
        <f>vlookup("906-286000-110",B:AZ,column(ac1),0)*e485</f>
        <v>0</v>
      </c>
      <c r="AE485">
        <f>vlookup("906-286000-110",B:AZ,column(ad1),0)*e485</f>
        <v>0</v>
      </c>
      <c r="AF485">
        <f>vlookup("906-286000-110",B:AZ,column(ae1),0)*e485</f>
        <v>0</v>
      </c>
      <c r="AG485">
        <f>vlookup("906-286000-110",B:AZ,column(af1),0)*e485</f>
        <v>0</v>
      </c>
      <c r="AH485">
        <f>vlookup("906-286000-110",B:AZ,column(ag1),0)*e485</f>
        <v>0</v>
      </c>
      <c r="AI485">
        <f>vlookup("906-286000-110",B:AZ,column(ah1),0)*e485</f>
        <v>0</v>
      </c>
      <c r="AJ485">
        <f>vlookup("906-286000-110",B:AZ,column(ai1),0)*e485</f>
        <v>0</v>
      </c>
      <c r="AK485">
        <f>vlookup("906-286000-110",B:AZ,column(aj1),0)*e485</f>
        <v>0</v>
      </c>
      <c r="AL485">
        <f>vlookup("906-286000-110",B:AZ,column(ak1),0)*e485</f>
        <v>0</v>
      </c>
      <c r="AM485">
        <f>vlookup("906-286000-110",B:AZ,column(al1),0)*e485</f>
        <v>0</v>
      </c>
      <c r="AN485">
        <f>vlookup("906-286000-110",B:AZ,column(am1),0)*e485</f>
        <v>0</v>
      </c>
      <c r="AO485">
        <f>vlookup("906-286000-110",B:AZ,column(an1),0)*e485</f>
        <v>0</v>
      </c>
    </row>
    <row r="486" spans="1:41">
      <c r="A486" t="s">
        <v>22</v>
      </c>
      <c r="B486" t="s">
        <v>496</v>
      </c>
      <c r="C486" t="s">
        <v>497</v>
      </c>
      <c r="E486">
        <v>1</v>
      </c>
      <c r="F486" t="s">
        <v>13</v>
      </c>
      <c r="I486" t="s">
        <v>15</v>
      </c>
      <c r="J486">
        <f>vlookup("906-286000-110",B:AZ,column(i1),0)*e486</f>
        <v>0</v>
      </c>
      <c r="K486">
        <f>vlookup("906-286000-110",B:AZ,column(j1),0)*e486</f>
        <v>0</v>
      </c>
      <c r="L486">
        <f>vlookup("906-286000-110",B:AZ,column(k1),0)*e486</f>
        <v>0</v>
      </c>
      <c r="M486">
        <f>vlookup("906-286000-110",B:AZ,column(l1),0)*e486</f>
        <v>0</v>
      </c>
      <c r="N486">
        <f>vlookup("906-286000-110",B:AZ,column(m1),0)*e486</f>
        <v>0</v>
      </c>
      <c r="O486">
        <f>vlookup("906-286000-110",B:AZ,column(n1),0)*e486</f>
        <v>0</v>
      </c>
      <c r="P486">
        <f>vlookup("906-286000-110",B:AZ,column(o1),0)*e486</f>
        <v>0</v>
      </c>
      <c r="Q486">
        <f>vlookup("906-286000-110",B:AZ,column(p1),0)*e486</f>
        <v>0</v>
      </c>
      <c r="R486">
        <f>vlookup("906-286000-110",B:AZ,column(q1),0)*e486</f>
        <v>0</v>
      </c>
      <c r="S486">
        <f>vlookup("906-286000-110",B:AZ,column(r1),0)*e486</f>
        <v>0</v>
      </c>
      <c r="T486">
        <f>vlookup("906-286000-110",B:AZ,column(s1),0)*e486</f>
        <v>0</v>
      </c>
      <c r="U486">
        <f>vlookup("906-286000-110",B:AZ,column(t1),0)*e486</f>
        <v>0</v>
      </c>
      <c r="V486">
        <f>vlookup("906-286000-110",B:AZ,column(u1),0)*e486</f>
        <v>0</v>
      </c>
      <c r="W486">
        <f>vlookup("906-286000-110",B:AZ,column(v1),0)*e486</f>
        <v>0</v>
      </c>
      <c r="X486">
        <f>vlookup("906-286000-110",B:AZ,column(w1),0)*e486</f>
        <v>0</v>
      </c>
      <c r="Y486">
        <f>vlookup("906-286000-110",B:AZ,column(x1),0)*e486</f>
        <v>0</v>
      </c>
      <c r="Z486">
        <f>vlookup("906-286000-110",B:AZ,column(y1),0)*e486</f>
        <v>0</v>
      </c>
      <c r="AA486">
        <f>vlookup("906-286000-110",B:AZ,column(z1),0)*e486</f>
        <v>0</v>
      </c>
      <c r="AB486">
        <f>vlookup("906-286000-110",B:AZ,column(aa1),0)*e486</f>
        <v>0</v>
      </c>
      <c r="AC486">
        <f>vlookup("906-286000-110",B:AZ,column(ab1),0)*e486</f>
        <v>0</v>
      </c>
      <c r="AD486">
        <f>vlookup("906-286000-110",B:AZ,column(ac1),0)*e486</f>
        <v>0</v>
      </c>
      <c r="AE486">
        <f>vlookup("906-286000-110",B:AZ,column(ad1),0)*e486</f>
        <v>0</v>
      </c>
      <c r="AF486">
        <f>vlookup("906-286000-110",B:AZ,column(ae1),0)*e486</f>
        <v>0</v>
      </c>
      <c r="AG486">
        <f>vlookup("906-286000-110",B:AZ,column(af1),0)*e486</f>
        <v>0</v>
      </c>
      <c r="AH486">
        <f>vlookup("906-286000-110",B:AZ,column(ag1),0)*e486</f>
        <v>0</v>
      </c>
      <c r="AI486">
        <f>vlookup("906-286000-110",B:AZ,column(ah1),0)*e486</f>
        <v>0</v>
      </c>
      <c r="AJ486">
        <f>vlookup("906-286000-110",B:AZ,column(ai1),0)*e486</f>
        <v>0</v>
      </c>
      <c r="AK486">
        <f>vlookup("906-286000-110",B:AZ,column(aj1),0)*e486</f>
        <v>0</v>
      </c>
      <c r="AL486">
        <f>vlookup("906-286000-110",B:AZ,column(ak1),0)*e486</f>
        <v>0</v>
      </c>
      <c r="AM486">
        <f>vlookup("906-286000-110",B:AZ,column(al1),0)*e486</f>
        <v>0</v>
      </c>
      <c r="AN486">
        <f>vlookup("906-286000-110",B:AZ,column(am1),0)*e486</f>
        <v>0</v>
      </c>
      <c r="AO486">
        <f>vlookup("906-286000-110",B:AZ,column(an1),0)*e486</f>
        <v>0</v>
      </c>
    </row>
    <row r="487" spans="1:41">
      <c r="A487" t="s">
        <v>78</v>
      </c>
      <c r="B487" t="s">
        <v>498</v>
      </c>
      <c r="C487" t="s">
        <v>499</v>
      </c>
      <c r="E487">
        <v>0.03125</v>
      </c>
      <c r="F487" t="s">
        <v>13</v>
      </c>
      <c r="I487" t="s">
        <v>15</v>
      </c>
      <c r="J487">
        <f>vlookup("906-286000-110",B:AZ,column(i1),0)*e487</f>
        <v>0</v>
      </c>
      <c r="K487">
        <f>vlookup("906-286000-110",B:AZ,column(j1),0)*e487</f>
        <v>0</v>
      </c>
      <c r="L487">
        <f>vlookup("906-286000-110",B:AZ,column(k1),0)*e487</f>
        <v>0</v>
      </c>
      <c r="M487">
        <f>vlookup("906-286000-110",B:AZ,column(l1),0)*e487</f>
        <v>0</v>
      </c>
      <c r="N487">
        <f>vlookup("906-286000-110",B:AZ,column(m1),0)*e487</f>
        <v>0</v>
      </c>
      <c r="O487">
        <f>vlookup("906-286000-110",B:AZ,column(n1),0)*e487</f>
        <v>0</v>
      </c>
      <c r="P487">
        <f>vlookup("906-286000-110",B:AZ,column(o1),0)*e487</f>
        <v>0</v>
      </c>
      <c r="Q487">
        <f>vlookup("906-286000-110",B:AZ,column(p1),0)*e487</f>
        <v>0</v>
      </c>
      <c r="R487">
        <f>vlookup("906-286000-110",B:AZ,column(q1),0)*e487</f>
        <v>0</v>
      </c>
      <c r="S487">
        <f>vlookup("906-286000-110",B:AZ,column(r1),0)*e487</f>
        <v>0</v>
      </c>
      <c r="T487">
        <f>vlookup("906-286000-110",B:AZ,column(s1),0)*e487</f>
        <v>0</v>
      </c>
      <c r="U487">
        <f>vlookup("906-286000-110",B:AZ,column(t1),0)*e487</f>
        <v>0</v>
      </c>
      <c r="V487">
        <f>vlookup("906-286000-110",B:AZ,column(u1),0)*e487</f>
        <v>0</v>
      </c>
      <c r="W487">
        <f>vlookup("906-286000-110",B:AZ,column(v1),0)*e487</f>
        <v>0</v>
      </c>
      <c r="X487">
        <f>vlookup("906-286000-110",B:AZ,column(w1),0)*e487</f>
        <v>0</v>
      </c>
      <c r="Y487">
        <f>vlookup("906-286000-110",B:AZ,column(x1),0)*e487</f>
        <v>0</v>
      </c>
      <c r="Z487">
        <f>vlookup("906-286000-110",B:AZ,column(y1),0)*e487</f>
        <v>0</v>
      </c>
      <c r="AA487">
        <f>vlookup("906-286000-110",B:AZ,column(z1),0)*e487</f>
        <v>0</v>
      </c>
      <c r="AB487">
        <f>vlookup("906-286000-110",B:AZ,column(aa1),0)*e487</f>
        <v>0</v>
      </c>
      <c r="AC487">
        <f>vlookup("906-286000-110",B:AZ,column(ab1),0)*e487</f>
        <v>0</v>
      </c>
      <c r="AD487">
        <f>vlookup("906-286000-110",B:AZ,column(ac1),0)*e487</f>
        <v>0</v>
      </c>
      <c r="AE487">
        <f>vlookup("906-286000-110",B:AZ,column(ad1),0)*e487</f>
        <v>0</v>
      </c>
      <c r="AF487">
        <f>vlookup("906-286000-110",B:AZ,column(ae1),0)*e487</f>
        <v>0</v>
      </c>
      <c r="AG487">
        <f>vlookup("906-286000-110",B:AZ,column(af1),0)*e487</f>
        <v>0</v>
      </c>
      <c r="AH487">
        <f>vlookup("906-286000-110",B:AZ,column(ag1),0)*e487</f>
        <v>0</v>
      </c>
      <c r="AI487">
        <f>vlookup("906-286000-110",B:AZ,column(ah1),0)*e487</f>
        <v>0</v>
      </c>
      <c r="AJ487">
        <f>vlookup("906-286000-110",B:AZ,column(ai1),0)*e487</f>
        <v>0</v>
      </c>
      <c r="AK487">
        <f>vlookup("906-286000-110",B:AZ,column(aj1),0)*e487</f>
        <v>0</v>
      </c>
      <c r="AL487">
        <f>vlookup("906-286000-110",B:AZ,column(ak1),0)*e487</f>
        <v>0</v>
      </c>
      <c r="AM487">
        <f>vlookup("906-286000-110",B:AZ,column(al1),0)*e487</f>
        <v>0</v>
      </c>
      <c r="AN487">
        <f>vlookup("906-286000-110",B:AZ,column(am1),0)*e487</f>
        <v>0</v>
      </c>
      <c r="AO487">
        <f>vlookup("906-286000-110",B:AZ,column(an1),0)*e487</f>
        <v>0</v>
      </c>
    </row>
    <row r="488" spans="1:41">
      <c r="A488" t="s">
        <v>78</v>
      </c>
      <c r="B488" t="s">
        <v>500</v>
      </c>
      <c r="C488" t="s">
        <v>501</v>
      </c>
      <c r="E488">
        <v>0.21875</v>
      </c>
      <c r="F488" t="s">
        <v>13</v>
      </c>
      <c r="I488" t="s">
        <v>15</v>
      </c>
      <c r="J488">
        <f>vlookup("906-286000-110",B:AZ,column(i1),0)*e488</f>
        <v>0</v>
      </c>
      <c r="K488">
        <f>vlookup("906-286000-110",B:AZ,column(j1),0)*e488</f>
        <v>0</v>
      </c>
      <c r="L488">
        <f>vlookup("906-286000-110",B:AZ,column(k1),0)*e488</f>
        <v>0</v>
      </c>
      <c r="M488">
        <f>vlookup("906-286000-110",B:AZ,column(l1),0)*e488</f>
        <v>0</v>
      </c>
      <c r="N488">
        <f>vlookup("906-286000-110",B:AZ,column(m1),0)*e488</f>
        <v>0</v>
      </c>
      <c r="O488">
        <f>vlookup("906-286000-110",B:AZ,column(n1),0)*e488</f>
        <v>0</v>
      </c>
      <c r="P488">
        <f>vlookup("906-286000-110",B:AZ,column(o1),0)*e488</f>
        <v>0</v>
      </c>
      <c r="Q488">
        <f>vlookup("906-286000-110",B:AZ,column(p1),0)*e488</f>
        <v>0</v>
      </c>
      <c r="R488">
        <f>vlookup("906-286000-110",B:AZ,column(q1),0)*e488</f>
        <v>0</v>
      </c>
      <c r="S488">
        <f>vlookup("906-286000-110",B:AZ,column(r1),0)*e488</f>
        <v>0</v>
      </c>
      <c r="T488">
        <f>vlookup("906-286000-110",B:AZ,column(s1),0)*e488</f>
        <v>0</v>
      </c>
      <c r="U488">
        <f>vlookup("906-286000-110",B:AZ,column(t1),0)*e488</f>
        <v>0</v>
      </c>
      <c r="V488">
        <f>vlookup("906-286000-110",B:AZ,column(u1),0)*e488</f>
        <v>0</v>
      </c>
      <c r="W488">
        <f>vlookup("906-286000-110",B:AZ,column(v1),0)*e488</f>
        <v>0</v>
      </c>
      <c r="X488">
        <f>vlookup("906-286000-110",B:AZ,column(w1),0)*e488</f>
        <v>0</v>
      </c>
      <c r="Y488">
        <f>vlookup("906-286000-110",B:AZ,column(x1),0)*e488</f>
        <v>0</v>
      </c>
      <c r="Z488">
        <f>vlookup("906-286000-110",B:AZ,column(y1),0)*e488</f>
        <v>0</v>
      </c>
      <c r="AA488">
        <f>vlookup("906-286000-110",B:AZ,column(z1),0)*e488</f>
        <v>0</v>
      </c>
      <c r="AB488">
        <f>vlookup("906-286000-110",B:AZ,column(aa1),0)*e488</f>
        <v>0</v>
      </c>
      <c r="AC488">
        <f>vlookup("906-286000-110",B:AZ,column(ab1),0)*e488</f>
        <v>0</v>
      </c>
      <c r="AD488">
        <f>vlookup("906-286000-110",B:AZ,column(ac1),0)*e488</f>
        <v>0</v>
      </c>
      <c r="AE488">
        <f>vlookup("906-286000-110",B:AZ,column(ad1),0)*e488</f>
        <v>0</v>
      </c>
      <c r="AF488">
        <f>vlookup("906-286000-110",B:AZ,column(ae1),0)*e488</f>
        <v>0</v>
      </c>
      <c r="AG488">
        <f>vlookup("906-286000-110",B:AZ,column(af1),0)*e488</f>
        <v>0</v>
      </c>
      <c r="AH488">
        <f>vlookup("906-286000-110",B:AZ,column(ag1),0)*e488</f>
        <v>0</v>
      </c>
      <c r="AI488">
        <f>vlookup("906-286000-110",B:AZ,column(ah1),0)*e488</f>
        <v>0</v>
      </c>
      <c r="AJ488">
        <f>vlookup("906-286000-110",B:AZ,column(ai1),0)*e488</f>
        <v>0</v>
      </c>
      <c r="AK488">
        <f>vlookup("906-286000-110",B:AZ,column(aj1),0)*e488</f>
        <v>0</v>
      </c>
      <c r="AL488">
        <f>vlookup("906-286000-110",B:AZ,column(ak1),0)*e488</f>
        <v>0</v>
      </c>
      <c r="AM488">
        <f>vlookup("906-286000-110",B:AZ,column(al1),0)*e488</f>
        <v>0</v>
      </c>
      <c r="AN488">
        <f>vlookup("906-286000-110",B:AZ,column(am1),0)*e488</f>
        <v>0</v>
      </c>
      <c r="AO488">
        <f>vlookup("906-286000-110",B:AZ,column(an1),0)*e488</f>
        <v>0</v>
      </c>
    </row>
    <row r="489" spans="1:41">
      <c r="A489" t="s">
        <v>10</v>
      </c>
      <c r="B489" t="s">
        <v>502</v>
      </c>
      <c r="C489" t="s">
        <v>503</v>
      </c>
      <c r="E489">
        <v>1</v>
      </c>
      <c r="F489" t="s">
        <v>13</v>
      </c>
      <c r="I489" t="s">
        <v>14</v>
      </c>
      <c r="AO489">
        <f>sum(j489:an489)</f>
        <v>0</v>
      </c>
    </row>
    <row r="490" spans="1:41">
      <c r="I490" t="s">
        <v>15</v>
      </c>
      <c r="J490">
        <f>vlookup("906-376348-210",Out!B:AZ,column(i1),0)</f>
        <v>0</v>
      </c>
      <c r="K490">
        <f>vlookup("906-376348-210",Out!B:AZ,column(j1),0)</f>
        <v>0</v>
      </c>
      <c r="L490">
        <f>vlookup("906-376348-210",Out!B:AZ,column(k1),0)</f>
        <v>0</v>
      </c>
      <c r="M490">
        <f>vlookup("906-376348-210",Out!B:AZ,column(l1),0)</f>
        <v>0</v>
      </c>
      <c r="N490">
        <f>vlookup("906-376348-210",Out!B:AZ,column(m1),0)</f>
        <v>0</v>
      </c>
      <c r="O490">
        <f>vlookup("906-376348-210",Out!B:AZ,column(n1),0)</f>
        <v>0</v>
      </c>
      <c r="P490">
        <f>vlookup("906-376348-210",Out!B:AZ,column(o1),0)</f>
        <v>0</v>
      </c>
      <c r="Q490">
        <f>vlookup("906-376348-210",Out!B:AZ,column(p1),0)</f>
        <v>0</v>
      </c>
      <c r="R490">
        <f>vlookup("906-376348-210",Out!B:AZ,column(q1),0)</f>
        <v>0</v>
      </c>
      <c r="S490">
        <f>vlookup("906-376348-210",Out!B:AZ,column(r1),0)</f>
        <v>0</v>
      </c>
      <c r="T490">
        <f>vlookup("906-376348-210",Out!B:AZ,column(s1),0)</f>
        <v>0</v>
      </c>
      <c r="U490">
        <f>vlookup("906-376348-210",Out!B:AZ,column(t1),0)</f>
        <v>0</v>
      </c>
      <c r="V490">
        <f>vlookup("906-376348-210",Out!B:AZ,column(u1),0)</f>
        <v>0</v>
      </c>
      <c r="W490">
        <f>vlookup("906-376348-210",Out!B:AZ,column(v1),0)</f>
        <v>0</v>
      </c>
      <c r="X490">
        <f>vlookup("906-376348-210",Out!B:AZ,column(w1),0)</f>
        <v>0</v>
      </c>
      <c r="Y490">
        <f>vlookup("906-376348-210",Out!B:AZ,column(x1),0)</f>
        <v>0</v>
      </c>
      <c r="Z490">
        <f>vlookup("906-376348-210",Out!B:AZ,column(y1),0)</f>
        <v>0</v>
      </c>
      <c r="AA490">
        <f>vlookup("906-376348-210",Out!B:AZ,column(z1),0)</f>
        <v>0</v>
      </c>
      <c r="AB490">
        <f>vlookup("906-376348-210",Out!B:AZ,column(aa1),0)</f>
        <v>0</v>
      </c>
      <c r="AC490">
        <f>vlookup("906-376348-210",Out!B:AZ,column(ab1),0)</f>
        <v>0</v>
      </c>
      <c r="AD490">
        <f>vlookup("906-376348-210",Out!B:AZ,column(ac1),0)</f>
        <v>0</v>
      </c>
      <c r="AE490">
        <f>vlookup("906-376348-210",Out!B:AZ,column(ad1),0)</f>
        <v>0</v>
      </c>
      <c r="AF490">
        <f>vlookup("906-376348-210",Out!B:AZ,column(ae1),0)</f>
        <v>0</v>
      </c>
      <c r="AG490">
        <f>vlookup("906-376348-210",Out!B:AZ,column(af1),0)</f>
        <v>0</v>
      </c>
      <c r="AH490">
        <f>vlookup("906-376348-210",Out!B:AZ,column(ag1),0)</f>
        <v>0</v>
      </c>
      <c r="AI490">
        <f>vlookup("906-376348-210",Out!B:AZ,column(ah1),0)</f>
        <v>0</v>
      </c>
      <c r="AJ490">
        <f>vlookup("906-376348-210",Out!B:AZ,column(ai1),0)</f>
        <v>0</v>
      </c>
      <c r="AK490">
        <f>vlookup("906-376348-210",Out!B:AZ,column(aj1),0)</f>
        <v>0</v>
      </c>
      <c r="AL490">
        <f>vlookup("906-376348-210",Out!B:AZ,column(ak1),0)</f>
        <v>0</v>
      </c>
      <c r="AM490">
        <f>vlookup("906-376348-210",Out!B:AZ,column(al1),0)</f>
        <v>0</v>
      </c>
      <c r="AN490">
        <f>vlookup("906-376348-210",Out!B:AZ,column(am1),0)</f>
        <v>0</v>
      </c>
      <c r="AO490">
        <f>vlookup("906-376348-210",Out!B:AZ,column(an1),0)</f>
        <v>0</v>
      </c>
    </row>
    <row r="491" spans="1:41">
      <c r="H491" t="s">
        <v>16</v>
      </c>
      <c r="J491">
        <f>indirect(address(491,9))+indirect(address(489,10))-indirect(address(490,10))</f>
        <v>0</v>
      </c>
      <c r="K491">
        <f>indirect(address(491,10))+indirect(address(489,11))-indirect(address(490,11))</f>
        <v>0</v>
      </c>
      <c r="L491">
        <f>indirect(address(491,11))+indirect(address(489,12))-indirect(address(490,12))</f>
        <v>0</v>
      </c>
      <c r="M491">
        <f>indirect(address(491,12))+indirect(address(489,13))-indirect(address(490,13))</f>
        <v>0</v>
      </c>
      <c r="N491">
        <f>indirect(address(491,13))+indirect(address(489,14))-indirect(address(490,14))</f>
        <v>0</v>
      </c>
      <c r="O491">
        <f>indirect(address(491,14))+indirect(address(489,15))-indirect(address(490,15))</f>
        <v>0</v>
      </c>
      <c r="P491">
        <f>indirect(address(491,15))+indirect(address(489,16))-indirect(address(490,16))</f>
        <v>0</v>
      </c>
      <c r="Q491">
        <f>indirect(address(491,16))+indirect(address(489,17))-indirect(address(490,17))</f>
        <v>0</v>
      </c>
      <c r="R491">
        <f>indirect(address(491,17))+indirect(address(489,18))-indirect(address(490,18))</f>
        <v>0</v>
      </c>
      <c r="S491">
        <f>indirect(address(491,18))+indirect(address(489,19))-indirect(address(490,19))</f>
        <v>0</v>
      </c>
      <c r="T491">
        <f>indirect(address(491,19))+indirect(address(489,20))-indirect(address(490,20))</f>
        <v>0</v>
      </c>
      <c r="U491">
        <f>indirect(address(491,20))+indirect(address(489,21))-indirect(address(490,21))</f>
        <v>0</v>
      </c>
      <c r="V491">
        <f>indirect(address(491,21))+indirect(address(489,22))-indirect(address(490,22))</f>
        <v>0</v>
      </c>
      <c r="W491">
        <f>indirect(address(491,22))+indirect(address(489,23))-indirect(address(490,23))</f>
        <v>0</v>
      </c>
      <c r="X491">
        <f>indirect(address(491,23))+indirect(address(489,24))-indirect(address(490,24))</f>
        <v>0</v>
      </c>
      <c r="Y491">
        <f>indirect(address(491,24))+indirect(address(489,25))-indirect(address(490,25))</f>
        <v>0</v>
      </c>
      <c r="Z491">
        <f>indirect(address(491,25))+indirect(address(489,26))-indirect(address(490,26))</f>
        <v>0</v>
      </c>
      <c r="AA491">
        <f>indirect(address(491,26))+indirect(address(489,27))-indirect(address(490,27))</f>
        <v>0</v>
      </c>
      <c r="AB491">
        <f>indirect(address(491,27))+indirect(address(489,28))-indirect(address(490,28))</f>
        <v>0</v>
      </c>
      <c r="AC491">
        <f>indirect(address(491,28))+indirect(address(489,29))-indirect(address(490,29))</f>
        <v>0</v>
      </c>
      <c r="AD491">
        <f>indirect(address(491,29))+indirect(address(489,30))-indirect(address(490,30))</f>
        <v>0</v>
      </c>
      <c r="AE491">
        <f>indirect(address(491,30))+indirect(address(489,31))-indirect(address(490,31))</f>
        <v>0</v>
      </c>
      <c r="AF491">
        <f>indirect(address(491,31))+indirect(address(489,32))-indirect(address(490,32))</f>
        <v>0</v>
      </c>
      <c r="AG491">
        <f>indirect(address(491,32))+indirect(address(489,33))-indirect(address(490,33))</f>
        <v>0</v>
      </c>
      <c r="AH491">
        <f>indirect(address(491,33))+indirect(address(489,34))-indirect(address(490,34))</f>
        <v>0</v>
      </c>
      <c r="AI491">
        <f>indirect(address(491,34))+indirect(address(489,35))-indirect(address(490,35))</f>
        <v>0</v>
      </c>
      <c r="AJ491">
        <f>indirect(address(491,35))+indirect(address(489,36))-indirect(address(490,36))</f>
        <v>0</v>
      </c>
      <c r="AK491">
        <f>indirect(address(491,36))+indirect(address(489,37))-indirect(address(490,37))</f>
        <v>0</v>
      </c>
      <c r="AL491">
        <f>indirect(address(491,37))+indirect(address(489,38))-indirect(address(490,38))</f>
        <v>0</v>
      </c>
      <c r="AM491">
        <f>indirect(address(491,38))+indirect(address(489,39))-indirect(address(490,39))</f>
        <v>0</v>
      </c>
      <c r="AN491">
        <f>indirect(address(491,39))+indirect(address(489,40))-indirect(address(490,40))</f>
        <v>0</v>
      </c>
      <c r="AO491">
        <f>indirect(address(491,40))</f>
        <v>0</v>
      </c>
    </row>
    <row r="492" spans="1:41">
      <c r="A492" t="s">
        <v>17</v>
      </c>
      <c r="B492" t="s">
        <v>504</v>
      </c>
      <c r="C492" t="s">
        <v>505</v>
      </c>
      <c r="E492">
        <v>1</v>
      </c>
      <c r="F492" t="s">
        <v>13</v>
      </c>
      <c r="I492" t="s">
        <v>15</v>
      </c>
      <c r="J492">
        <f>vlookup("906-376348-210",B:AZ,column(i1),0)*e492</f>
        <v>0</v>
      </c>
      <c r="K492">
        <f>vlookup("906-376348-210",B:AZ,column(j1),0)*e492</f>
        <v>0</v>
      </c>
      <c r="L492">
        <f>vlookup("906-376348-210",B:AZ,column(k1),0)*e492</f>
        <v>0</v>
      </c>
      <c r="M492">
        <f>vlookup("906-376348-210",B:AZ,column(l1),0)*e492</f>
        <v>0</v>
      </c>
      <c r="N492">
        <f>vlookup("906-376348-210",B:AZ,column(m1),0)*e492</f>
        <v>0</v>
      </c>
      <c r="O492">
        <f>vlookup("906-376348-210",B:AZ,column(n1),0)*e492</f>
        <v>0</v>
      </c>
      <c r="P492">
        <f>vlookup("906-376348-210",B:AZ,column(o1),0)*e492</f>
        <v>0</v>
      </c>
      <c r="Q492">
        <f>vlookup("906-376348-210",B:AZ,column(p1),0)*e492</f>
        <v>0</v>
      </c>
      <c r="R492">
        <f>vlookup("906-376348-210",B:AZ,column(q1),0)*e492</f>
        <v>0</v>
      </c>
      <c r="S492">
        <f>vlookup("906-376348-210",B:AZ,column(r1),0)*e492</f>
        <v>0</v>
      </c>
      <c r="T492">
        <f>vlookup("906-376348-210",B:AZ,column(s1),0)*e492</f>
        <v>0</v>
      </c>
      <c r="U492">
        <f>vlookup("906-376348-210",B:AZ,column(t1),0)*e492</f>
        <v>0</v>
      </c>
      <c r="V492">
        <f>vlookup("906-376348-210",B:AZ,column(u1),0)*e492</f>
        <v>0</v>
      </c>
      <c r="W492">
        <f>vlookup("906-376348-210",B:AZ,column(v1),0)*e492</f>
        <v>0</v>
      </c>
      <c r="X492">
        <f>vlookup("906-376348-210",B:AZ,column(w1),0)*e492</f>
        <v>0</v>
      </c>
      <c r="Y492">
        <f>vlookup("906-376348-210",B:AZ,column(x1),0)*e492</f>
        <v>0</v>
      </c>
      <c r="Z492">
        <f>vlookup("906-376348-210",B:AZ,column(y1),0)*e492</f>
        <v>0</v>
      </c>
      <c r="AA492">
        <f>vlookup("906-376348-210",B:AZ,column(z1),0)*e492</f>
        <v>0</v>
      </c>
      <c r="AB492">
        <f>vlookup("906-376348-210",B:AZ,column(aa1),0)*e492</f>
        <v>0</v>
      </c>
      <c r="AC492">
        <f>vlookup("906-376348-210",B:AZ,column(ab1),0)*e492</f>
        <v>0</v>
      </c>
      <c r="AD492">
        <f>vlookup("906-376348-210",B:AZ,column(ac1),0)*e492</f>
        <v>0</v>
      </c>
      <c r="AE492">
        <f>vlookup("906-376348-210",B:AZ,column(ad1),0)*e492</f>
        <v>0</v>
      </c>
      <c r="AF492">
        <f>vlookup("906-376348-210",B:AZ,column(ae1),0)*e492</f>
        <v>0</v>
      </c>
      <c r="AG492">
        <f>vlookup("906-376348-210",B:AZ,column(af1),0)*e492</f>
        <v>0</v>
      </c>
      <c r="AH492">
        <f>vlookup("906-376348-210",B:AZ,column(ag1),0)*e492</f>
        <v>0</v>
      </c>
      <c r="AI492">
        <f>vlookup("906-376348-210",B:AZ,column(ah1),0)*e492</f>
        <v>0</v>
      </c>
      <c r="AJ492">
        <f>vlookup("906-376348-210",B:AZ,column(ai1),0)*e492</f>
        <v>0</v>
      </c>
      <c r="AK492">
        <f>vlookup("906-376348-210",B:AZ,column(aj1),0)*e492</f>
        <v>0</v>
      </c>
      <c r="AL492">
        <f>vlookup("906-376348-210",B:AZ,column(ak1),0)*e492</f>
        <v>0</v>
      </c>
      <c r="AM492">
        <f>vlookup("906-376348-210",B:AZ,column(al1),0)*e492</f>
        <v>0</v>
      </c>
      <c r="AN492">
        <f>vlookup("906-376348-210",B:AZ,column(am1),0)*e492</f>
        <v>0</v>
      </c>
      <c r="AO492">
        <f>vlookup("906-376348-210",B:AZ,column(an1),0)*e492</f>
        <v>0</v>
      </c>
    </row>
    <row r="493" spans="1:41">
      <c r="A493" t="s">
        <v>17</v>
      </c>
      <c r="B493" t="s">
        <v>506</v>
      </c>
      <c r="C493" t="s">
        <v>507</v>
      </c>
      <c r="E493">
        <v>1</v>
      </c>
      <c r="F493" t="s">
        <v>13</v>
      </c>
      <c r="I493" t="s">
        <v>15</v>
      </c>
      <c r="J493">
        <f>vlookup("906-376348-210",B:AZ,column(i1),0)*e493</f>
        <v>0</v>
      </c>
      <c r="K493">
        <f>vlookup("906-376348-210",B:AZ,column(j1),0)*e493</f>
        <v>0</v>
      </c>
      <c r="L493">
        <f>vlookup("906-376348-210",B:AZ,column(k1),0)*e493</f>
        <v>0</v>
      </c>
      <c r="M493">
        <f>vlookup("906-376348-210",B:AZ,column(l1),0)*e493</f>
        <v>0</v>
      </c>
      <c r="N493">
        <f>vlookup("906-376348-210",B:AZ,column(m1),0)*e493</f>
        <v>0</v>
      </c>
      <c r="O493">
        <f>vlookup("906-376348-210",B:AZ,column(n1),0)*e493</f>
        <v>0</v>
      </c>
      <c r="P493">
        <f>vlookup("906-376348-210",B:AZ,column(o1),0)*e493</f>
        <v>0</v>
      </c>
      <c r="Q493">
        <f>vlookup("906-376348-210",B:AZ,column(p1),0)*e493</f>
        <v>0</v>
      </c>
      <c r="R493">
        <f>vlookup("906-376348-210",B:AZ,column(q1),0)*e493</f>
        <v>0</v>
      </c>
      <c r="S493">
        <f>vlookup("906-376348-210",B:AZ,column(r1),0)*e493</f>
        <v>0</v>
      </c>
      <c r="T493">
        <f>vlookup("906-376348-210",B:AZ,column(s1),0)*e493</f>
        <v>0</v>
      </c>
      <c r="U493">
        <f>vlookup("906-376348-210",B:AZ,column(t1),0)*e493</f>
        <v>0</v>
      </c>
      <c r="V493">
        <f>vlookup("906-376348-210",B:AZ,column(u1),0)*e493</f>
        <v>0</v>
      </c>
      <c r="W493">
        <f>vlookup("906-376348-210",B:AZ,column(v1),0)*e493</f>
        <v>0</v>
      </c>
      <c r="X493">
        <f>vlookup("906-376348-210",B:AZ,column(w1),0)*e493</f>
        <v>0</v>
      </c>
      <c r="Y493">
        <f>vlookup("906-376348-210",B:AZ,column(x1),0)*e493</f>
        <v>0</v>
      </c>
      <c r="Z493">
        <f>vlookup("906-376348-210",B:AZ,column(y1),0)*e493</f>
        <v>0</v>
      </c>
      <c r="AA493">
        <f>vlookup("906-376348-210",B:AZ,column(z1),0)*e493</f>
        <v>0</v>
      </c>
      <c r="AB493">
        <f>vlookup("906-376348-210",B:AZ,column(aa1),0)*e493</f>
        <v>0</v>
      </c>
      <c r="AC493">
        <f>vlookup("906-376348-210",B:AZ,column(ab1),0)*e493</f>
        <v>0</v>
      </c>
      <c r="AD493">
        <f>vlookup("906-376348-210",B:AZ,column(ac1),0)*e493</f>
        <v>0</v>
      </c>
      <c r="AE493">
        <f>vlookup("906-376348-210",B:AZ,column(ad1),0)*e493</f>
        <v>0</v>
      </c>
      <c r="AF493">
        <f>vlookup("906-376348-210",B:AZ,column(ae1),0)*e493</f>
        <v>0</v>
      </c>
      <c r="AG493">
        <f>vlookup("906-376348-210",B:AZ,column(af1),0)*e493</f>
        <v>0</v>
      </c>
      <c r="AH493">
        <f>vlookup("906-376348-210",B:AZ,column(ag1),0)*e493</f>
        <v>0</v>
      </c>
      <c r="AI493">
        <f>vlookup("906-376348-210",B:AZ,column(ah1),0)*e493</f>
        <v>0</v>
      </c>
      <c r="AJ493">
        <f>vlookup("906-376348-210",B:AZ,column(ai1),0)*e493</f>
        <v>0</v>
      </c>
      <c r="AK493">
        <f>vlookup("906-376348-210",B:AZ,column(aj1),0)*e493</f>
        <v>0</v>
      </c>
      <c r="AL493">
        <f>vlookup("906-376348-210",B:AZ,column(ak1),0)*e493</f>
        <v>0</v>
      </c>
      <c r="AM493">
        <f>vlookup("906-376348-210",B:AZ,column(al1),0)*e493</f>
        <v>0</v>
      </c>
      <c r="AN493">
        <f>vlookup("906-376348-210",B:AZ,column(am1),0)*e493</f>
        <v>0</v>
      </c>
      <c r="AO493">
        <f>vlookup("906-376348-210",B:AZ,column(an1),0)*e493</f>
        <v>0</v>
      </c>
    </row>
    <row r="494" spans="1:41">
      <c r="A494" t="s">
        <v>22</v>
      </c>
      <c r="B494" t="s">
        <v>508</v>
      </c>
      <c r="C494" t="s">
        <v>509</v>
      </c>
      <c r="E494">
        <v>2</v>
      </c>
      <c r="F494" t="s">
        <v>13</v>
      </c>
      <c r="I494" t="s">
        <v>15</v>
      </c>
      <c r="J494">
        <f>vlookup("906-376348-210",B:AZ,column(i1),0)*e494</f>
        <v>0</v>
      </c>
      <c r="K494">
        <f>vlookup("906-376348-210",B:AZ,column(j1),0)*e494</f>
        <v>0</v>
      </c>
      <c r="L494">
        <f>vlookup("906-376348-210",B:AZ,column(k1),0)*e494</f>
        <v>0</v>
      </c>
      <c r="M494">
        <f>vlookup("906-376348-210",B:AZ,column(l1),0)*e494</f>
        <v>0</v>
      </c>
      <c r="N494">
        <f>vlookup("906-376348-210",B:AZ,column(m1),0)*e494</f>
        <v>0</v>
      </c>
      <c r="O494">
        <f>vlookup("906-376348-210",B:AZ,column(n1),0)*e494</f>
        <v>0</v>
      </c>
      <c r="P494">
        <f>vlookup("906-376348-210",B:AZ,column(o1),0)*e494</f>
        <v>0</v>
      </c>
      <c r="Q494">
        <f>vlookup("906-376348-210",B:AZ,column(p1),0)*e494</f>
        <v>0</v>
      </c>
      <c r="R494">
        <f>vlookup("906-376348-210",B:AZ,column(q1),0)*e494</f>
        <v>0</v>
      </c>
      <c r="S494">
        <f>vlookup("906-376348-210",B:AZ,column(r1),0)*e494</f>
        <v>0</v>
      </c>
      <c r="T494">
        <f>vlookup("906-376348-210",B:AZ,column(s1),0)*e494</f>
        <v>0</v>
      </c>
      <c r="U494">
        <f>vlookup("906-376348-210",B:AZ,column(t1),0)*e494</f>
        <v>0</v>
      </c>
      <c r="V494">
        <f>vlookup("906-376348-210",B:AZ,column(u1),0)*e494</f>
        <v>0</v>
      </c>
      <c r="W494">
        <f>vlookup("906-376348-210",B:AZ,column(v1),0)*e494</f>
        <v>0</v>
      </c>
      <c r="X494">
        <f>vlookup("906-376348-210",B:AZ,column(w1),0)*e494</f>
        <v>0</v>
      </c>
      <c r="Y494">
        <f>vlookup("906-376348-210",B:AZ,column(x1),0)*e494</f>
        <v>0</v>
      </c>
      <c r="Z494">
        <f>vlookup("906-376348-210",B:AZ,column(y1),0)*e494</f>
        <v>0</v>
      </c>
      <c r="AA494">
        <f>vlookup("906-376348-210",B:AZ,column(z1),0)*e494</f>
        <v>0</v>
      </c>
      <c r="AB494">
        <f>vlookup("906-376348-210",B:AZ,column(aa1),0)*e494</f>
        <v>0</v>
      </c>
      <c r="AC494">
        <f>vlookup("906-376348-210",B:AZ,column(ab1),0)*e494</f>
        <v>0</v>
      </c>
      <c r="AD494">
        <f>vlookup("906-376348-210",B:AZ,column(ac1),0)*e494</f>
        <v>0</v>
      </c>
      <c r="AE494">
        <f>vlookup("906-376348-210",B:AZ,column(ad1),0)*e494</f>
        <v>0</v>
      </c>
      <c r="AF494">
        <f>vlookup("906-376348-210",B:AZ,column(ae1),0)*e494</f>
        <v>0</v>
      </c>
      <c r="AG494">
        <f>vlookup("906-376348-210",B:AZ,column(af1),0)*e494</f>
        <v>0</v>
      </c>
      <c r="AH494">
        <f>vlookup("906-376348-210",B:AZ,column(ag1),0)*e494</f>
        <v>0</v>
      </c>
      <c r="AI494">
        <f>vlookup("906-376348-210",B:AZ,column(ah1),0)*e494</f>
        <v>0</v>
      </c>
      <c r="AJ494">
        <f>vlookup("906-376348-210",B:AZ,column(ai1),0)*e494</f>
        <v>0</v>
      </c>
      <c r="AK494">
        <f>vlookup("906-376348-210",B:AZ,column(aj1),0)*e494</f>
        <v>0</v>
      </c>
      <c r="AL494">
        <f>vlookup("906-376348-210",B:AZ,column(ak1),0)*e494</f>
        <v>0</v>
      </c>
      <c r="AM494">
        <f>vlookup("906-376348-210",B:AZ,column(al1),0)*e494</f>
        <v>0</v>
      </c>
      <c r="AN494">
        <f>vlookup("906-376348-210",B:AZ,column(am1),0)*e494</f>
        <v>0</v>
      </c>
      <c r="AO494">
        <f>vlookup("906-376348-210",B:AZ,column(an1),0)*e494</f>
        <v>0</v>
      </c>
    </row>
    <row r="495" spans="1:41">
      <c r="A495" t="s">
        <v>22</v>
      </c>
      <c r="B495" t="s">
        <v>510</v>
      </c>
      <c r="C495" t="s">
        <v>511</v>
      </c>
      <c r="E495">
        <v>7</v>
      </c>
      <c r="F495" t="s">
        <v>13</v>
      </c>
      <c r="I495" t="s">
        <v>15</v>
      </c>
      <c r="J495">
        <f>vlookup("906-376348-210",B:AZ,column(i1),0)*e495</f>
        <v>0</v>
      </c>
      <c r="K495">
        <f>vlookup("906-376348-210",B:AZ,column(j1),0)*e495</f>
        <v>0</v>
      </c>
      <c r="L495">
        <f>vlookup("906-376348-210",B:AZ,column(k1),0)*e495</f>
        <v>0</v>
      </c>
      <c r="M495">
        <f>vlookup("906-376348-210",B:AZ,column(l1),0)*e495</f>
        <v>0</v>
      </c>
      <c r="N495">
        <f>vlookup("906-376348-210",B:AZ,column(m1),0)*e495</f>
        <v>0</v>
      </c>
      <c r="O495">
        <f>vlookup("906-376348-210",B:AZ,column(n1),0)*e495</f>
        <v>0</v>
      </c>
      <c r="P495">
        <f>vlookup("906-376348-210",B:AZ,column(o1),0)*e495</f>
        <v>0</v>
      </c>
      <c r="Q495">
        <f>vlookup("906-376348-210",B:AZ,column(p1),0)*e495</f>
        <v>0</v>
      </c>
      <c r="R495">
        <f>vlookup("906-376348-210",B:AZ,column(q1),0)*e495</f>
        <v>0</v>
      </c>
      <c r="S495">
        <f>vlookup("906-376348-210",B:AZ,column(r1),0)*e495</f>
        <v>0</v>
      </c>
      <c r="T495">
        <f>vlookup("906-376348-210",B:AZ,column(s1),0)*e495</f>
        <v>0</v>
      </c>
      <c r="U495">
        <f>vlookup("906-376348-210",B:AZ,column(t1),0)*e495</f>
        <v>0</v>
      </c>
      <c r="V495">
        <f>vlookup("906-376348-210",B:AZ,column(u1),0)*e495</f>
        <v>0</v>
      </c>
      <c r="W495">
        <f>vlookup("906-376348-210",B:AZ,column(v1),0)*e495</f>
        <v>0</v>
      </c>
      <c r="X495">
        <f>vlookup("906-376348-210",B:AZ,column(w1),0)*e495</f>
        <v>0</v>
      </c>
      <c r="Y495">
        <f>vlookup("906-376348-210",B:AZ,column(x1),0)*e495</f>
        <v>0</v>
      </c>
      <c r="Z495">
        <f>vlookup("906-376348-210",B:AZ,column(y1),0)*e495</f>
        <v>0</v>
      </c>
      <c r="AA495">
        <f>vlookup("906-376348-210",B:AZ,column(z1),0)*e495</f>
        <v>0</v>
      </c>
      <c r="AB495">
        <f>vlookup("906-376348-210",B:AZ,column(aa1),0)*e495</f>
        <v>0</v>
      </c>
      <c r="AC495">
        <f>vlookup("906-376348-210",B:AZ,column(ab1),0)*e495</f>
        <v>0</v>
      </c>
      <c r="AD495">
        <f>vlookup("906-376348-210",B:AZ,column(ac1),0)*e495</f>
        <v>0</v>
      </c>
      <c r="AE495">
        <f>vlookup("906-376348-210",B:AZ,column(ad1),0)*e495</f>
        <v>0</v>
      </c>
      <c r="AF495">
        <f>vlookup("906-376348-210",B:AZ,column(ae1),0)*e495</f>
        <v>0</v>
      </c>
      <c r="AG495">
        <f>vlookup("906-376348-210",B:AZ,column(af1),0)*e495</f>
        <v>0</v>
      </c>
      <c r="AH495">
        <f>vlookup("906-376348-210",B:AZ,column(ag1),0)*e495</f>
        <v>0</v>
      </c>
      <c r="AI495">
        <f>vlookup("906-376348-210",B:AZ,column(ah1),0)*e495</f>
        <v>0</v>
      </c>
      <c r="AJ495">
        <f>vlookup("906-376348-210",B:AZ,column(ai1),0)*e495</f>
        <v>0</v>
      </c>
      <c r="AK495">
        <f>vlookup("906-376348-210",B:AZ,column(aj1),0)*e495</f>
        <v>0</v>
      </c>
      <c r="AL495">
        <f>vlookup("906-376348-210",B:AZ,column(ak1),0)*e495</f>
        <v>0</v>
      </c>
      <c r="AM495">
        <f>vlookup("906-376348-210",B:AZ,column(al1),0)*e495</f>
        <v>0</v>
      </c>
      <c r="AN495">
        <f>vlookup("906-376348-210",B:AZ,column(am1),0)*e495</f>
        <v>0</v>
      </c>
      <c r="AO495">
        <f>vlookup("906-376348-210",B:AZ,column(an1),0)*e495</f>
        <v>0</v>
      </c>
    </row>
    <row r="496" spans="1:41">
      <c r="A496" t="s">
        <v>22</v>
      </c>
      <c r="B496" t="s">
        <v>512</v>
      </c>
      <c r="C496" t="s">
        <v>513</v>
      </c>
      <c r="E496">
        <v>1</v>
      </c>
      <c r="F496" t="s">
        <v>13</v>
      </c>
      <c r="I496" t="s">
        <v>15</v>
      </c>
      <c r="J496">
        <f>vlookup("906-376348-210",B:AZ,column(i1),0)*e496</f>
        <v>0</v>
      </c>
      <c r="K496">
        <f>vlookup("906-376348-210",B:AZ,column(j1),0)*e496</f>
        <v>0</v>
      </c>
      <c r="L496">
        <f>vlookup("906-376348-210",B:AZ,column(k1),0)*e496</f>
        <v>0</v>
      </c>
      <c r="M496">
        <f>vlookup("906-376348-210",B:AZ,column(l1),0)*e496</f>
        <v>0</v>
      </c>
      <c r="N496">
        <f>vlookup("906-376348-210",B:AZ,column(m1),0)*e496</f>
        <v>0</v>
      </c>
      <c r="O496">
        <f>vlookup("906-376348-210",B:AZ,column(n1),0)*e496</f>
        <v>0</v>
      </c>
      <c r="P496">
        <f>vlookup("906-376348-210",B:AZ,column(o1),0)*e496</f>
        <v>0</v>
      </c>
      <c r="Q496">
        <f>vlookup("906-376348-210",B:AZ,column(p1),0)*e496</f>
        <v>0</v>
      </c>
      <c r="R496">
        <f>vlookup("906-376348-210",B:AZ,column(q1),0)*e496</f>
        <v>0</v>
      </c>
      <c r="S496">
        <f>vlookup("906-376348-210",B:AZ,column(r1),0)*e496</f>
        <v>0</v>
      </c>
      <c r="T496">
        <f>vlookup("906-376348-210",B:AZ,column(s1),0)*e496</f>
        <v>0</v>
      </c>
      <c r="U496">
        <f>vlookup("906-376348-210",B:AZ,column(t1),0)*e496</f>
        <v>0</v>
      </c>
      <c r="V496">
        <f>vlookup("906-376348-210",B:AZ,column(u1),0)*e496</f>
        <v>0</v>
      </c>
      <c r="W496">
        <f>vlookup("906-376348-210",B:AZ,column(v1),0)*e496</f>
        <v>0</v>
      </c>
      <c r="X496">
        <f>vlookup("906-376348-210",B:AZ,column(w1),0)*e496</f>
        <v>0</v>
      </c>
      <c r="Y496">
        <f>vlookup("906-376348-210",B:AZ,column(x1),0)*e496</f>
        <v>0</v>
      </c>
      <c r="Z496">
        <f>vlookup("906-376348-210",B:AZ,column(y1),0)*e496</f>
        <v>0</v>
      </c>
      <c r="AA496">
        <f>vlookup("906-376348-210",B:AZ,column(z1),0)*e496</f>
        <v>0</v>
      </c>
      <c r="AB496">
        <f>vlookup("906-376348-210",B:AZ,column(aa1),0)*e496</f>
        <v>0</v>
      </c>
      <c r="AC496">
        <f>vlookup("906-376348-210",B:AZ,column(ab1),0)*e496</f>
        <v>0</v>
      </c>
      <c r="AD496">
        <f>vlookup("906-376348-210",B:AZ,column(ac1),0)*e496</f>
        <v>0</v>
      </c>
      <c r="AE496">
        <f>vlookup("906-376348-210",B:AZ,column(ad1),0)*e496</f>
        <v>0</v>
      </c>
      <c r="AF496">
        <f>vlookup("906-376348-210",B:AZ,column(ae1),0)*e496</f>
        <v>0</v>
      </c>
      <c r="AG496">
        <f>vlookup("906-376348-210",B:AZ,column(af1),0)*e496</f>
        <v>0</v>
      </c>
      <c r="AH496">
        <f>vlookup("906-376348-210",B:AZ,column(ag1),0)*e496</f>
        <v>0</v>
      </c>
      <c r="AI496">
        <f>vlookup("906-376348-210",B:AZ,column(ah1),0)*e496</f>
        <v>0</v>
      </c>
      <c r="AJ496">
        <f>vlookup("906-376348-210",B:AZ,column(ai1),0)*e496</f>
        <v>0</v>
      </c>
      <c r="AK496">
        <f>vlookup("906-376348-210",B:AZ,column(aj1),0)*e496</f>
        <v>0</v>
      </c>
      <c r="AL496">
        <f>vlookup("906-376348-210",B:AZ,column(ak1),0)*e496</f>
        <v>0</v>
      </c>
      <c r="AM496">
        <f>vlookup("906-376348-210",B:AZ,column(al1),0)*e496</f>
        <v>0</v>
      </c>
      <c r="AN496">
        <f>vlookup("906-376348-210",B:AZ,column(am1),0)*e496</f>
        <v>0</v>
      </c>
      <c r="AO496">
        <f>vlookup("906-376348-210",B:AZ,column(an1),0)*e496</f>
        <v>0</v>
      </c>
    </row>
    <row r="497" spans="1:41">
      <c r="A497" t="s">
        <v>22</v>
      </c>
      <c r="B497" t="s">
        <v>514</v>
      </c>
      <c r="C497" t="s">
        <v>515</v>
      </c>
      <c r="E497">
        <v>1</v>
      </c>
      <c r="F497" t="s">
        <v>13</v>
      </c>
      <c r="I497" t="s">
        <v>15</v>
      </c>
      <c r="J497">
        <f>vlookup("906-376348-210",B:AZ,column(i1),0)*e497</f>
        <v>0</v>
      </c>
      <c r="K497">
        <f>vlookup("906-376348-210",B:AZ,column(j1),0)*e497</f>
        <v>0</v>
      </c>
      <c r="L497">
        <f>vlookup("906-376348-210",B:AZ,column(k1),0)*e497</f>
        <v>0</v>
      </c>
      <c r="M497">
        <f>vlookup("906-376348-210",B:AZ,column(l1),0)*e497</f>
        <v>0</v>
      </c>
      <c r="N497">
        <f>vlookup("906-376348-210",B:AZ,column(m1),0)*e497</f>
        <v>0</v>
      </c>
      <c r="O497">
        <f>vlookup("906-376348-210",B:AZ,column(n1),0)*e497</f>
        <v>0</v>
      </c>
      <c r="P497">
        <f>vlookup("906-376348-210",B:AZ,column(o1),0)*e497</f>
        <v>0</v>
      </c>
      <c r="Q497">
        <f>vlookup("906-376348-210",B:AZ,column(p1),0)*e497</f>
        <v>0</v>
      </c>
      <c r="R497">
        <f>vlookup("906-376348-210",B:AZ,column(q1),0)*e497</f>
        <v>0</v>
      </c>
      <c r="S497">
        <f>vlookup("906-376348-210",B:AZ,column(r1),0)*e497</f>
        <v>0</v>
      </c>
      <c r="T497">
        <f>vlookup("906-376348-210",B:AZ,column(s1),0)*e497</f>
        <v>0</v>
      </c>
      <c r="U497">
        <f>vlookup("906-376348-210",B:AZ,column(t1),0)*e497</f>
        <v>0</v>
      </c>
      <c r="V497">
        <f>vlookup("906-376348-210",B:AZ,column(u1),0)*e497</f>
        <v>0</v>
      </c>
      <c r="W497">
        <f>vlookup("906-376348-210",B:AZ,column(v1),0)*e497</f>
        <v>0</v>
      </c>
      <c r="X497">
        <f>vlookup("906-376348-210",B:AZ,column(w1),0)*e497</f>
        <v>0</v>
      </c>
      <c r="Y497">
        <f>vlookup("906-376348-210",B:AZ,column(x1),0)*e497</f>
        <v>0</v>
      </c>
      <c r="Z497">
        <f>vlookup("906-376348-210",B:AZ,column(y1),0)*e497</f>
        <v>0</v>
      </c>
      <c r="AA497">
        <f>vlookup("906-376348-210",B:AZ,column(z1),0)*e497</f>
        <v>0</v>
      </c>
      <c r="AB497">
        <f>vlookup("906-376348-210",B:AZ,column(aa1),0)*e497</f>
        <v>0</v>
      </c>
      <c r="AC497">
        <f>vlookup("906-376348-210",B:AZ,column(ab1),0)*e497</f>
        <v>0</v>
      </c>
      <c r="AD497">
        <f>vlookup("906-376348-210",B:AZ,column(ac1),0)*e497</f>
        <v>0</v>
      </c>
      <c r="AE497">
        <f>vlookup("906-376348-210",B:AZ,column(ad1),0)*e497</f>
        <v>0</v>
      </c>
      <c r="AF497">
        <f>vlookup("906-376348-210",B:AZ,column(ae1),0)*e497</f>
        <v>0</v>
      </c>
      <c r="AG497">
        <f>vlookup("906-376348-210",B:AZ,column(af1),0)*e497</f>
        <v>0</v>
      </c>
      <c r="AH497">
        <f>vlookup("906-376348-210",B:AZ,column(ag1),0)*e497</f>
        <v>0</v>
      </c>
      <c r="AI497">
        <f>vlookup("906-376348-210",B:AZ,column(ah1),0)*e497</f>
        <v>0</v>
      </c>
      <c r="AJ497">
        <f>vlookup("906-376348-210",B:AZ,column(ai1),0)*e497</f>
        <v>0</v>
      </c>
      <c r="AK497">
        <f>vlookup("906-376348-210",B:AZ,column(aj1),0)*e497</f>
        <v>0</v>
      </c>
      <c r="AL497">
        <f>vlookup("906-376348-210",B:AZ,column(ak1),0)*e497</f>
        <v>0</v>
      </c>
      <c r="AM497">
        <f>vlookup("906-376348-210",B:AZ,column(al1),0)*e497</f>
        <v>0</v>
      </c>
      <c r="AN497">
        <f>vlookup("906-376348-210",B:AZ,column(am1),0)*e497</f>
        <v>0</v>
      </c>
      <c r="AO497">
        <f>vlookup("906-376348-210",B:AZ,column(an1),0)*e497</f>
        <v>0</v>
      </c>
    </row>
    <row r="498" spans="1:41">
      <c r="A498" t="s">
        <v>22</v>
      </c>
      <c r="B498" t="s">
        <v>516</v>
      </c>
      <c r="C498" t="s">
        <v>517</v>
      </c>
      <c r="E498">
        <v>7</v>
      </c>
      <c r="F498" t="s">
        <v>13</v>
      </c>
      <c r="I498" t="s">
        <v>15</v>
      </c>
      <c r="J498">
        <f>vlookup("906-376348-210",B:AZ,column(i1),0)*e498</f>
        <v>0</v>
      </c>
      <c r="K498">
        <f>vlookup("906-376348-210",B:AZ,column(j1),0)*e498</f>
        <v>0</v>
      </c>
      <c r="L498">
        <f>vlookup("906-376348-210",B:AZ,column(k1),0)*e498</f>
        <v>0</v>
      </c>
      <c r="M498">
        <f>vlookup("906-376348-210",B:AZ,column(l1),0)*e498</f>
        <v>0</v>
      </c>
      <c r="N498">
        <f>vlookup("906-376348-210",B:AZ,column(m1),0)*e498</f>
        <v>0</v>
      </c>
      <c r="O498">
        <f>vlookup("906-376348-210",B:AZ,column(n1),0)*e498</f>
        <v>0</v>
      </c>
      <c r="P498">
        <f>vlookup("906-376348-210",B:AZ,column(o1),0)*e498</f>
        <v>0</v>
      </c>
      <c r="Q498">
        <f>vlookup("906-376348-210",B:AZ,column(p1),0)*e498</f>
        <v>0</v>
      </c>
      <c r="R498">
        <f>vlookup("906-376348-210",B:AZ,column(q1),0)*e498</f>
        <v>0</v>
      </c>
      <c r="S498">
        <f>vlookup("906-376348-210",B:AZ,column(r1),0)*e498</f>
        <v>0</v>
      </c>
      <c r="T498">
        <f>vlookup("906-376348-210",B:AZ,column(s1),0)*e498</f>
        <v>0</v>
      </c>
      <c r="U498">
        <f>vlookup("906-376348-210",B:AZ,column(t1),0)*e498</f>
        <v>0</v>
      </c>
      <c r="V498">
        <f>vlookup("906-376348-210",B:AZ,column(u1),0)*e498</f>
        <v>0</v>
      </c>
      <c r="W498">
        <f>vlookup("906-376348-210",B:AZ,column(v1),0)*e498</f>
        <v>0</v>
      </c>
      <c r="X498">
        <f>vlookup("906-376348-210",B:AZ,column(w1),0)*e498</f>
        <v>0</v>
      </c>
      <c r="Y498">
        <f>vlookup("906-376348-210",B:AZ,column(x1),0)*e498</f>
        <v>0</v>
      </c>
      <c r="Z498">
        <f>vlookup("906-376348-210",B:AZ,column(y1),0)*e498</f>
        <v>0</v>
      </c>
      <c r="AA498">
        <f>vlookup("906-376348-210",B:AZ,column(z1),0)*e498</f>
        <v>0</v>
      </c>
      <c r="AB498">
        <f>vlookup("906-376348-210",B:AZ,column(aa1),0)*e498</f>
        <v>0</v>
      </c>
      <c r="AC498">
        <f>vlookup("906-376348-210",B:AZ,column(ab1),0)*e498</f>
        <v>0</v>
      </c>
      <c r="AD498">
        <f>vlookup("906-376348-210",B:AZ,column(ac1),0)*e498</f>
        <v>0</v>
      </c>
      <c r="AE498">
        <f>vlookup("906-376348-210",B:AZ,column(ad1),0)*e498</f>
        <v>0</v>
      </c>
      <c r="AF498">
        <f>vlookup("906-376348-210",B:AZ,column(ae1),0)*e498</f>
        <v>0</v>
      </c>
      <c r="AG498">
        <f>vlookup("906-376348-210",B:AZ,column(af1),0)*e498</f>
        <v>0</v>
      </c>
      <c r="AH498">
        <f>vlookup("906-376348-210",B:AZ,column(ag1),0)*e498</f>
        <v>0</v>
      </c>
      <c r="AI498">
        <f>vlookup("906-376348-210",B:AZ,column(ah1),0)*e498</f>
        <v>0</v>
      </c>
      <c r="AJ498">
        <f>vlookup("906-376348-210",B:AZ,column(ai1),0)*e498</f>
        <v>0</v>
      </c>
      <c r="AK498">
        <f>vlookup("906-376348-210",B:AZ,column(aj1),0)*e498</f>
        <v>0</v>
      </c>
      <c r="AL498">
        <f>vlookup("906-376348-210",B:AZ,column(ak1),0)*e498</f>
        <v>0</v>
      </c>
      <c r="AM498">
        <f>vlookup("906-376348-210",B:AZ,column(al1),0)*e498</f>
        <v>0</v>
      </c>
      <c r="AN498">
        <f>vlookup("906-376348-210",B:AZ,column(am1),0)*e498</f>
        <v>0</v>
      </c>
      <c r="AO498">
        <f>vlookup("906-376348-210",B:AZ,column(an1),0)*e498</f>
        <v>0</v>
      </c>
    </row>
    <row r="499" spans="1:41">
      <c r="A499" t="s">
        <v>22</v>
      </c>
      <c r="B499" t="s">
        <v>518</v>
      </c>
      <c r="C499" t="s">
        <v>519</v>
      </c>
      <c r="E499">
        <v>1</v>
      </c>
      <c r="F499" t="s">
        <v>13</v>
      </c>
      <c r="I499" t="s">
        <v>15</v>
      </c>
      <c r="J499">
        <f>vlookup("906-376348-210",B:AZ,column(i1),0)*e499</f>
        <v>0</v>
      </c>
      <c r="K499">
        <f>vlookup("906-376348-210",B:AZ,column(j1),0)*e499</f>
        <v>0</v>
      </c>
      <c r="L499">
        <f>vlookup("906-376348-210",B:AZ,column(k1),0)*e499</f>
        <v>0</v>
      </c>
      <c r="M499">
        <f>vlookup("906-376348-210",B:AZ,column(l1),0)*e499</f>
        <v>0</v>
      </c>
      <c r="N499">
        <f>vlookup("906-376348-210",B:AZ,column(m1),0)*e499</f>
        <v>0</v>
      </c>
      <c r="O499">
        <f>vlookup("906-376348-210",B:AZ,column(n1),0)*e499</f>
        <v>0</v>
      </c>
      <c r="P499">
        <f>vlookup("906-376348-210",B:AZ,column(o1),0)*e499</f>
        <v>0</v>
      </c>
      <c r="Q499">
        <f>vlookup("906-376348-210",B:AZ,column(p1),0)*e499</f>
        <v>0</v>
      </c>
      <c r="R499">
        <f>vlookup("906-376348-210",B:AZ,column(q1),0)*e499</f>
        <v>0</v>
      </c>
      <c r="S499">
        <f>vlookup("906-376348-210",B:AZ,column(r1),0)*e499</f>
        <v>0</v>
      </c>
      <c r="T499">
        <f>vlookup("906-376348-210",B:AZ,column(s1),0)*e499</f>
        <v>0</v>
      </c>
      <c r="U499">
        <f>vlookup("906-376348-210",B:AZ,column(t1),0)*e499</f>
        <v>0</v>
      </c>
      <c r="V499">
        <f>vlookup("906-376348-210",B:AZ,column(u1),0)*e499</f>
        <v>0</v>
      </c>
      <c r="W499">
        <f>vlookup("906-376348-210",B:AZ,column(v1),0)*e499</f>
        <v>0</v>
      </c>
      <c r="X499">
        <f>vlookup("906-376348-210",B:AZ,column(w1),0)*e499</f>
        <v>0</v>
      </c>
      <c r="Y499">
        <f>vlookup("906-376348-210",B:AZ,column(x1),0)*e499</f>
        <v>0</v>
      </c>
      <c r="Z499">
        <f>vlookup("906-376348-210",B:AZ,column(y1),0)*e499</f>
        <v>0</v>
      </c>
      <c r="AA499">
        <f>vlookup("906-376348-210",B:AZ,column(z1),0)*e499</f>
        <v>0</v>
      </c>
      <c r="AB499">
        <f>vlookup("906-376348-210",B:AZ,column(aa1),0)*e499</f>
        <v>0</v>
      </c>
      <c r="AC499">
        <f>vlookup("906-376348-210",B:AZ,column(ab1),0)*e499</f>
        <v>0</v>
      </c>
      <c r="AD499">
        <f>vlookup("906-376348-210",B:AZ,column(ac1),0)*e499</f>
        <v>0</v>
      </c>
      <c r="AE499">
        <f>vlookup("906-376348-210",B:AZ,column(ad1),0)*e499</f>
        <v>0</v>
      </c>
      <c r="AF499">
        <f>vlookup("906-376348-210",B:AZ,column(ae1),0)*e499</f>
        <v>0</v>
      </c>
      <c r="AG499">
        <f>vlookup("906-376348-210",B:AZ,column(af1),0)*e499</f>
        <v>0</v>
      </c>
      <c r="AH499">
        <f>vlookup("906-376348-210",B:AZ,column(ag1),0)*e499</f>
        <v>0</v>
      </c>
      <c r="AI499">
        <f>vlookup("906-376348-210",B:AZ,column(ah1),0)*e499</f>
        <v>0</v>
      </c>
      <c r="AJ499">
        <f>vlookup("906-376348-210",B:AZ,column(ai1),0)*e499</f>
        <v>0</v>
      </c>
      <c r="AK499">
        <f>vlookup("906-376348-210",B:AZ,column(aj1),0)*e499</f>
        <v>0</v>
      </c>
      <c r="AL499">
        <f>vlookup("906-376348-210",B:AZ,column(ak1),0)*e499</f>
        <v>0</v>
      </c>
      <c r="AM499">
        <f>vlookup("906-376348-210",B:AZ,column(al1),0)*e499</f>
        <v>0</v>
      </c>
      <c r="AN499">
        <f>vlookup("906-376348-210",B:AZ,column(am1),0)*e499</f>
        <v>0</v>
      </c>
      <c r="AO499">
        <f>vlookup("906-376348-210",B:AZ,column(an1),0)*e499</f>
        <v>0</v>
      </c>
    </row>
    <row r="500" spans="1:41">
      <c r="A500" t="s">
        <v>22</v>
      </c>
      <c r="B500" t="s">
        <v>520</v>
      </c>
      <c r="C500" t="s">
        <v>521</v>
      </c>
      <c r="E500">
        <v>1</v>
      </c>
      <c r="F500" t="s">
        <v>13</v>
      </c>
      <c r="I500" t="s">
        <v>15</v>
      </c>
      <c r="J500">
        <f>vlookup("906-376348-210",B:AZ,column(i1),0)*e500</f>
        <v>0</v>
      </c>
      <c r="K500">
        <f>vlookup("906-376348-210",B:AZ,column(j1),0)*e500</f>
        <v>0</v>
      </c>
      <c r="L500">
        <f>vlookup("906-376348-210",B:AZ,column(k1),0)*e500</f>
        <v>0</v>
      </c>
      <c r="M500">
        <f>vlookup("906-376348-210",B:AZ,column(l1),0)*e500</f>
        <v>0</v>
      </c>
      <c r="N500">
        <f>vlookup("906-376348-210",B:AZ,column(m1),0)*e500</f>
        <v>0</v>
      </c>
      <c r="O500">
        <f>vlookup("906-376348-210",B:AZ,column(n1),0)*e500</f>
        <v>0</v>
      </c>
      <c r="P500">
        <f>vlookup("906-376348-210",B:AZ,column(o1),0)*e500</f>
        <v>0</v>
      </c>
      <c r="Q500">
        <f>vlookup("906-376348-210",B:AZ,column(p1),0)*e500</f>
        <v>0</v>
      </c>
      <c r="R500">
        <f>vlookup("906-376348-210",B:AZ,column(q1),0)*e500</f>
        <v>0</v>
      </c>
      <c r="S500">
        <f>vlookup("906-376348-210",B:AZ,column(r1),0)*e500</f>
        <v>0</v>
      </c>
      <c r="T500">
        <f>vlookup("906-376348-210",B:AZ,column(s1),0)*e500</f>
        <v>0</v>
      </c>
      <c r="U500">
        <f>vlookup("906-376348-210",B:AZ,column(t1),0)*e500</f>
        <v>0</v>
      </c>
      <c r="V500">
        <f>vlookup("906-376348-210",B:AZ,column(u1),0)*e500</f>
        <v>0</v>
      </c>
      <c r="W500">
        <f>vlookup("906-376348-210",B:AZ,column(v1),0)*e500</f>
        <v>0</v>
      </c>
      <c r="X500">
        <f>vlookup("906-376348-210",B:AZ,column(w1),0)*e500</f>
        <v>0</v>
      </c>
      <c r="Y500">
        <f>vlookup("906-376348-210",B:AZ,column(x1),0)*e500</f>
        <v>0</v>
      </c>
      <c r="Z500">
        <f>vlookup("906-376348-210",B:AZ,column(y1),0)*e500</f>
        <v>0</v>
      </c>
      <c r="AA500">
        <f>vlookup("906-376348-210",B:AZ,column(z1),0)*e500</f>
        <v>0</v>
      </c>
      <c r="AB500">
        <f>vlookup("906-376348-210",B:AZ,column(aa1),0)*e500</f>
        <v>0</v>
      </c>
      <c r="AC500">
        <f>vlookup("906-376348-210",B:AZ,column(ab1),0)*e500</f>
        <v>0</v>
      </c>
      <c r="AD500">
        <f>vlookup("906-376348-210",B:AZ,column(ac1),0)*e500</f>
        <v>0</v>
      </c>
      <c r="AE500">
        <f>vlookup("906-376348-210",B:AZ,column(ad1),0)*e500</f>
        <v>0</v>
      </c>
      <c r="AF500">
        <f>vlookup("906-376348-210",B:AZ,column(ae1),0)*e500</f>
        <v>0</v>
      </c>
      <c r="AG500">
        <f>vlookup("906-376348-210",B:AZ,column(af1),0)*e500</f>
        <v>0</v>
      </c>
      <c r="AH500">
        <f>vlookup("906-376348-210",B:AZ,column(ag1),0)*e500</f>
        <v>0</v>
      </c>
      <c r="AI500">
        <f>vlookup("906-376348-210",B:AZ,column(ah1),0)*e500</f>
        <v>0</v>
      </c>
      <c r="AJ500">
        <f>vlookup("906-376348-210",B:AZ,column(ai1),0)*e500</f>
        <v>0</v>
      </c>
      <c r="AK500">
        <f>vlookup("906-376348-210",B:AZ,column(aj1),0)*e500</f>
        <v>0</v>
      </c>
      <c r="AL500">
        <f>vlookup("906-376348-210",B:AZ,column(ak1),0)*e500</f>
        <v>0</v>
      </c>
      <c r="AM500">
        <f>vlookup("906-376348-210",B:AZ,column(al1),0)*e500</f>
        <v>0</v>
      </c>
      <c r="AN500">
        <f>vlookup("906-376348-210",B:AZ,column(am1),0)*e500</f>
        <v>0</v>
      </c>
      <c r="AO500">
        <f>vlookup("906-376348-210",B:AZ,column(an1),0)*e500</f>
        <v>0</v>
      </c>
    </row>
    <row r="501" spans="1:41">
      <c r="A501" t="s">
        <v>22</v>
      </c>
      <c r="B501" t="s">
        <v>522</v>
      </c>
      <c r="C501" t="s">
        <v>523</v>
      </c>
      <c r="E501">
        <v>2</v>
      </c>
      <c r="F501" t="s">
        <v>13</v>
      </c>
      <c r="I501" t="s">
        <v>15</v>
      </c>
      <c r="J501">
        <f>vlookup("906-376348-210",B:AZ,column(i1),0)*e501</f>
        <v>0</v>
      </c>
      <c r="K501">
        <f>vlookup("906-376348-210",B:AZ,column(j1),0)*e501</f>
        <v>0</v>
      </c>
      <c r="L501">
        <f>vlookup("906-376348-210",B:AZ,column(k1),0)*e501</f>
        <v>0</v>
      </c>
      <c r="M501">
        <f>vlookup("906-376348-210",B:AZ,column(l1),0)*e501</f>
        <v>0</v>
      </c>
      <c r="N501">
        <f>vlookup("906-376348-210",B:AZ,column(m1),0)*e501</f>
        <v>0</v>
      </c>
      <c r="O501">
        <f>vlookup("906-376348-210",B:AZ,column(n1),0)*e501</f>
        <v>0</v>
      </c>
      <c r="P501">
        <f>vlookup("906-376348-210",B:AZ,column(o1),0)*e501</f>
        <v>0</v>
      </c>
      <c r="Q501">
        <f>vlookup("906-376348-210",B:AZ,column(p1),0)*e501</f>
        <v>0</v>
      </c>
      <c r="R501">
        <f>vlookup("906-376348-210",B:AZ,column(q1),0)*e501</f>
        <v>0</v>
      </c>
      <c r="S501">
        <f>vlookup("906-376348-210",B:AZ,column(r1),0)*e501</f>
        <v>0</v>
      </c>
      <c r="T501">
        <f>vlookup("906-376348-210",B:AZ,column(s1),0)*e501</f>
        <v>0</v>
      </c>
      <c r="U501">
        <f>vlookup("906-376348-210",B:AZ,column(t1),0)*e501</f>
        <v>0</v>
      </c>
      <c r="V501">
        <f>vlookup("906-376348-210",B:AZ,column(u1),0)*e501</f>
        <v>0</v>
      </c>
      <c r="W501">
        <f>vlookup("906-376348-210",B:AZ,column(v1),0)*e501</f>
        <v>0</v>
      </c>
      <c r="X501">
        <f>vlookup("906-376348-210",B:AZ,column(w1),0)*e501</f>
        <v>0</v>
      </c>
      <c r="Y501">
        <f>vlookup("906-376348-210",B:AZ,column(x1),0)*e501</f>
        <v>0</v>
      </c>
      <c r="Z501">
        <f>vlookup("906-376348-210",B:AZ,column(y1),0)*e501</f>
        <v>0</v>
      </c>
      <c r="AA501">
        <f>vlookup("906-376348-210",B:AZ,column(z1),0)*e501</f>
        <v>0</v>
      </c>
      <c r="AB501">
        <f>vlookup("906-376348-210",B:AZ,column(aa1),0)*e501</f>
        <v>0</v>
      </c>
      <c r="AC501">
        <f>vlookup("906-376348-210",B:AZ,column(ab1),0)*e501</f>
        <v>0</v>
      </c>
      <c r="AD501">
        <f>vlookup("906-376348-210",B:AZ,column(ac1),0)*e501</f>
        <v>0</v>
      </c>
      <c r="AE501">
        <f>vlookup("906-376348-210",B:AZ,column(ad1),0)*e501</f>
        <v>0</v>
      </c>
      <c r="AF501">
        <f>vlookup("906-376348-210",B:AZ,column(ae1),0)*e501</f>
        <v>0</v>
      </c>
      <c r="AG501">
        <f>vlookup("906-376348-210",B:AZ,column(af1),0)*e501</f>
        <v>0</v>
      </c>
      <c r="AH501">
        <f>vlookup("906-376348-210",B:AZ,column(ag1),0)*e501</f>
        <v>0</v>
      </c>
      <c r="AI501">
        <f>vlookup("906-376348-210",B:AZ,column(ah1),0)*e501</f>
        <v>0</v>
      </c>
      <c r="AJ501">
        <f>vlookup("906-376348-210",B:AZ,column(ai1),0)*e501</f>
        <v>0</v>
      </c>
      <c r="AK501">
        <f>vlookup("906-376348-210",B:AZ,column(aj1),0)*e501</f>
        <v>0</v>
      </c>
      <c r="AL501">
        <f>vlookup("906-376348-210",B:AZ,column(ak1),0)*e501</f>
        <v>0</v>
      </c>
      <c r="AM501">
        <f>vlookup("906-376348-210",B:AZ,column(al1),0)*e501</f>
        <v>0</v>
      </c>
      <c r="AN501">
        <f>vlookup("906-376348-210",B:AZ,column(am1),0)*e501</f>
        <v>0</v>
      </c>
      <c r="AO501">
        <f>vlookup("906-376348-210",B:AZ,column(an1),0)*e501</f>
        <v>0</v>
      </c>
    </row>
    <row r="502" spans="1:41">
      <c r="A502" t="s">
        <v>22</v>
      </c>
      <c r="B502" t="s">
        <v>524</v>
      </c>
      <c r="C502" t="s">
        <v>525</v>
      </c>
      <c r="E502">
        <v>1</v>
      </c>
      <c r="F502" t="s">
        <v>13</v>
      </c>
      <c r="I502" t="s">
        <v>15</v>
      </c>
      <c r="J502">
        <f>vlookup("906-376348-210",B:AZ,column(i1),0)*e502</f>
        <v>0</v>
      </c>
      <c r="K502">
        <f>vlookup("906-376348-210",B:AZ,column(j1),0)*e502</f>
        <v>0</v>
      </c>
      <c r="L502">
        <f>vlookup("906-376348-210",B:AZ,column(k1),0)*e502</f>
        <v>0</v>
      </c>
      <c r="M502">
        <f>vlookup("906-376348-210",B:AZ,column(l1),0)*e502</f>
        <v>0</v>
      </c>
      <c r="N502">
        <f>vlookup("906-376348-210",B:AZ,column(m1),0)*e502</f>
        <v>0</v>
      </c>
      <c r="O502">
        <f>vlookup("906-376348-210",B:AZ,column(n1),0)*e502</f>
        <v>0</v>
      </c>
      <c r="P502">
        <f>vlookup("906-376348-210",B:AZ,column(o1),0)*e502</f>
        <v>0</v>
      </c>
      <c r="Q502">
        <f>vlookup("906-376348-210",B:AZ,column(p1),0)*e502</f>
        <v>0</v>
      </c>
      <c r="R502">
        <f>vlookup("906-376348-210",B:AZ,column(q1),0)*e502</f>
        <v>0</v>
      </c>
      <c r="S502">
        <f>vlookup("906-376348-210",B:AZ,column(r1),0)*e502</f>
        <v>0</v>
      </c>
      <c r="T502">
        <f>vlookup("906-376348-210",B:AZ,column(s1),0)*e502</f>
        <v>0</v>
      </c>
      <c r="U502">
        <f>vlookup("906-376348-210",B:AZ,column(t1),0)*e502</f>
        <v>0</v>
      </c>
      <c r="V502">
        <f>vlookup("906-376348-210",B:AZ,column(u1),0)*e502</f>
        <v>0</v>
      </c>
      <c r="W502">
        <f>vlookup("906-376348-210",B:AZ,column(v1),0)*e502</f>
        <v>0</v>
      </c>
      <c r="X502">
        <f>vlookup("906-376348-210",B:AZ,column(w1),0)*e502</f>
        <v>0</v>
      </c>
      <c r="Y502">
        <f>vlookup("906-376348-210",B:AZ,column(x1),0)*e502</f>
        <v>0</v>
      </c>
      <c r="Z502">
        <f>vlookup("906-376348-210",B:AZ,column(y1),0)*e502</f>
        <v>0</v>
      </c>
      <c r="AA502">
        <f>vlookup("906-376348-210",B:AZ,column(z1),0)*e502</f>
        <v>0</v>
      </c>
      <c r="AB502">
        <f>vlookup("906-376348-210",B:AZ,column(aa1),0)*e502</f>
        <v>0</v>
      </c>
      <c r="AC502">
        <f>vlookup("906-376348-210",B:AZ,column(ab1),0)*e502</f>
        <v>0</v>
      </c>
      <c r="AD502">
        <f>vlookup("906-376348-210",B:AZ,column(ac1),0)*e502</f>
        <v>0</v>
      </c>
      <c r="AE502">
        <f>vlookup("906-376348-210",B:AZ,column(ad1),0)*e502</f>
        <v>0</v>
      </c>
      <c r="AF502">
        <f>vlookup("906-376348-210",B:AZ,column(ae1),0)*e502</f>
        <v>0</v>
      </c>
      <c r="AG502">
        <f>vlookup("906-376348-210",B:AZ,column(af1),0)*e502</f>
        <v>0</v>
      </c>
      <c r="AH502">
        <f>vlookup("906-376348-210",B:AZ,column(ag1),0)*e502</f>
        <v>0</v>
      </c>
      <c r="AI502">
        <f>vlookup("906-376348-210",B:AZ,column(ah1),0)*e502</f>
        <v>0</v>
      </c>
      <c r="AJ502">
        <f>vlookup("906-376348-210",B:AZ,column(ai1),0)*e502</f>
        <v>0</v>
      </c>
      <c r="AK502">
        <f>vlookup("906-376348-210",B:AZ,column(aj1),0)*e502</f>
        <v>0</v>
      </c>
      <c r="AL502">
        <f>vlookup("906-376348-210",B:AZ,column(ak1),0)*e502</f>
        <v>0</v>
      </c>
      <c r="AM502">
        <f>vlookup("906-376348-210",B:AZ,column(al1),0)*e502</f>
        <v>0</v>
      </c>
      <c r="AN502">
        <f>vlookup("906-376348-210",B:AZ,column(am1),0)*e502</f>
        <v>0</v>
      </c>
      <c r="AO502">
        <f>vlookup("906-376348-210",B:AZ,column(an1),0)*e502</f>
        <v>0</v>
      </c>
    </row>
    <row r="503" spans="1:41">
      <c r="A503" t="s">
        <v>22</v>
      </c>
      <c r="B503" t="s">
        <v>526</v>
      </c>
      <c r="C503" t="s">
        <v>527</v>
      </c>
      <c r="E503">
        <v>1</v>
      </c>
      <c r="F503" t="s">
        <v>13</v>
      </c>
      <c r="I503" t="s">
        <v>15</v>
      </c>
      <c r="J503">
        <f>vlookup("906-376348-210",B:AZ,column(i1),0)*e503</f>
        <v>0</v>
      </c>
      <c r="K503">
        <f>vlookup("906-376348-210",B:AZ,column(j1),0)*e503</f>
        <v>0</v>
      </c>
      <c r="L503">
        <f>vlookup("906-376348-210",B:AZ,column(k1),0)*e503</f>
        <v>0</v>
      </c>
      <c r="M503">
        <f>vlookup("906-376348-210",B:AZ,column(l1),0)*e503</f>
        <v>0</v>
      </c>
      <c r="N503">
        <f>vlookup("906-376348-210",B:AZ,column(m1),0)*e503</f>
        <v>0</v>
      </c>
      <c r="O503">
        <f>vlookup("906-376348-210",B:AZ,column(n1),0)*e503</f>
        <v>0</v>
      </c>
      <c r="P503">
        <f>vlookup("906-376348-210",B:AZ,column(o1),0)*e503</f>
        <v>0</v>
      </c>
      <c r="Q503">
        <f>vlookup("906-376348-210",B:AZ,column(p1),0)*e503</f>
        <v>0</v>
      </c>
      <c r="R503">
        <f>vlookup("906-376348-210",B:AZ,column(q1),0)*e503</f>
        <v>0</v>
      </c>
      <c r="S503">
        <f>vlookup("906-376348-210",B:AZ,column(r1),0)*e503</f>
        <v>0</v>
      </c>
      <c r="T503">
        <f>vlookup("906-376348-210",B:AZ,column(s1),0)*e503</f>
        <v>0</v>
      </c>
      <c r="U503">
        <f>vlookup("906-376348-210",B:AZ,column(t1),0)*e503</f>
        <v>0</v>
      </c>
      <c r="V503">
        <f>vlookup("906-376348-210",B:AZ,column(u1),0)*e503</f>
        <v>0</v>
      </c>
      <c r="W503">
        <f>vlookup("906-376348-210",B:AZ,column(v1),0)*e503</f>
        <v>0</v>
      </c>
      <c r="X503">
        <f>vlookup("906-376348-210",B:AZ,column(w1),0)*e503</f>
        <v>0</v>
      </c>
      <c r="Y503">
        <f>vlookup("906-376348-210",B:AZ,column(x1),0)*e503</f>
        <v>0</v>
      </c>
      <c r="Z503">
        <f>vlookup("906-376348-210",B:AZ,column(y1),0)*e503</f>
        <v>0</v>
      </c>
      <c r="AA503">
        <f>vlookup("906-376348-210",B:AZ,column(z1),0)*e503</f>
        <v>0</v>
      </c>
      <c r="AB503">
        <f>vlookup("906-376348-210",B:AZ,column(aa1),0)*e503</f>
        <v>0</v>
      </c>
      <c r="AC503">
        <f>vlookup("906-376348-210",B:AZ,column(ab1),0)*e503</f>
        <v>0</v>
      </c>
      <c r="AD503">
        <f>vlookup("906-376348-210",B:AZ,column(ac1),0)*e503</f>
        <v>0</v>
      </c>
      <c r="AE503">
        <f>vlookup("906-376348-210",B:AZ,column(ad1),0)*e503</f>
        <v>0</v>
      </c>
      <c r="AF503">
        <f>vlookup("906-376348-210",B:AZ,column(ae1),0)*e503</f>
        <v>0</v>
      </c>
      <c r="AG503">
        <f>vlookup("906-376348-210",B:AZ,column(af1),0)*e503</f>
        <v>0</v>
      </c>
      <c r="AH503">
        <f>vlookup("906-376348-210",B:AZ,column(ag1),0)*e503</f>
        <v>0</v>
      </c>
      <c r="AI503">
        <f>vlookup("906-376348-210",B:AZ,column(ah1),0)*e503</f>
        <v>0</v>
      </c>
      <c r="AJ503">
        <f>vlookup("906-376348-210",B:AZ,column(ai1),0)*e503</f>
        <v>0</v>
      </c>
      <c r="AK503">
        <f>vlookup("906-376348-210",B:AZ,column(aj1),0)*e503</f>
        <v>0</v>
      </c>
      <c r="AL503">
        <f>vlookup("906-376348-210",B:AZ,column(ak1),0)*e503</f>
        <v>0</v>
      </c>
      <c r="AM503">
        <f>vlookup("906-376348-210",B:AZ,column(al1),0)*e503</f>
        <v>0</v>
      </c>
      <c r="AN503">
        <f>vlookup("906-376348-210",B:AZ,column(am1),0)*e503</f>
        <v>0</v>
      </c>
      <c r="AO503">
        <f>vlookup("906-376348-210",B:AZ,column(an1),0)*e503</f>
        <v>0</v>
      </c>
    </row>
    <row r="504" spans="1:41">
      <c r="A504" t="s">
        <v>78</v>
      </c>
      <c r="B504" t="s">
        <v>528</v>
      </c>
      <c r="C504" t="s">
        <v>529</v>
      </c>
      <c r="E504">
        <v>0.0625</v>
      </c>
      <c r="F504" t="s">
        <v>13</v>
      </c>
      <c r="I504" t="s">
        <v>15</v>
      </c>
      <c r="J504">
        <f>vlookup("906-376348-210",B:AZ,column(i1),0)*e504</f>
        <v>0</v>
      </c>
      <c r="K504">
        <f>vlookup("906-376348-210",B:AZ,column(j1),0)*e504</f>
        <v>0</v>
      </c>
      <c r="L504">
        <f>vlookup("906-376348-210",B:AZ,column(k1),0)*e504</f>
        <v>0</v>
      </c>
      <c r="M504">
        <f>vlookup("906-376348-210",B:AZ,column(l1),0)*e504</f>
        <v>0</v>
      </c>
      <c r="N504">
        <f>vlookup("906-376348-210",B:AZ,column(m1),0)*e504</f>
        <v>0</v>
      </c>
      <c r="O504">
        <f>vlookup("906-376348-210",B:AZ,column(n1),0)*e504</f>
        <v>0</v>
      </c>
      <c r="P504">
        <f>vlookup("906-376348-210",B:AZ,column(o1),0)*e504</f>
        <v>0</v>
      </c>
      <c r="Q504">
        <f>vlookup("906-376348-210",B:AZ,column(p1),0)*e504</f>
        <v>0</v>
      </c>
      <c r="R504">
        <f>vlookup("906-376348-210",B:AZ,column(q1),0)*e504</f>
        <v>0</v>
      </c>
      <c r="S504">
        <f>vlookup("906-376348-210",B:AZ,column(r1),0)*e504</f>
        <v>0</v>
      </c>
      <c r="T504">
        <f>vlookup("906-376348-210",B:AZ,column(s1),0)*e504</f>
        <v>0</v>
      </c>
      <c r="U504">
        <f>vlookup("906-376348-210",B:AZ,column(t1),0)*e504</f>
        <v>0</v>
      </c>
      <c r="V504">
        <f>vlookup("906-376348-210",B:AZ,column(u1),0)*e504</f>
        <v>0</v>
      </c>
      <c r="W504">
        <f>vlookup("906-376348-210",B:AZ,column(v1),0)*e504</f>
        <v>0</v>
      </c>
      <c r="X504">
        <f>vlookup("906-376348-210",B:AZ,column(w1),0)*e504</f>
        <v>0</v>
      </c>
      <c r="Y504">
        <f>vlookup("906-376348-210",B:AZ,column(x1),0)*e504</f>
        <v>0</v>
      </c>
      <c r="Z504">
        <f>vlookup("906-376348-210",B:AZ,column(y1),0)*e504</f>
        <v>0</v>
      </c>
      <c r="AA504">
        <f>vlookup("906-376348-210",B:AZ,column(z1),0)*e504</f>
        <v>0</v>
      </c>
      <c r="AB504">
        <f>vlookup("906-376348-210",B:AZ,column(aa1),0)*e504</f>
        <v>0</v>
      </c>
      <c r="AC504">
        <f>vlookup("906-376348-210",B:AZ,column(ab1),0)*e504</f>
        <v>0</v>
      </c>
      <c r="AD504">
        <f>vlookup("906-376348-210",B:AZ,column(ac1),0)*e504</f>
        <v>0</v>
      </c>
      <c r="AE504">
        <f>vlookup("906-376348-210",B:AZ,column(ad1),0)*e504</f>
        <v>0</v>
      </c>
      <c r="AF504">
        <f>vlookup("906-376348-210",B:AZ,column(ae1),0)*e504</f>
        <v>0</v>
      </c>
      <c r="AG504">
        <f>vlookup("906-376348-210",B:AZ,column(af1),0)*e504</f>
        <v>0</v>
      </c>
      <c r="AH504">
        <f>vlookup("906-376348-210",B:AZ,column(ag1),0)*e504</f>
        <v>0</v>
      </c>
      <c r="AI504">
        <f>vlookup("906-376348-210",B:AZ,column(ah1),0)*e504</f>
        <v>0</v>
      </c>
      <c r="AJ504">
        <f>vlookup("906-376348-210",B:AZ,column(ai1),0)*e504</f>
        <v>0</v>
      </c>
      <c r="AK504">
        <f>vlookup("906-376348-210",B:AZ,column(aj1),0)*e504</f>
        <v>0</v>
      </c>
      <c r="AL504">
        <f>vlookup("906-376348-210",B:AZ,column(ak1),0)*e504</f>
        <v>0</v>
      </c>
      <c r="AM504">
        <f>vlookup("906-376348-210",B:AZ,column(al1),0)*e504</f>
        <v>0</v>
      </c>
      <c r="AN504">
        <f>vlookup("906-376348-210",B:AZ,column(am1),0)*e504</f>
        <v>0</v>
      </c>
      <c r="AO504">
        <f>vlookup("906-376348-210",B:AZ,column(an1),0)*e504</f>
        <v>0</v>
      </c>
    </row>
    <row r="505" spans="1:41">
      <c r="A505" t="s">
        <v>78</v>
      </c>
      <c r="B505" t="s">
        <v>530</v>
      </c>
      <c r="C505" t="s">
        <v>531</v>
      </c>
      <c r="E505">
        <v>0.1876</v>
      </c>
      <c r="F505" t="s">
        <v>13</v>
      </c>
      <c r="I505" t="s">
        <v>15</v>
      </c>
      <c r="J505">
        <f>vlookup("906-376348-210",B:AZ,column(i1),0)*e505</f>
        <v>0</v>
      </c>
      <c r="K505">
        <f>vlookup("906-376348-210",B:AZ,column(j1),0)*e505</f>
        <v>0</v>
      </c>
      <c r="L505">
        <f>vlookup("906-376348-210",B:AZ,column(k1),0)*e505</f>
        <v>0</v>
      </c>
      <c r="M505">
        <f>vlookup("906-376348-210",B:AZ,column(l1),0)*e505</f>
        <v>0</v>
      </c>
      <c r="N505">
        <f>vlookup("906-376348-210",B:AZ,column(m1),0)*e505</f>
        <v>0</v>
      </c>
      <c r="O505">
        <f>vlookup("906-376348-210",B:AZ,column(n1),0)*e505</f>
        <v>0</v>
      </c>
      <c r="P505">
        <f>vlookup("906-376348-210",B:AZ,column(o1),0)*e505</f>
        <v>0</v>
      </c>
      <c r="Q505">
        <f>vlookup("906-376348-210",B:AZ,column(p1),0)*e505</f>
        <v>0</v>
      </c>
      <c r="R505">
        <f>vlookup("906-376348-210",B:AZ,column(q1),0)*e505</f>
        <v>0</v>
      </c>
      <c r="S505">
        <f>vlookup("906-376348-210",B:AZ,column(r1),0)*e505</f>
        <v>0</v>
      </c>
      <c r="T505">
        <f>vlookup("906-376348-210",B:AZ,column(s1),0)*e505</f>
        <v>0</v>
      </c>
      <c r="U505">
        <f>vlookup("906-376348-210",B:AZ,column(t1),0)*e505</f>
        <v>0</v>
      </c>
      <c r="V505">
        <f>vlookup("906-376348-210",B:AZ,column(u1),0)*e505</f>
        <v>0</v>
      </c>
      <c r="W505">
        <f>vlookup("906-376348-210",B:AZ,column(v1),0)*e505</f>
        <v>0</v>
      </c>
      <c r="X505">
        <f>vlookup("906-376348-210",B:AZ,column(w1),0)*e505</f>
        <v>0</v>
      </c>
      <c r="Y505">
        <f>vlookup("906-376348-210",B:AZ,column(x1),0)*e505</f>
        <v>0</v>
      </c>
      <c r="Z505">
        <f>vlookup("906-376348-210",B:AZ,column(y1),0)*e505</f>
        <v>0</v>
      </c>
      <c r="AA505">
        <f>vlookup("906-376348-210",B:AZ,column(z1),0)*e505</f>
        <v>0</v>
      </c>
      <c r="AB505">
        <f>vlookup("906-376348-210",B:AZ,column(aa1),0)*e505</f>
        <v>0</v>
      </c>
      <c r="AC505">
        <f>vlookup("906-376348-210",B:AZ,column(ab1),0)*e505</f>
        <v>0</v>
      </c>
      <c r="AD505">
        <f>vlookup("906-376348-210",B:AZ,column(ac1),0)*e505</f>
        <v>0</v>
      </c>
      <c r="AE505">
        <f>vlookup("906-376348-210",B:AZ,column(ad1),0)*e505</f>
        <v>0</v>
      </c>
      <c r="AF505">
        <f>vlookup("906-376348-210",B:AZ,column(ae1),0)*e505</f>
        <v>0</v>
      </c>
      <c r="AG505">
        <f>vlookup("906-376348-210",B:AZ,column(af1),0)*e505</f>
        <v>0</v>
      </c>
      <c r="AH505">
        <f>vlookup("906-376348-210",B:AZ,column(ag1),0)*e505</f>
        <v>0</v>
      </c>
      <c r="AI505">
        <f>vlookup("906-376348-210",B:AZ,column(ah1),0)*e505</f>
        <v>0</v>
      </c>
      <c r="AJ505">
        <f>vlookup("906-376348-210",B:AZ,column(ai1),0)*e505</f>
        <v>0</v>
      </c>
      <c r="AK505">
        <f>vlookup("906-376348-210",B:AZ,column(aj1),0)*e505</f>
        <v>0</v>
      </c>
      <c r="AL505">
        <f>vlookup("906-376348-210",B:AZ,column(ak1),0)*e505</f>
        <v>0</v>
      </c>
      <c r="AM505">
        <f>vlookup("906-376348-210",B:AZ,column(al1),0)*e505</f>
        <v>0</v>
      </c>
      <c r="AN505">
        <f>vlookup("906-376348-210",B:AZ,column(am1),0)*e505</f>
        <v>0</v>
      </c>
      <c r="AO505">
        <f>vlookup("906-376348-210",B:AZ,column(an1),0)*e505</f>
        <v>0</v>
      </c>
    </row>
    <row r="506" spans="1:41">
      <c r="A506" t="s">
        <v>10</v>
      </c>
      <c r="B506" t="s">
        <v>532</v>
      </c>
      <c r="C506" t="s">
        <v>533</v>
      </c>
      <c r="E506">
        <v>1</v>
      </c>
      <c r="F506" t="s">
        <v>13</v>
      </c>
      <c r="I506" t="s">
        <v>14</v>
      </c>
      <c r="AO506">
        <f>sum(j506:an506)</f>
        <v>0</v>
      </c>
    </row>
    <row r="507" spans="1:41">
      <c r="I507" t="s">
        <v>15</v>
      </c>
      <c r="J507">
        <f>vlookup("906-377348-110",Out!B:AZ,column(i1),0)</f>
        <v>0</v>
      </c>
      <c r="K507">
        <f>vlookup("906-377348-110",Out!B:AZ,column(j1),0)</f>
        <v>0</v>
      </c>
      <c r="L507">
        <f>vlookup("906-377348-110",Out!B:AZ,column(k1),0)</f>
        <v>0</v>
      </c>
      <c r="M507">
        <f>vlookup("906-377348-110",Out!B:AZ,column(l1),0)</f>
        <v>0</v>
      </c>
      <c r="N507">
        <f>vlookup("906-377348-110",Out!B:AZ,column(m1),0)</f>
        <v>0</v>
      </c>
      <c r="O507">
        <f>vlookup("906-377348-110",Out!B:AZ,column(n1),0)</f>
        <v>0</v>
      </c>
      <c r="P507">
        <f>vlookup("906-377348-110",Out!B:AZ,column(o1),0)</f>
        <v>0</v>
      </c>
      <c r="Q507">
        <f>vlookup("906-377348-110",Out!B:AZ,column(p1),0)</f>
        <v>0</v>
      </c>
      <c r="R507">
        <f>vlookup("906-377348-110",Out!B:AZ,column(q1),0)</f>
        <v>0</v>
      </c>
      <c r="S507">
        <f>vlookup("906-377348-110",Out!B:AZ,column(r1),0)</f>
        <v>0</v>
      </c>
      <c r="T507">
        <f>vlookup("906-377348-110",Out!B:AZ,column(s1),0)</f>
        <v>0</v>
      </c>
      <c r="U507">
        <f>vlookup("906-377348-110",Out!B:AZ,column(t1),0)</f>
        <v>0</v>
      </c>
      <c r="V507">
        <f>vlookup("906-377348-110",Out!B:AZ,column(u1),0)</f>
        <v>0</v>
      </c>
      <c r="W507">
        <f>vlookup("906-377348-110",Out!B:AZ,column(v1),0)</f>
        <v>0</v>
      </c>
      <c r="X507">
        <f>vlookup("906-377348-110",Out!B:AZ,column(w1),0)</f>
        <v>0</v>
      </c>
      <c r="Y507">
        <f>vlookup("906-377348-110",Out!B:AZ,column(x1),0)</f>
        <v>0</v>
      </c>
      <c r="Z507">
        <f>vlookup("906-377348-110",Out!B:AZ,column(y1),0)</f>
        <v>0</v>
      </c>
      <c r="AA507">
        <f>vlookup("906-377348-110",Out!B:AZ,column(z1),0)</f>
        <v>0</v>
      </c>
      <c r="AB507">
        <f>vlookup("906-377348-110",Out!B:AZ,column(aa1),0)</f>
        <v>0</v>
      </c>
      <c r="AC507">
        <f>vlookup("906-377348-110",Out!B:AZ,column(ab1),0)</f>
        <v>0</v>
      </c>
      <c r="AD507">
        <f>vlookup("906-377348-110",Out!B:AZ,column(ac1),0)</f>
        <v>0</v>
      </c>
      <c r="AE507">
        <f>vlookup("906-377348-110",Out!B:AZ,column(ad1),0)</f>
        <v>0</v>
      </c>
      <c r="AF507">
        <f>vlookup("906-377348-110",Out!B:AZ,column(ae1),0)</f>
        <v>0</v>
      </c>
      <c r="AG507">
        <f>vlookup("906-377348-110",Out!B:AZ,column(af1),0)</f>
        <v>0</v>
      </c>
      <c r="AH507">
        <f>vlookup("906-377348-110",Out!B:AZ,column(ag1),0)</f>
        <v>0</v>
      </c>
      <c r="AI507">
        <f>vlookup("906-377348-110",Out!B:AZ,column(ah1),0)</f>
        <v>0</v>
      </c>
      <c r="AJ507">
        <f>vlookup("906-377348-110",Out!B:AZ,column(ai1),0)</f>
        <v>0</v>
      </c>
      <c r="AK507">
        <f>vlookup("906-377348-110",Out!B:AZ,column(aj1),0)</f>
        <v>0</v>
      </c>
      <c r="AL507">
        <f>vlookup("906-377348-110",Out!B:AZ,column(ak1),0)</f>
        <v>0</v>
      </c>
      <c r="AM507">
        <f>vlookup("906-377348-110",Out!B:AZ,column(al1),0)</f>
        <v>0</v>
      </c>
      <c r="AN507">
        <f>vlookup("906-377348-110",Out!B:AZ,column(am1),0)</f>
        <v>0</v>
      </c>
      <c r="AO507">
        <f>vlookup("906-377348-110",Out!B:AZ,column(an1),0)</f>
        <v>0</v>
      </c>
    </row>
    <row r="508" spans="1:41">
      <c r="H508" t="s">
        <v>16</v>
      </c>
      <c r="J508">
        <f>indirect(address(508,9))+indirect(address(506,10))-indirect(address(507,10))</f>
        <v>0</v>
      </c>
      <c r="K508">
        <f>indirect(address(508,10))+indirect(address(506,11))-indirect(address(507,11))</f>
        <v>0</v>
      </c>
      <c r="L508">
        <f>indirect(address(508,11))+indirect(address(506,12))-indirect(address(507,12))</f>
        <v>0</v>
      </c>
      <c r="M508">
        <f>indirect(address(508,12))+indirect(address(506,13))-indirect(address(507,13))</f>
        <v>0</v>
      </c>
      <c r="N508">
        <f>indirect(address(508,13))+indirect(address(506,14))-indirect(address(507,14))</f>
        <v>0</v>
      </c>
      <c r="O508">
        <f>indirect(address(508,14))+indirect(address(506,15))-indirect(address(507,15))</f>
        <v>0</v>
      </c>
      <c r="P508">
        <f>indirect(address(508,15))+indirect(address(506,16))-indirect(address(507,16))</f>
        <v>0</v>
      </c>
      <c r="Q508">
        <f>indirect(address(508,16))+indirect(address(506,17))-indirect(address(507,17))</f>
        <v>0</v>
      </c>
      <c r="R508">
        <f>indirect(address(508,17))+indirect(address(506,18))-indirect(address(507,18))</f>
        <v>0</v>
      </c>
      <c r="S508">
        <f>indirect(address(508,18))+indirect(address(506,19))-indirect(address(507,19))</f>
        <v>0</v>
      </c>
      <c r="T508">
        <f>indirect(address(508,19))+indirect(address(506,20))-indirect(address(507,20))</f>
        <v>0</v>
      </c>
      <c r="U508">
        <f>indirect(address(508,20))+indirect(address(506,21))-indirect(address(507,21))</f>
        <v>0</v>
      </c>
      <c r="V508">
        <f>indirect(address(508,21))+indirect(address(506,22))-indirect(address(507,22))</f>
        <v>0</v>
      </c>
      <c r="W508">
        <f>indirect(address(508,22))+indirect(address(506,23))-indirect(address(507,23))</f>
        <v>0</v>
      </c>
      <c r="X508">
        <f>indirect(address(508,23))+indirect(address(506,24))-indirect(address(507,24))</f>
        <v>0</v>
      </c>
      <c r="Y508">
        <f>indirect(address(508,24))+indirect(address(506,25))-indirect(address(507,25))</f>
        <v>0</v>
      </c>
      <c r="Z508">
        <f>indirect(address(508,25))+indirect(address(506,26))-indirect(address(507,26))</f>
        <v>0</v>
      </c>
      <c r="AA508">
        <f>indirect(address(508,26))+indirect(address(506,27))-indirect(address(507,27))</f>
        <v>0</v>
      </c>
      <c r="AB508">
        <f>indirect(address(508,27))+indirect(address(506,28))-indirect(address(507,28))</f>
        <v>0</v>
      </c>
      <c r="AC508">
        <f>indirect(address(508,28))+indirect(address(506,29))-indirect(address(507,29))</f>
        <v>0</v>
      </c>
      <c r="AD508">
        <f>indirect(address(508,29))+indirect(address(506,30))-indirect(address(507,30))</f>
        <v>0</v>
      </c>
      <c r="AE508">
        <f>indirect(address(508,30))+indirect(address(506,31))-indirect(address(507,31))</f>
        <v>0</v>
      </c>
      <c r="AF508">
        <f>indirect(address(508,31))+indirect(address(506,32))-indirect(address(507,32))</f>
        <v>0</v>
      </c>
      <c r="AG508">
        <f>indirect(address(508,32))+indirect(address(506,33))-indirect(address(507,33))</f>
        <v>0</v>
      </c>
      <c r="AH508">
        <f>indirect(address(508,33))+indirect(address(506,34))-indirect(address(507,34))</f>
        <v>0</v>
      </c>
      <c r="AI508">
        <f>indirect(address(508,34))+indirect(address(506,35))-indirect(address(507,35))</f>
        <v>0</v>
      </c>
      <c r="AJ508">
        <f>indirect(address(508,35))+indirect(address(506,36))-indirect(address(507,36))</f>
        <v>0</v>
      </c>
      <c r="AK508">
        <f>indirect(address(508,36))+indirect(address(506,37))-indirect(address(507,37))</f>
        <v>0</v>
      </c>
      <c r="AL508">
        <f>indirect(address(508,37))+indirect(address(506,38))-indirect(address(507,38))</f>
        <v>0</v>
      </c>
      <c r="AM508">
        <f>indirect(address(508,38))+indirect(address(506,39))-indirect(address(507,39))</f>
        <v>0</v>
      </c>
      <c r="AN508">
        <f>indirect(address(508,39))+indirect(address(506,40))-indirect(address(507,40))</f>
        <v>0</v>
      </c>
      <c r="AO508">
        <f>indirect(address(508,40))</f>
        <v>0</v>
      </c>
    </row>
    <row r="509" spans="1:41">
      <c r="A509" t="s">
        <v>17</v>
      </c>
      <c r="B509" t="s">
        <v>534</v>
      </c>
      <c r="C509" t="s">
        <v>505</v>
      </c>
      <c r="E509">
        <v>1</v>
      </c>
      <c r="F509" t="s">
        <v>13</v>
      </c>
      <c r="I509" t="s">
        <v>15</v>
      </c>
      <c r="J509">
        <f>vlookup("906-377348-110",B:AZ,column(i1),0)*e509</f>
        <v>0</v>
      </c>
      <c r="K509">
        <f>vlookup("906-377348-110",B:AZ,column(j1),0)*e509</f>
        <v>0</v>
      </c>
      <c r="L509">
        <f>vlookup("906-377348-110",B:AZ,column(k1),0)*e509</f>
        <v>0</v>
      </c>
      <c r="M509">
        <f>vlookup("906-377348-110",B:AZ,column(l1),0)*e509</f>
        <v>0</v>
      </c>
      <c r="N509">
        <f>vlookup("906-377348-110",B:AZ,column(m1),0)*e509</f>
        <v>0</v>
      </c>
      <c r="O509">
        <f>vlookup("906-377348-110",B:AZ,column(n1),0)*e509</f>
        <v>0</v>
      </c>
      <c r="P509">
        <f>vlookup("906-377348-110",B:AZ,column(o1),0)*e509</f>
        <v>0</v>
      </c>
      <c r="Q509">
        <f>vlookup("906-377348-110",B:AZ,column(p1),0)*e509</f>
        <v>0</v>
      </c>
      <c r="R509">
        <f>vlookup("906-377348-110",B:AZ,column(q1),0)*e509</f>
        <v>0</v>
      </c>
      <c r="S509">
        <f>vlookup("906-377348-110",B:AZ,column(r1),0)*e509</f>
        <v>0</v>
      </c>
      <c r="T509">
        <f>vlookup("906-377348-110",B:AZ,column(s1),0)*e509</f>
        <v>0</v>
      </c>
      <c r="U509">
        <f>vlookup("906-377348-110",B:AZ,column(t1),0)*e509</f>
        <v>0</v>
      </c>
      <c r="V509">
        <f>vlookup("906-377348-110",B:AZ,column(u1),0)*e509</f>
        <v>0</v>
      </c>
      <c r="W509">
        <f>vlookup("906-377348-110",B:AZ,column(v1),0)*e509</f>
        <v>0</v>
      </c>
      <c r="X509">
        <f>vlookup("906-377348-110",B:AZ,column(w1),0)*e509</f>
        <v>0</v>
      </c>
      <c r="Y509">
        <f>vlookup("906-377348-110",B:AZ,column(x1),0)*e509</f>
        <v>0</v>
      </c>
      <c r="Z509">
        <f>vlookup("906-377348-110",B:AZ,column(y1),0)*e509</f>
        <v>0</v>
      </c>
      <c r="AA509">
        <f>vlookup("906-377348-110",B:AZ,column(z1),0)*e509</f>
        <v>0</v>
      </c>
      <c r="AB509">
        <f>vlookup("906-377348-110",B:AZ,column(aa1),0)*e509</f>
        <v>0</v>
      </c>
      <c r="AC509">
        <f>vlookup("906-377348-110",B:AZ,column(ab1),0)*e509</f>
        <v>0</v>
      </c>
      <c r="AD509">
        <f>vlookup("906-377348-110",B:AZ,column(ac1),0)*e509</f>
        <v>0</v>
      </c>
      <c r="AE509">
        <f>vlookup("906-377348-110",B:AZ,column(ad1),0)*e509</f>
        <v>0</v>
      </c>
      <c r="AF509">
        <f>vlookup("906-377348-110",B:AZ,column(ae1),0)*e509</f>
        <v>0</v>
      </c>
      <c r="AG509">
        <f>vlookup("906-377348-110",B:AZ,column(af1),0)*e509</f>
        <v>0</v>
      </c>
      <c r="AH509">
        <f>vlookup("906-377348-110",B:AZ,column(ag1),0)*e509</f>
        <v>0</v>
      </c>
      <c r="AI509">
        <f>vlookup("906-377348-110",B:AZ,column(ah1),0)*e509</f>
        <v>0</v>
      </c>
      <c r="AJ509">
        <f>vlookup("906-377348-110",B:AZ,column(ai1),0)*e509</f>
        <v>0</v>
      </c>
      <c r="AK509">
        <f>vlookup("906-377348-110",B:AZ,column(aj1),0)*e509</f>
        <v>0</v>
      </c>
      <c r="AL509">
        <f>vlookup("906-377348-110",B:AZ,column(ak1),0)*e509</f>
        <v>0</v>
      </c>
      <c r="AM509">
        <f>vlookup("906-377348-110",B:AZ,column(al1),0)*e509</f>
        <v>0</v>
      </c>
      <c r="AN509">
        <f>vlookup("906-377348-110",B:AZ,column(am1),0)*e509</f>
        <v>0</v>
      </c>
      <c r="AO509">
        <f>vlookup("906-377348-110",B:AZ,column(an1),0)*e509</f>
        <v>0</v>
      </c>
    </row>
    <row r="510" spans="1:41">
      <c r="A510" t="s">
        <v>17</v>
      </c>
      <c r="B510" t="s">
        <v>535</v>
      </c>
      <c r="C510" t="s">
        <v>507</v>
      </c>
      <c r="E510">
        <v>1</v>
      </c>
      <c r="F510" t="s">
        <v>13</v>
      </c>
      <c r="I510" t="s">
        <v>15</v>
      </c>
      <c r="J510">
        <f>vlookup("906-377348-110",B:AZ,column(i1),0)*e510</f>
        <v>0</v>
      </c>
      <c r="K510">
        <f>vlookup("906-377348-110",B:AZ,column(j1),0)*e510</f>
        <v>0</v>
      </c>
      <c r="L510">
        <f>vlookup("906-377348-110",B:AZ,column(k1),0)*e510</f>
        <v>0</v>
      </c>
      <c r="M510">
        <f>vlookup("906-377348-110",B:AZ,column(l1),0)*e510</f>
        <v>0</v>
      </c>
      <c r="N510">
        <f>vlookup("906-377348-110",B:AZ,column(m1),0)*e510</f>
        <v>0</v>
      </c>
      <c r="O510">
        <f>vlookup("906-377348-110",B:AZ,column(n1),0)*e510</f>
        <v>0</v>
      </c>
      <c r="P510">
        <f>vlookup("906-377348-110",B:AZ,column(o1),0)*e510</f>
        <v>0</v>
      </c>
      <c r="Q510">
        <f>vlookup("906-377348-110",B:AZ,column(p1),0)*e510</f>
        <v>0</v>
      </c>
      <c r="R510">
        <f>vlookup("906-377348-110",B:AZ,column(q1),0)*e510</f>
        <v>0</v>
      </c>
      <c r="S510">
        <f>vlookup("906-377348-110",B:AZ,column(r1),0)*e510</f>
        <v>0</v>
      </c>
      <c r="T510">
        <f>vlookup("906-377348-110",B:AZ,column(s1),0)*e510</f>
        <v>0</v>
      </c>
      <c r="U510">
        <f>vlookup("906-377348-110",B:AZ,column(t1),0)*e510</f>
        <v>0</v>
      </c>
      <c r="V510">
        <f>vlookup("906-377348-110",B:AZ,column(u1),0)*e510</f>
        <v>0</v>
      </c>
      <c r="W510">
        <f>vlookup("906-377348-110",B:AZ,column(v1),0)*e510</f>
        <v>0</v>
      </c>
      <c r="X510">
        <f>vlookup("906-377348-110",B:AZ,column(w1),0)*e510</f>
        <v>0</v>
      </c>
      <c r="Y510">
        <f>vlookup("906-377348-110",B:AZ,column(x1),0)*e510</f>
        <v>0</v>
      </c>
      <c r="Z510">
        <f>vlookup("906-377348-110",B:AZ,column(y1),0)*e510</f>
        <v>0</v>
      </c>
      <c r="AA510">
        <f>vlookup("906-377348-110",B:AZ,column(z1),0)*e510</f>
        <v>0</v>
      </c>
      <c r="AB510">
        <f>vlookup("906-377348-110",B:AZ,column(aa1),0)*e510</f>
        <v>0</v>
      </c>
      <c r="AC510">
        <f>vlookup("906-377348-110",B:AZ,column(ab1),0)*e510</f>
        <v>0</v>
      </c>
      <c r="AD510">
        <f>vlookup("906-377348-110",B:AZ,column(ac1),0)*e510</f>
        <v>0</v>
      </c>
      <c r="AE510">
        <f>vlookup("906-377348-110",B:AZ,column(ad1),0)*e510</f>
        <v>0</v>
      </c>
      <c r="AF510">
        <f>vlookup("906-377348-110",B:AZ,column(ae1),0)*e510</f>
        <v>0</v>
      </c>
      <c r="AG510">
        <f>vlookup("906-377348-110",B:AZ,column(af1),0)*e510</f>
        <v>0</v>
      </c>
      <c r="AH510">
        <f>vlookup("906-377348-110",B:AZ,column(ag1),0)*e510</f>
        <v>0</v>
      </c>
      <c r="AI510">
        <f>vlookup("906-377348-110",B:AZ,column(ah1),0)*e510</f>
        <v>0</v>
      </c>
      <c r="AJ510">
        <f>vlookup("906-377348-110",B:AZ,column(ai1),0)*e510</f>
        <v>0</v>
      </c>
      <c r="AK510">
        <f>vlookup("906-377348-110",B:AZ,column(aj1),0)*e510</f>
        <v>0</v>
      </c>
      <c r="AL510">
        <f>vlookup("906-377348-110",B:AZ,column(ak1),0)*e510</f>
        <v>0</v>
      </c>
      <c r="AM510">
        <f>vlookup("906-377348-110",B:AZ,column(al1),0)*e510</f>
        <v>0</v>
      </c>
      <c r="AN510">
        <f>vlookup("906-377348-110",B:AZ,column(am1),0)*e510</f>
        <v>0</v>
      </c>
      <c r="AO510">
        <f>vlookup("906-377348-110",B:AZ,column(an1),0)*e510</f>
        <v>0</v>
      </c>
    </row>
    <row r="511" spans="1:41">
      <c r="A511" t="s">
        <v>22</v>
      </c>
      <c r="B511" t="s">
        <v>508</v>
      </c>
      <c r="C511" t="s">
        <v>509</v>
      </c>
      <c r="E511">
        <v>2</v>
      </c>
      <c r="F511" t="s">
        <v>13</v>
      </c>
      <c r="I511" t="s">
        <v>15</v>
      </c>
      <c r="J511">
        <f>vlookup("906-377348-110",B:AZ,column(i1),0)*e511</f>
        <v>0</v>
      </c>
      <c r="K511">
        <f>vlookup("906-377348-110",B:AZ,column(j1),0)*e511</f>
        <v>0</v>
      </c>
      <c r="L511">
        <f>vlookup("906-377348-110",B:AZ,column(k1),0)*e511</f>
        <v>0</v>
      </c>
      <c r="M511">
        <f>vlookup("906-377348-110",B:AZ,column(l1),0)*e511</f>
        <v>0</v>
      </c>
      <c r="N511">
        <f>vlookup("906-377348-110",B:AZ,column(m1),0)*e511</f>
        <v>0</v>
      </c>
      <c r="O511">
        <f>vlookup("906-377348-110",B:AZ,column(n1),0)*e511</f>
        <v>0</v>
      </c>
      <c r="P511">
        <f>vlookup("906-377348-110",B:AZ,column(o1),0)*e511</f>
        <v>0</v>
      </c>
      <c r="Q511">
        <f>vlookup("906-377348-110",B:AZ,column(p1),0)*e511</f>
        <v>0</v>
      </c>
      <c r="R511">
        <f>vlookup("906-377348-110",B:AZ,column(q1),0)*e511</f>
        <v>0</v>
      </c>
      <c r="S511">
        <f>vlookup("906-377348-110",B:AZ,column(r1),0)*e511</f>
        <v>0</v>
      </c>
      <c r="T511">
        <f>vlookup("906-377348-110",B:AZ,column(s1),0)*e511</f>
        <v>0</v>
      </c>
      <c r="U511">
        <f>vlookup("906-377348-110",B:AZ,column(t1),0)*e511</f>
        <v>0</v>
      </c>
      <c r="V511">
        <f>vlookup("906-377348-110",B:AZ,column(u1),0)*e511</f>
        <v>0</v>
      </c>
      <c r="W511">
        <f>vlookup("906-377348-110",B:AZ,column(v1),0)*e511</f>
        <v>0</v>
      </c>
      <c r="X511">
        <f>vlookup("906-377348-110",B:AZ,column(w1),0)*e511</f>
        <v>0</v>
      </c>
      <c r="Y511">
        <f>vlookup("906-377348-110",B:AZ,column(x1),0)*e511</f>
        <v>0</v>
      </c>
      <c r="Z511">
        <f>vlookup("906-377348-110",B:AZ,column(y1),0)*e511</f>
        <v>0</v>
      </c>
      <c r="AA511">
        <f>vlookup("906-377348-110",B:AZ,column(z1),0)*e511</f>
        <v>0</v>
      </c>
      <c r="AB511">
        <f>vlookup("906-377348-110",B:AZ,column(aa1),0)*e511</f>
        <v>0</v>
      </c>
      <c r="AC511">
        <f>vlookup("906-377348-110",B:AZ,column(ab1),0)*e511</f>
        <v>0</v>
      </c>
      <c r="AD511">
        <f>vlookup("906-377348-110",B:AZ,column(ac1),0)*e511</f>
        <v>0</v>
      </c>
      <c r="AE511">
        <f>vlookup("906-377348-110",B:AZ,column(ad1),0)*e511</f>
        <v>0</v>
      </c>
      <c r="AF511">
        <f>vlookup("906-377348-110",B:AZ,column(ae1),0)*e511</f>
        <v>0</v>
      </c>
      <c r="AG511">
        <f>vlookup("906-377348-110",B:AZ,column(af1),0)*e511</f>
        <v>0</v>
      </c>
      <c r="AH511">
        <f>vlookup("906-377348-110",B:AZ,column(ag1),0)*e511</f>
        <v>0</v>
      </c>
      <c r="AI511">
        <f>vlookup("906-377348-110",B:AZ,column(ah1),0)*e511</f>
        <v>0</v>
      </c>
      <c r="AJ511">
        <f>vlookup("906-377348-110",B:AZ,column(ai1),0)*e511</f>
        <v>0</v>
      </c>
      <c r="AK511">
        <f>vlookup("906-377348-110",B:AZ,column(aj1),0)*e511</f>
        <v>0</v>
      </c>
      <c r="AL511">
        <f>vlookup("906-377348-110",B:AZ,column(ak1),0)*e511</f>
        <v>0</v>
      </c>
      <c r="AM511">
        <f>vlookup("906-377348-110",B:AZ,column(al1),0)*e511</f>
        <v>0</v>
      </c>
      <c r="AN511">
        <f>vlookup("906-377348-110",B:AZ,column(am1),0)*e511</f>
        <v>0</v>
      </c>
      <c r="AO511">
        <f>vlookup("906-377348-110",B:AZ,column(an1),0)*e511</f>
        <v>0</v>
      </c>
    </row>
    <row r="512" spans="1:41">
      <c r="A512" t="s">
        <v>22</v>
      </c>
      <c r="B512" t="s">
        <v>510</v>
      </c>
      <c r="C512" t="s">
        <v>511</v>
      </c>
      <c r="E512">
        <v>7</v>
      </c>
      <c r="F512" t="s">
        <v>13</v>
      </c>
      <c r="I512" t="s">
        <v>15</v>
      </c>
      <c r="J512">
        <f>vlookup("906-377348-110",B:AZ,column(i1),0)*e512</f>
        <v>0</v>
      </c>
      <c r="K512">
        <f>vlookup("906-377348-110",B:AZ,column(j1),0)*e512</f>
        <v>0</v>
      </c>
      <c r="L512">
        <f>vlookup("906-377348-110",B:AZ,column(k1),0)*e512</f>
        <v>0</v>
      </c>
      <c r="M512">
        <f>vlookup("906-377348-110",B:AZ,column(l1),0)*e512</f>
        <v>0</v>
      </c>
      <c r="N512">
        <f>vlookup("906-377348-110",B:AZ,column(m1),0)*e512</f>
        <v>0</v>
      </c>
      <c r="O512">
        <f>vlookup("906-377348-110",B:AZ,column(n1),0)*e512</f>
        <v>0</v>
      </c>
      <c r="P512">
        <f>vlookup("906-377348-110",B:AZ,column(o1),0)*e512</f>
        <v>0</v>
      </c>
      <c r="Q512">
        <f>vlookup("906-377348-110",B:AZ,column(p1),0)*e512</f>
        <v>0</v>
      </c>
      <c r="R512">
        <f>vlookup("906-377348-110",B:AZ,column(q1),0)*e512</f>
        <v>0</v>
      </c>
      <c r="S512">
        <f>vlookup("906-377348-110",B:AZ,column(r1),0)*e512</f>
        <v>0</v>
      </c>
      <c r="T512">
        <f>vlookup("906-377348-110",B:AZ,column(s1),0)*e512</f>
        <v>0</v>
      </c>
      <c r="U512">
        <f>vlookup("906-377348-110",B:AZ,column(t1),0)*e512</f>
        <v>0</v>
      </c>
      <c r="V512">
        <f>vlookup("906-377348-110",B:AZ,column(u1),0)*e512</f>
        <v>0</v>
      </c>
      <c r="W512">
        <f>vlookup("906-377348-110",B:AZ,column(v1),0)*e512</f>
        <v>0</v>
      </c>
      <c r="X512">
        <f>vlookup("906-377348-110",B:AZ,column(w1),0)*e512</f>
        <v>0</v>
      </c>
      <c r="Y512">
        <f>vlookup("906-377348-110",B:AZ,column(x1),0)*e512</f>
        <v>0</v>
      </c>
      <c r="Z512">
        <f>vlookup("906-377348-110",B:AZ,column(y1),0)*e512</f>
        <v>0</v>
      </c>
      <c r="AA512">
        <f>vlookup("906-377348-110",B:AZ,column(z1),0)*e512</f>
        <v>0</v>
      </c>
      <c r="AB512">
        <f>vlookup("906-377348-110",B:AZ,column(aa1),0)*e512</f>
        <v>0</v>
      </c>
      <c r="AC512">
        <f>vlookup("906-377348-110",B:AZ,column(ab1),0)*e512</f>
        <v>0</v>
      </c>
      <c r="AD512">
        <f>vlookup("906-377348-110",B:AZ,column(ac1),0)*e512</f>
        <v>0</v>
      </c>
      <c r="AE512">
        <f>vlookup("906-377348-110",B:AZ,column(ad1),0)*e512</f>
        <v>0</v>
      </c>
      <c r="AF512">
        <f>vlookup("906-377348-110",B:AZ,column(ae1),0)*e512</f>
        <v>0</v>
      </c>
      <c r="AG512">
        <f>vlookup("906-377348-110",B:AZ,column(af1),0)*e512</f>
        <v>0</v>
      </c>
      <c r="AH512">
        <f>vlookup("906-377348-110",B:AZ,column(ag1),0)*e512</f>
        <v>0</v>
      </c>
      <c r="AI512">
        <f>vlookup("906-377348-110",B:AZ,column(ah1),0)*e512</f>
        <v>0</v>
      </c>
      <c r="AJ512">
        <f>vlookup("906-377348-110",B:AZ,column(ai1),0)*e512</f>
        <v>0</v>
      </c>
      <c r="AK512">
        <f>vlookup("906-377348-110",B:AZ,column(aj1),0)*e512</f>
        <v>0</v>
      </c>
      <c r="AL512">
        <f>vlookup("906-377348-110",B:AZ,column(ak1),0)*e512</f>
        <v>0</v>
      </c>
      <c r="AM512">
        <f>vlookup("906-377348-110",B:AZ,column(al1),0)*e512</f>
        <v>0</v>
      </c>
      <c r="AN512">
        <f>vlookup("906-377348-110",B:AZ,column(am1),0)*e512</f>
        <v>0</v>
      </c>
      <c r="AO512">
        <f>vlookup("906-377348-110",B:AZ,column(an1),0)*e512</f>
        <v>0</v>
      </c>
    </row>
    <row r="513" spans="1:41">
      <c r="A513" t="s">
        <v>22</v>
      </c>
      <c r="B513" t="s">
        <v>512</v>
      </c>
      <c r="C513" t="s">
        <v>513</v>
      </c>
      <c r="E513">
        <v>1</v>
      </c>
      <c r="F513" t="s">
        <v>13</v>
      </c>
      <c r="I513" t="s">
        <v>15</v>
      </c>
      <c r="J513">
        <f>vlookup("906-377348-110",B:AZ,column(i1),0)*e513</f>
        <v>0</v>
      </c>
      <c r="K513">
        <f>vlookup("906-377348-110",B:AZ,column(j1),0)*e513</f>
        <v>0</v>
      </c>
      <c r="L513">
        <f>vlookup("906-377348-110",B:AZ,column(k1),0)*e513</f>
        <v>0</v>
      </c>
      <c r="M513">
        <f>vlookup("906-377348-110",B:AZ,column(l1),0)*e513</f>
        <v>0</v>
      </c>
      <c r="N513">
        <f>vlookup("906-377348-110",B:AZ,column(m1),0)*e513</f>
        <v>0</v>
      </c>
      <c r="O513">
        <f>vlookup("906-377348-110",B:AZ,column(n1),0)*e513</f>
        <v>0</v>
      </c>
      <c r="P513">
        <f>vlookup("906-377348-110",B:AZ,column(o1),0)*e513</f>
        <v>0</v>
      </c>
      <c r="Q513">
        <f>vlookup("906-377348-110",B:AZ,column(p1),0)*e513</f>
        <v>0</v>
      </c>
      <c r="R513">
        <f>vlookup("906-377348-110",B:AZ,column(q1),0)*e513</f>
        <v>0</v>
      </c>
      <c r="S513">
        <f>vlookup("906-377348-110",B:AZ,column(r1),0)*e513</f>
        <v>0</v>
      </c>
      <c r="T513">
        <f>vlookup("906-377348-110",B:AZ,column(s1),0)*e513</f>
        <v>0</v>
      </c>
      <c r="U513">
        <f>vlookup("906-377348-110",B:AZ,column(t1),0)*e513</f>
        <v>0</v>
      </c>
      <c r="V513">
        <f>vlookup("906-377348-110",B:AZ,column(u1),0)*e513</f>
        <v>0</v>
      </c>
      <c r="W513">
        <f>vlookup("906-377348-110",B:AZ,column(v1),0)*e513</f>
        <v>0</v>
      </c>
      <c r="X513">
        <f>vlookup("906-377348-110",B:AZ,column(w1),0)*e513</f>
        <v>0</v>
      </c>
      <c r="Y513">
        <f>vlookup("906-377348-110",B:AZ,column(x1),0)*e513</f>
        <v>0</v>
      </c>
      <c r="Z513">
        <f>vlookup("906-377348-110",B:AZ,column(y1),0)*e513</f>
        <v>0</v>
      </c>
      <c r="AA513">
        <f>vlookup("906-377348-110",B:AZ,column(z1),0)*e513</f>
        <v>0</v>
      </c>
      <c r="AB513">
        <f>vlookup("906-377348-110",B:AZ,column(aa1),0)*e513</f>
        <v>0</v>
      </c>
      <c r="AC513">
        <f>vlookup("906-377348-110",B:AZ,column(ab1),0)*e513</f>
        <v>0</v>
      </c>
      <c r="AD513">
        <f>vlookup("906-377348-110",B:AZ,column(ac1),0)*e513</f>
        <v>0</v>
      </c>
      <c r="AE513">
        <f>vlookup("906-377348-110",B:AZ,column(ad1),0)*e513</f>
        <v>0</v>
      </c>
      <c r="AF513">
        <f>vlookup("906-377348-110",B:AZ,column(ae1),0)*e513</f>
        <v>0</v>
      </c>
      <c r="AG513">
        <f>vlookup("906-377348-110",B:AZ,column(af1),0)*e513</f>
        <v>0</v>
      </c>
      <c r="AH513">
        <f>vlookup("906-377348-110",B:AZ,column(ag1),0)*e513</f>
        <v>0</v>
      </c>
      <c r="AI513">
        <f>vlookup("906-377348-110",B:AZ,column(ah1),0)*e513</f>
        <v>0</v>
      </c>
      <c r="AJ513">
        <f>vlookup("906-377348-110",B:AZ,column(ai1),0)*e513</f>
        <v>0</v>
      </c>
      <c r="AK513">
        <f>vlookup("906-377348-110",B:AZ,column(aj1),0)*e513</f>
        <v>0</v>
      </c>
      <c r="AL513">
        <f>vlookup("906-377348-110",B:AZ,column(ak1),0)*e513</f>
        <v>0</v>
      </c>
      <c r="AM513">
        <f>vlookup("906-377348-110",B:AZ,column(al1),0)*e513</f>
        <v>0</v>
      </c>
      <c r="AN513">
        <f>vlookup("906-377348-110",B:AZ,column(am1),0)*e513</f>
        <v>0</v>
      </c>
      <c r="AO513">
        <f>vlookup("906-377348-110",B:AZ,column(an1),0)*e513</f>
        <v>0</v>
      </c>
    </row>
    <row r="514" spans="1:41">
      <c r="A514" t="s">
        <v>22</v>
      </c>
      <c r="B514" t="s">
        <v>536</v>
      </c>
      <c r="C514" t="s">
        <v>537</v>
      </c>
      <c r="E514">
        <v>1</v>
      </c>
      <c r="F514" t="s">
        <v>13</v>
      </c>
      <c r="I514" t="s">
        <v>15</v>
      </c>
      <c r="J514">
        <f>vlookup("906-377348-110",B:AZ,column(i1),0)*e514</f>
        <v>0</v>
      </c>
      <c r="K514">
        <f>vlookup("906-377348-110",B:AZ,column(j1),0)*e514</f>
        <v>0</v>
      </c>
      <c r="L514">
        <f>vlookup("906-377348-110",B:AZ,column(k1),0)*e514</f>
        <v>0</v>
      </c>
      <c r="M514">
        <f>vlookup("906-377348-110",B:AZ,column(l1),0)*e514</f>
        <v>0</v>
      </c>
      <c r="N514">
        <f>vlookup("906-377348-110",B:AZ,column(m1),0)*e514</f>
        <v>0</v>
      </c>
      <c r="O514">
        <f>vlookup("906-377348-110",B:AZ,column(n1),0)*e514</f>
        <v>0</v>
      </c>
      <c r="P514">
        <f>vlookup("906-377348-110",B:AZ,column(o1),0)*e514</f>
        <v>0</v>
      </c>
      <c r="Q514">
        <f>vlookup("906-377348-110",B:AZ,column(p1),0)*e514</f>
        <v>0</v>
      </c>
      <c r="R514">
        <f>vlookup("906-377348-110",B:AZ,column(q1),0)*e514</f>
        <v>0</v>
      </c>
      <c r="S514">
        <f>vlookup("906-377348-110",B:AZ,column(r1),0)*e514</f>
        <v>0</v>
      </c>
      <c r="T514">
        <f>vlookup("906-377348-110",B:AZ,column(s1),0)*e514</f>
        <v>0</v>
      </c>
      <c r="U514">
        <f>vlookup("906-377348-110",B:AZ,column(t1),0)*e514</f>
        <v>0</v>
      </c>
      <c r="V514">
        <f>vlookup("906-377348-110",B:AZ,column(u1),0)*e514</f>
        <v>0</v>
      </c>
      <c r="W514">
        <f>vlookup("906-377348-110",B:AZ,column(v1),0)*e514</f>
        <v>0</v>
      </c>
      <c r="X514">
        <f>vlookup("906-377348-110",B:AZ,column(w1),0)*e514</f>
        <v>0</v>
      </c>
      <c r="Y514">
        <f>vlookup("906-377348-110",B:AZ,column(x1),0)*e514</f>
        <v>0</v>
      </c>
      <c r="Z514">
        <f>vlookup("906-377348-110",B:AZ,column(y1),0)*e514</f>
        <v>0</v>
      </c>
      <c r="AA514">
        <f>vlookup("906-377348-110",B:AZ,column(z1),0)*e514</f>
        <v>0</v>
      </c>
      <c r="AB514">
        <f>vlookup("906-377348-110",B:AZ,column(aa1),0)*e514</f>
        <v>0</v>
      </c>
      <c r="AC514">
        <f>vlookup("906-377348-110",B:AZ,column(ab1),0)*e514</f>
        <v>0</v>
      </c>
      <c r="AD514">
        <f>vlookup("906-377348-110",B:AZ,column(ac1),0)*e514</f>
        <v>0</v>
      </c>
      <c r="AE514">
        <f>vlookup("906-377348-110",B:AZ,column(ad1),0)*e514</f>
        <v>0</v>
      </c>
      <c r="AF514">
        <f>vlookup("906-377348-110",B:AZ,column(ae1),0)*e514</f>
        <v>0</v>
      </c>
      <c r="AG514">
        <f>vlookup("906-377348-110",B:AZ,column(af1),0)*e514</f>
        <v>0</v>
      </c>
      <c r="AH514">
        <f>vlookup("906-377348-110",B:AZ,column(ag1),0)*e514</f>
        <v>0</v>
      </c>
      <c r="AI514">
        <f>vlookup("906-377348-110",B:AZ,column(ah1),0)*e514</f>
        <v>0</v>
      </c>
      <c r="AJ514">
        <f>vlookup("906-377348-110",B:AZ,column(ai1),0)*e514</f>
        <v>0</v>
      </c>
      <c r="AK514">
        <f>vlookup("906-377348-110",B:AZ,column(aj1),0)*e514</f>
        <v>0</v>
      </c>
      <c r="AL514">
        <f>vlookup("906-377348-110",B:AZ,column(ak1),0)*e514</f>
        <v>0</v>
      </c>
      <c r="AM514">
        <f>vlookup("906-377348-110",B:AZ,column(al1),0)*e514</f>
        <v>0</v>
      </c>
      <c r="AN514">
        <f>vlookup("906-377348-110",B:AZ,column(am1),0)*e514</f>
        <v>0</v>
      </c>
      <c r="AO514">
        <f>vlookup("906-377348-110",B:AZ,column(an1),0)*e514</f>
        <v>0</v>
      </c>
    </row>
    <row r="515" spans="1:41">
      <c r="A515" t="s">
        <v>22</v>
      </c>
      <c r="B515" t="s">
        <v>538</v>
      </c>
      <c r="C515" t="s">
        <v>539</v>
      </c>
      <c r="E515">
        <v>2</v>
      </c>
      <c r="F515" t="s">
        <v>13</v>
      </c>
      <c r="I515" t="s">
        <v>15</v>
      </c>
      <c r="J515">
        <f>vlookup("906-377348-110",B:AZ,column(i1),0)*e515</f>
        <v>0</v>
      </c>
      <c r="K515">
        <f>vlookup("906-377348-110",B:AZ,column(j1),0)*e515</f>
        <v>0</v>
      </c>
      <c r="L515">
        <f>vlookup("906-377348-110",B:AZ,column(k1),0)*e515</f>
        <v>0</v>
      </c>
      <c r="M515">
        <f>vlookup("906-377348-110",B:AZ,column(l1),0)*e515</f>
        <v>0</v>
      </c>
      <c r="N515">
        <f>vlookup("906-377348-110",B:AZ,column(m1),0)*e515</f>
        <v>0</v>
      </c>
      <c r="O515">
        <f>vlookup("906-377348-110",B:AZ,column(n1),0)*e515</f>
        <v>0</v>
      </c>
      <c r="P515">
        <f>vlookup("906-377348-110",B:AZ,column(o1),0)*e515</f>
        <v>0</v>
      </c>
      <c r="Q515">
        <f>vlookup("906-377348-110",B:AZ,column(p1),0)*e515</f>
        <v>0</v>
      </c>
      <c r="R515">
        <f>vlookup("906-377348-110",B:AZ,column(q1),0)*e515</f>
        <v>0</v>
      </c>
      <c r="S515">
        <f>vlookup("906-377348-110",B:AZ,column(r1),0)*e515</f>
        <v>0</v>
      </c>
      <c r="T515">
        <f>vlookup("906-377348-110",B:AZ,column(s1),0)*e515</f>
        <v>0</v>
      </c>
      <c r="U515">
        <f>vlookup("906-377348-110",B:AZ,column(t1),0)*e515</f>
        <v>0</v>
      </c>
      <c r="V515">
        <f>vlookup("906-377348-110",B:AZ,column(u1),0)*e515</f>
        <v>0</v>
      </c>
      <c r="W515">
        <f>vlookup("906-377348-110",B:AZ,column(v1),0)*e515</f>
        <v>0</v>
      </c>
      <c r="X515">
        <f>vlookup("906-377348-110",B:AZ,column(w1),0)*e515</f>
        <v>0</v>
      </c>
      <c r="Y515">
        <f>vlookup("906-377348-110",B:AZ,column(x1),0)*e515</f>
        <v>0</v>
      </c>
      <c r="Z515">
        <f>vlookup("906-377348-110",B:AZ,column(y1),0)*e515</f>
        <v>0</v>
      </c>
      <c r="AA515">
        <f>vlookup("906-377348-110",B:AZ,column(z1),0)*e515</f>
        <v>0</v>
      </c>
      <c r="AB515">
        <f>vlookup("906-377348-110",B:AZ,column(aa1),0)*e515</f>
        <v>0</v>
      </c>
      <c r="AC515">
        <f>vlookup("906-377348-110",B:AZ,column(ab1),0)*e515</f>
        <v>0</v>
      </c>
      <c r="AD515">
        <f>vlookup("906-377348-110",B:AZ,column(ac1),0)*e515</f>
        <v>0</v>
      </c>
      <c r="AE515">
        <f>vlookup("906-377348-110",B:AZ,column(ad1),0)*e515</f>
        <v>0</v>
      </c>
      <c r="AF515">
        <f>vlookup("906-377348-110",B:AZ,column(ae1),0)*e515</f>
        <v>0</v>
      </c>
      <c r="AG515">
        <f>vlookup("906-377348-110",B:AZ,column(af1),0)*e515</f>
        <v>0</v>
      </c>
      <c r="AH515">
        <f>vlookup("906-377348-110",B:AZ,column(ag1),0)*e515</f>
        <v>0</v>
      </c>
      <c r="AI515">
        <f>vlookup("906-377348-110",B:AZ,column(ah1),0)*e515</f>
        <v>0</v>
      </c>
      <c r="AJ515">
        <f>vlookup("906-377348-110",B:AZ,column(ai1),0)*e515</f>
        <v>0</v>
      </c>
      <c r="AK515">
        <f>vlookup("906-377348-110",B:AZ,column(aj1),0)*e515</f>
        <v>0</v>
      </c>
      <c r="AL515">
        <f>vlookup("906-377348-110",B:AZ,column(ak1),0)*e515</f>
        <v>0</v>
      </c>
      <c r="AM515">
        <f>vlookup("906-377348-110",B:AZ,column(al1),0)*e515</f>
        <v>0</v>
      </c>
      <c r="AN515">
        <f>vlookup("906-377348-110",B:AZ,column(am1),0)*e515</f>
        <v>0</v>
      </c>
      <c r="AO515">
        <f>vlookup("906-377348-110",B:AZ,column(an1),0)*e515</f>
        <v>0</v>
      </c>
    </row>
    <row r="516" spans="1:41">
      <c r="A516" t="s">
        <v>22</v>
      </c>
      <c r="B516" t="s">
        <v>540</v>
      </c>
      <c r="C516" t="s">
        <v>541</v>
      </c>
      <c r="E516">
        <v>1</v>
      </c>
      <c r="F516" t="s">
        <v>13</v>
      </c>
      <c r="I516" t="s">
        <v>15</v>
      </c>
      <c r="J516">
        <f>vlookup("906-377348-110",B:AZ,column(i1),0)*e516</f>
        <v>0</v>
      </c>
      <c r="K516">
        <f>vlookup("906-377348-110",B:AZ,column(j1),0)*e516</f>
        <v>0</v>
      </c>
      <c r="L516">
        <f>vlookup("906-377348-110",B:AZ,column(k1),0)*e516</f>
        <v>0</v>
      </c>
      <c r="M516">
        <f>vlookup("906-377348-110",B:AZ,column(l1),0)*e516</f>
        <v>0</v>
      </c>
      <c r="N516">
        <f>vlookup("906-377348-110",B:AZ,column(m1),0)*e516</f>
        <v>0</v>
      </c>
      <c r="O516">
        <f>vlookup("906-377348-110",B:AZ,column(n1),0)*e516</f>
        <v>0</v>
      </c>
      <c r="P516">
        <f>vlookup("906-377348-110",B:AZ,column(o1),0)*e516</f>
        <v>0</v>
      </c>
      <c r="Q516">
        <f>vlookup("906-377348-110",B:AZ,column(p1),0)*e516</f>
        <v>0</v>
      </c>
      <c r="R516">
        <f>vlookup("906-377348-110",B:AZ,column(q1),0)*e516</f>
        <v>0</v>
      </c>
      <c r="S516">
        <f>vlookup("906-377348-110",B:AZ,column(r1),0)*e516</f>
        <v>0</v>
      </c>
      <c r="T516">
        <f>vlookup("906-377348-110",B:AZ,column(s1),0)*e516</f>
        <v>0</v>
      </c>
      <c r="U516">
        <f>vlookup("906-377348-110",B:AZ,column(t1),0)*e516</f>
        <v>0</v>
      </c>
      <c r="V516">
        <f>vlookup("906-377348-110",B:AZ,column(u1),0)*e516</f>
        <v>0</v>
      </c>
      <c r="W516">
        <f>vlookup("906-377348-110",B:AZ,column(v1),0)*e516</f>
        <v>0</v>
      </c>
      <c r="X516">
        <f>vlookup("906-377348-110",B:AZ,column(w1),0)*e516</f>
        <v>0</v>
      </c>
      <c r="Y516">
        <f>vlookup("906-377348-110",B:AZ,column(x1),0)*e516</f>
        <v>0</v>
      </c>
      <c r="Z516">
        <f>vlookup("906-377348-110",B:AZ,column(y1),0)*e516</f>
        <v>0</v>
      </c>
      <c r="AA516">
        <f>vlookup("906-377348-110",B:AZ,column(z1),0)*e516</f>
        <v>0</v>
      </c>
      <c r="AB516">
        <f>vlookup("906-377348-110",B:AZ,column(aa1),0)*e516</f>
        <v>0</v>
      </c>
      <c r="AC516">
        <f>vlookup("906-377348-110",B:AZ,column(ab1),0)*e516</f>
        <v>0</v>
      </c>
      <c r="AD516">
        <f>vlookup("906-377348-110",B:AZ,column(ac1),0)*e516</f>
        <v>0</v>
      </c>
      <c r="AE516">
        <f>vlookup("906-377348-110",B:AZ,column(ad1),0)*e516</f>
        <v>0</v>
      </c>
      <c r="AF516">
        <f>vlookup("906-377348-110",B:AZ,column(ae1),0)*e516</f>
        <v>0</v>
      </c>
      <c r="AG516">
        <f>vlookup("906-377348-110",B:AZ,column(af1),0)*e516</f>
        <v>0</v>
      </c>
      <c r="AH516">
        <f>vlookup("906-377348-110",B:AZ,column(ag1),0)*e516</f>
        <v>0</v>
      </c>
      <c r="AI516">
        <f>vlookup("906-377348-110",B:AZ,column(ah1),0)*e516</f>
        <v>0</v>
      </c>
      <c r="AJ516">
        <f>vlookup("906-377348-110",B:AZ,column(ai1),0)*e516</f>
        <v>0</v>
      </c>
      <c r="AK516">
        <f>vlookup("906-377348-110",B:AZ,column(aj1),0)*e516</f>
        <v>0</v>
      </c>
      <c r="AL516">
        <f>vlookup("906-377348-110",B:AZ,column(ak1),0)*e516</f>
        <v>0</v>
      </c>
      <c r="AM516">
        <f>vlookup("906-377348-110",B:AZ,column(al1),0)*e516</f>
        <v>0</v>
      </c>
      <c r="AN516">
        <f>vlookup("906-377348-110",B:AZ,column(am1),0)*e516</f>
        <v>0</v>
      </c>
      <c r="AO516">
        <f>vlookup("906-377348-110",B:AZ,column(an1),0)*e516</f>
        <v>0</v>
      </c>
    </row>
    <row r="517" spans="1:41">
      <c r="A517" t="s">
        <v>22</v>
      </c>
      <c r="B517" t="s">
        <v>516</v>
      </c>
      <c r="C517" t="s">
        <v>517</v>
      </c>
      <c r="E517">
        <v>7</v>
      </c>
      <c r="F517" t="s">
        <v>13</v>
      </c>
      <c r="I517" t="s">
        <v>15</v>
      </c>
      <c r="J517">
        <f>vlookup("906-377348-110",B:AZ,column(i1),0)*e517</f>
        <v>0</v>
      </c>
      <c r="K517">
        <f>vlookup("906-377348-110",B:AZ,column(j1),0)*e517</f>
        <v>0</v>
      </c>
      <c r="L517">
        <f>vlookup("906-377348-110",B:AZ,column(k1),0)*e517</f>
        <v>0</v>
      </c>
      <c r="M517">
        <f>vlookup("906-377348-110",B:AZ,column(l1),0)*e517</f>
        <v>0</v>
      </c>
      <c r="N517">
        <f>vlookup("906-377348-110",B:AZ,column(m1),0)*e517</f>
        <v>0</v>
      </c>
      <c r="O517">
        <f>vlookup("906-377348-110",B:AZ,column(n1),0)*e517</f>
        <v>0</v>
      </c>
      <c r="P517">
        <f>vlookup("906-377348-110",B:AZ,column(o1),0)*e517</f>
        <v>0</v>
      </c>
      <c r="Q517">
        <f>vlookup("906-377348-110",B:AZ,column(p1),0)*e517</f>
        <v>0</v>
      </c>
      <c r="R517">
        <f>vlookup("906-377348-110",B:AZ,column(q1),0)*e517</f>
        <v>0</v>
      </c>
      <c r="S517">
        <f>vlookup("906-377348-110",B:AZ,column(r1),0)*e517</f>
        <v>0</v>
      </c>
      <c r="T517">
        <f>vlookup("906-377348-110",B:AZ,column(s1),0)*e517</f>
        <v>0</v>
      </c>
      <c r="U517">
        <f>vlookup("906-377348-110",B:AZ,column(t1),0)*e517</f>
        <v>0</v>
      </c>
      <c r="V517">
        <f>vlookup("906-377348-110",B:AZ,column(u1),0)*e517</f>
        <v>0</v>
      </c>
      <c r="W517">
        <f>vlookup("906-377348-110",B:AZ,column(v1),0)*e517</f>
        <v>0</v>
      </c>
      <c r="X517">
        <f>vlookup("906-377348-110",B:AZ,column(w1),0)*e517</f>
        <v>0</v>
      </c>
      <c r="Y517">
        <f>vlookup("906-377348-110",B:AZ,column(x1),0)*e517</f>
        <v>0</v>
      </c>
      <c r="Z517">
        <f>vlookup("906-377348-110",B:AZ,column(y1),0)*e517</f>
        <v>0</v>
      </c>
      <c r="AA517">
        <f>vlookup("906-377348-110",B:AZ,column(z1),0)*e517</f>
        <v>0</v>
      </c>
      <c r="AB517">
        <f>vlookup("906-377348-110",B:AZ,column(aa1),0)*e517</f>
        <v>0</v>
      </c>
      <c r="AC517">
        <f>vlookup("906-377348-110",B:AZ,column(ab1),0)*e517</f>
        <v>0</v>
      </c>
      <c r="AD517">
        <f>vlookup("906-377348-110",B:AZ,column(ac1),0)*e517</f>
        <v>0</v>
      </c>
      <c r="AE517">
        <f>vlookup("906-377348-110",B:AZ,column(ad1),0)*e517</f>
        <v>0</v>
      </c>
      <c r="AF517">
        <f>vlookup("906-377348-110",B:AZ,column(ae1),0)*e517</f>
        <v>0</v>
      </c>
      <c r="AG517">
        <f>vlookup("906-377348-110",B:AZ,column(af1),0)*e517</f>
        <v>0</v>
      </c>
      <c r="AH517">
        <f>vlookup("906-377348-110",B:AZ,column(ag1),0)*e517</f>
        <v>0</v>
      </c>
      <c r="AI517">
        <f>vlookup("906-377348-110",B:AZ,column(ah1),0)*e517</f>
        <v>0</v>
      </c>
      <c r="AJ517">
        <f>vlookup("906-377348-110",B:AZ,column(ai1),0)*e517</f>
        <v>0</v>
      </c>
      <c r="AK517">
        <f>vlookup("906-377348-110",B:AZ,column(aj1),0)*e517</f>
        <v>0</v>
      </c>
      <c r="AL517">
        <f>vlookup("906-377348-110",B:AZ,column(ak1),0)*e517</f>
        <v>0</v>
      </c>
      <c r="AM517">
        <f>vlookup("906-377348-110",B:AZ,column(al1),0)*e517</f>
        <v>0</v>
      </c>
      <c r="AN517">
        <f>vlookup("906-377348-110",B:AZ,column(am1),0)*e517</f>
        <v>0</v>
      </c>
      <c r="AO517">
        <f>vlookup("906-377348-110",B:AZ,column(an1),0)*e517</f>
        <v>0</v>
      </c>
    </row>
    <row r="518" spans="1:41">
      <c r="A518" t="s">
        <v>78</v>
      </c>
      <c r="B518" t="s">
        <v>530</v>
      </c>
      <c r="C518" t="s">
        <v>531</v>
      </c>
      <c r="E518">
        <v>0.1875</v>
      </c>
      <c r="F518" t="s">
        <v>13</v>
      </c>
      <c r="I518" t="s">
        <v>15</v>
      </c>
      <c r="J518">
        <f>vlookup("906-377348-110",B:AZ,column(i1),0)*e518</f>
        <v>0</v>
      </c>
      <c r="K518">
        <f>vlookup("906-377348-110",B:AZ,column(j1),0)*e518</f>
        <v>0</v>
      </c>
      <c r="L518">
        <f>vlookup("906-377348-110",B:AZ,column(k1),0)*e518</f>
        <v>0</v>
      </c>
      <c r="M518">
        <f>vlookup("906-377348-110",B:AZ,column(l1),0)*e518</f>
        <v>0</v>
      </c>
      <c r="N518">
        <f>vlookup("906-377348-110",B:AZ,column(m1),0)*e518</f>
        <v>0</v>
      </c>
      <c r="O518">
        <f>vlookup("906-377348-110",B:AZ,column(n1),0)*e518</f>
        <v>0</v>
      </c>
      <c r="P518">
        <f>vlookup("906-377348-110",B:AZ,column(o1),0)*e518</f>
        <v>0</v>
      </c>
      <c r="Q518">
        <f>vlookup("906-377348-110",B:AZ,column(p1),0)*e518</f>
        <v>0</v>
      </c>
      <c r="R518">
        <f>vlookup("906-377348-110",B:AZ,column(q1),0)*e518</f>
        <v>0</v>
      </c>
      <c r="S518">
        <f>vlookup("906-377348-110",B:AZ,column(r1),0)*e518</f>
        <v>0</v>
      </c>
      <c r="T518">
        <f>vlookup("906-377348-110",B:AZ,column(s1),0)*e518</f>
        <v>0</v>
      </c>
      <c r="U518">
        <f>vlookup("906-377348-110",B:AZ,column(t1),0)*e518</f>
        <v>0</v>
      </c>
      <c r="V518">
        <f>vlookup("906-377348-110",B:AZ,column(u1),0)*e518</f>
        <v>0</v>
      </c>
      <c r="W518">
        <f>vlookup("906-377348-110",B:AZ,column(v1),0)*e518</f>
        <v>0</v>
      </c>
      <c r="X518">
        <f>vlookup("906-377348-110",B:AZ,column(w1),0)*e518</f>
        <v>0</v>
      </c>
      <c r="Y518">
        <f>vlookup("906-377348-110",B:AZ,column(x1),0)*e518</f>
        <v>0</v>
      </c>
      <c r="Z518">
        <f>vlookup("906-377348-110",B:AZ,column(y1),0)*e518</f>
        <v>0</v>
      </c>
      <c r="AA518">
        <f>vlookup("906-377348-110",B:AZ,column(z1),0)*e518</f>
        <v>0</v>
      </c>
      <c r="AB518">
        <f>vlookup("906-377348-110",B:AZ,column(aa1),0)*e518</f>
        <v>0</v>
      </c>
      <c r="AC518">
        <f>vlookup("906-377348-110",B:AZ,column(ab1),0)*e518</f>
        <v>0</v>
      </c>
      <c r="AD518">
        <f>vlookup("906-377348-110",B:AZ,column(ac1),0)*e518</f>
        <v>0</v>
      </c>
      <c r="AE518">
        <f>vlookup("906-377348-110",B:AZ,column(ad1),0)*e518</f>
        <v>0</v>
      </c>
      <c r="AF518">
        <f>vlookup("906-377348-110",B:AZ,column(ae1),0)*e518</f>
        <v>0</v>
      </c>
      <c r="AG518">
        <f>vlookup("906-377348-110",B:AZ,column(af1),0)*e518</f>
        <v>0</v>
      </c>
      <c r="AH518">
        <f>vlookup("906-377348-110",B:AZ,column(ag1),0)*e518</f>
        <v>0</v>
      </c>
      <c r="AI518">
        <f>vlookup("906-377348-110",B:AZ,column(ah1),0)*e518</f>
        <v>0</v>
      </c>
      <c r="AJ518">
        <f>vlookup("906-377348-110",B:AZ,column(ai1),0)*e518</f>
        <v>0</v>
      </c>
      <c r="AK518">
        <f>vlookup("906-377348-110",B:AZ,column(aj1),0)*e518</f>
        <v>0</v>
      </c>
      <c r="AL518">
        <f>vlookup("906-377348-110",B:AZ,column(ak1),0)*e518</f>
        <v>0</v>
      </c>
      <c r="AM518">
        <f>vlookup("906-377348-110",B:AZ,column(al1),0)*e518</f>
        <v>0</v>
      </c>
      <c r="AN518">
        <f>vlookup("906-377348-110",B:AZ,column(am1),0)*e518</f>
        <v>0</v>
      </c>
      <c r="AO518">
        <f>vlookup("906-377348-110",B:AZ,column(an1),0)*e518</f>
        <v>0</v>
      </c>
    </row>
    <row r="519" spans="1:41">
      <c r="A519" t="s">
        <v>78</v>
      </c>
      <c r="B519" t="s">
        <v>528</v>
      </c>
      <c r="C519" t="s">
        <v>529</v>
      </c>
      <c r="E519">
        <v>0.0625</v>
      </c>
      <c r="F519" t="s">
        <v>13</v>
      </c>
      <c r="I519" t="s">
        <v>15</v>
      </c>
      <c r="J519">
        <f>vlookup("906-377348-110",B:AZ,column(i1),0)*e519</f>
        <v>0</v>
      </c>
      <c r="K519">
        <f>vlookup("906-377348-110",B:AZ,column(j1),0)*e519</f>
        <v>0</v>
      </c>
      <c r="L519">
        <f>vlookup("906-377348-110",B:AZ,column(k1),0)*e519</f>
        <v>0</v>
      </c>
      <c r="M519">
        <f>vlookup("906-377348-110",B:AZ,column(l1),0)*e519</f>
        <v>0</v>
      </c>
      <c r="N519">
        <f>vlookup("906-377348-110",B:AZ,column(m1),0)*e519</f>
        <v>0</v>
      </c>
      <c r="O519">
        <f>vlookup("906-377348-110",B:AZ,column(n1),0)*e519</f>
        <v>0</v>
      </c>
      <c r="P519">
        <f>vlookup("906-377348-110",B:AZ,column(o1),0)*e519</f>
        <v>0</v>
      </c>
      <c r="Q519">
        <f>vlookup("906-377348-110",B:AZ,column(p1),0)*e519</f>
        <v>0</v>
      </c>
      <c r="R519">
        <f>vlookup("906-377348-110",B:AZ,column(q1),0)*e519</f>
        <v>0</v>
      </c>
      <c r="S519">
        <f>vlookup("906-377348-110",B:AZ,column(r1),0)*e519</f>
        <v>0</v>
      </c>
      <c r="T519">
        <f>vlookup("906-377348-110",B:AZ,column(s1),0)*e519</f>
        <v>0</v>
      </c>
      <c r="U519">
        <f>vlookup("906-377348-110",B:AZ,column(t1),0)*e519</f>
        <v>0</v>
      </c>
      <c r="V519">
        <f>vlookup("906-377348-110",B:AZ,column(u1),0)*e519</f>
        <v>0</v>
      </c>
      <c r="W519">
        <f>vlookup("906-377348-110",B:AZ,column(v1),0)*e519</f>
        <v>0</v>
      </c>
      <c r="X519">
        <f>vlookup("906-377348-110",B:AZ,column(w1),0)*e519</f>
        <v>0</v>
      </c>
      <c r="Y519">
        <f>vlookup("906-377348-110",B:AZ,column(x1),0)*e519</f>
        <v>0</v>
      </c>
      <c r="Z519">
        <f>vlookup("906-377348-110",B:AZ,column(y1),0)*e519</f>
        <v>0</v>
      </c>
      <c r="AA519">
        <f>vlookup("906-377348-110",B:AZ,column(z1),0)*e519</f>
        <v>0</v>
      </c>
      <c r="AB519">
        <f>vlookup("906-377348-110",B:AZ,column(aa1),0)*e519</f>
        <v>0</v>
      </c>
      <c r="AC519">
        <f>vlookup("906-377348-110",B:AZ,column(ab1),0)*e519</f>
        <v>0</v>
      </c>
      <c r="AD519">
        <f>vlookup("906-377348-110",B:AZ,column(ac1),0)*e519</f>
        <v>0</v>
      </c>
      <c r="AE519">
        <f>vlookup("906-377348-110",B:AZ,column(ad1),0)*e519</f>
        <v>0</v>
      </c>
      <c r="AF519">
        <f>vlookup("906-377348-110",B:AZ,column(ae1),0)*e519</f>
        <v>0</v>
      </c>
      <c r="AG519">
        <f>vlookup("906-377348-110",B:AZ,column(af1),0)*e519</f>
        <v>0</v>
      </c>
      <c r="AH519">
        <f>vlookup("906-377348-110",B:AZ,column(ag1),0)*e519</f>
        <v>0</v>
      </c>
      <c r="AI519">
        <f>vlookup("906-377348-110",B:AZ,column(ah1),0)*e519</f>
        <v>0</v>
      </c>
      <c r="AJ519">
        <f>vlookup("906-377348-110",B:AZ,column(ai1),0)*e519</f>
        <v>0</v>
      </c>
      <c r="AK519">
        <f>vlookup("906-377348-110",B:AZ,column(aj1),0)*e519</f>
        <v>0</v>
      </c>
      <c r="AL519">
        <f>vlookup("906-377348-110",B:AZ,column(ak1),0)*e519</f>
        <v>0</v>
      </c>
      <c r="AM519">
        <f>vlookup("906-377348-110",B:AZ,column(al1),0)*e519</f>
        <v>0</v>
      </c>
      <c r="AN519">
        <f>vlookup("906-377348-110",B:AZ,column(am1),0)*e519</f>
        <v>0</v>
      </c>
      <c r="AO519">
        <f>vlookup("906-377348-110",B:AZ,column(an1),0)*e519</f>
        <v>0</v>
      </c>
    </row>
    <row r="520" spans="1:41">
      <c r="A520" t="s">
        <v>10</v>
      </c>
      <c r="B520" t="s">
        <v>542</v>
      </c>
      <c r="C520" t="s">
        <v>543</v>
      </c>
      <c r="E520">
        <v>1</v>
      </c>
      <c r="F520" t="s">
        <v>13</v>
      </c>
      <c r="I520" t="s">
        <v>14</v>
      </c>
      <c r="AO520">
        <f>sum(j520:an520)</f>
        <v>0</v>
      </c>
    </row>
    <row r="521" spans="1:41">
      <c r="I521" t="s">
        <v>15</v>
      </c>
      <c r="J521">
        <f>vlookup("906-793000-100",Out!B:AZ,column(i1),0)</f>
        <v>0</v>
      </c>
      <c r="K521">
        <f>vlookup("906-793000-100",Out!B:AZ,column(j1),0)</f>
        <v>0</v>
      </c>
      <c r="L521">
        <f>vlookup("906-793000-100",Out!B:AZ,column(k1),0)</f>
        <v>0</v>
      </c>
      <c r="M521">
        <f>vlookup("906-793000-100",Out!B:AZ,column(l1),0)</f>
        <v>0</v>
      </c>
      <c r="N521">
        <f>vlookup("906-793000-100",Out!B:AZ,column(m1),0)</f>
        <v>0</v>
      </c>
      <c r="O521">
        <f>vlookup("906-793000-100",Out!B:AZ,column(n1),0)</f>
        <v>0</v>
      </c>
      <c r="P521">
        <f>vlookup("906-793000-100",Out!B:AZ,column(o1),0)</f>
        <v>0</v>
      </c>
      <c r="Q521">
        <f>vlookup("906-793000-100",Out!B:AZ,column(p1),0)</f>
        <v>0</v>
      </c>
      <c r="R521">
        <f>vlookup("906-793000-100",Out!B:AZ,column(q1),0)</f>
        <v>0</v>
      </c>
      <c r="S521">
        <f>vlookup("906-793000-100",Out!B:AZ,column(r1),0)</f>
        <v>0</v>
      </c>
      <c r="T521">
        <f>vlookup("906-793000-100",Out!B:AZ,column(s1),0)</f>
        <v>0</v>
      </c>
      <c r="U521">
        <f>vlookup("906-793000-100",Out!B:AZ,column(t1),0)</f>
        <v>0</v>
      </c>
      <c r="V521">
        <f>vlookup("906-793000-100",Out!B:AZ,column(u1),0)</f>
        <v>0</v>
      </c>
      <c r="W521">
        <f>vlookup("906-793000-100",Out!B:AZ,column(v1),0)</f>
        <v>0</v>
      </c>
      <c r="X521">
        <f>vlookup("906-793000-100",Out!B:AZ,column(w1),0)</f>
        <v>0</v>
      </c>
      <c r="Y521">
        <f>vlookup("906-793000-100",Out!B:AZ,column(x1),0)</f>
        <v>0</v>
      </c>
      <c r="Z521">
        <f>vlookup("906-793000-100",Out!B:AZ,column(y1),0)</f>
        <v>0</v>
      </c>
      <c r="AA521">
        <f>vlookup("906-793000-100",Out!B:AZ,column(z1),0)</f>
        <v>0</v>
      </c>
      <c r="AB521">
        <f>vlookup("906-793000-100",Out!B:AZ,column(aa1),0)</f>
        <v>0</v>
      </c>
      <c r="AC521">
        <f>vlookup("906-793000-100",Out!B:AZ,column(ab1),0)</f>
        <v>0</v>
      </c>
      <c r="AD521">
        <f>vlookup("906-793000-100",Out!B:AZ,column(ac1),0)</f>
        <v>0</v>
      </c>
      <c r="AE521">
        <f>vlookup("906-793000-100",Out!B:AZ,column(ad1),0)</f>
        <v>0</v>
      </c>
      <c r="AF521">
        <f>vlookup("906-793000-100",Out!B:AZ,column(ae1),0)</f>
        <v>0</v>
      </c>
      <c r="AG521">
        <f>vlookup("906-793000-100",Out!B:AZ,column(af1),0)</f>
        <v>0</v>
      </c>
      <c r="AH521">
        <f>vlookup("906-793000-100",Out!B:AZ,column(ag1),0)</f>
        <v>0</v>
      </c>
      <c r="AI521">
        <f>vlookup("906-793000-100",Out!B:AZ,column(ah1),0)</f>
        <v>0</v>
      </c>
      <c r="AJ521">
        <f>vlookup("906-793000-100",Out!B:AZ,column(ai1),0)</f>
        <v>0</v>
      </c>
      <c r="AK521">
        <f>vlookup("906-793000-100",Out!B:AZ,column(aj1),0)</f>
        <v>0</v>
      </c>
      <c r="AL521">
        <f>vlookup("906-793000-100",Out!B:AZ,column(ak1),0)</f>
        <v>0</v>
      </c>
      <c r="AM521">
        <f>vlookup("906-793000-100",Out!B:AZ,column(al1),0)</f>
        <v>0</v>
      </c>
      <c r="AN521">
        <f>vlookup("906-793000-100",Out!B:AZ,column(am1),0)</f>
        <v>0</v>
      </c>
      <c r="AO521">
        <f>vlookup("906-793000-100",Out!B:AZ,column(an1),0)</f>
        <v>0</v>
      </c>
    </row>
    <row r="522" spans="1:41">
      <c r="H522" t="s">
        <v>16</v>
      </c>
      <c r="J522">
        <f>indirect(address(522,9))+indirect(address(520,10))-indirect(address(521,10))</f>
        <v>0</v>
      </c>
      <c r="K522">
        <f>indirect(address(522,10))+indirect(address(520,11))-indirect(address(521,11))</f>
        <v>0</v>
      </c>
      <c r="L522">
        <f>indirect(address(522,11))+indirect(address(520,12))-indirect(address(521,12))</f>
        <v>0</v>
      </c>
      <c r="M522">
        <f>indirect(address(522,12))+indirect(address(520,13))-indirect(address(521,13))</f>
        <v>0</v>
      </c>
      <c r="N522">
        <f>indirect(address(522,13))+indirect(address(520,14))-indirect(address(521,14))</f>
        <v>0</v>
      </c>
      <c r="O522">
        <f>indirect(address(522,14))+indirect(address(520,15))-indirect(address(521,15))</f>
        <v>0</v>
      </c>
      <c r="P522">
        <f>indirect(address(522,15))+indirect(address(520,16))-indirect(address(521,16))</f>
        <v>0</v>
      </c>
      <c r="Q522">
        <f>indirect(address(522,16))+indirect(address(520,17))-indirect(address(521,17))</f>
        <v>0</v>
      </c>
      <c r="R522">
        <f>indirect(address(522,17))+indirect(address(520,18))-indirect(address(521,18))</f>
        <v>0</v>
      </c>
      <c r="S522">
        <f>indirect(address(522,18))+indirect(address(520,19))-indirect(address(521,19))</f>
        <v>0</v>
      </c>
      <c r="T522">
        <f>indirect(address(522,19))+indirect(address(520,20))-indirect(address(521,20))</f>
        <v>0</v>
      </c>
      <c r="U522">
        <f>indirect(address(522,20))+indirect(address(520,21))-indirect(address(521,21))</f>
        <v>0</v>
      </c>
      <c r="V522">
        <f>indirect(address(522,21))+indirect(address(520,22))-indirect(address(521,22))</f>
        <v>0</v>
      </c>
      <c r="W522">
        <f>indirect(address(522,22))+indirect(address(520,23))-indirect(address(521,23))</f>
        <v>0</v>
      </c>
      <c r="X522">
        <f>indirect(address(522,23))+indirect(address(520,24))-indirect(address(521,24))</f>
        <v>0</v>
      </c>
      <c r="Y522">
        <f>indirect(address(522,24))+indirect(address(520,25))-indirect(address(521,25))</f>
        <v>0</v>
      </c>
      <c r="Z522">
        <f>indirect(address(522,25))+indirect(address(520,26))-indirect(address(521,26))</f>
        <v>0</v>
      </c>
      <c r="AA522">
        <f>indirect(address(522,26))+indirect(address(520,27))-indirect(address(521,27))</f>
        <v>0</v>
      </c>
      <c r="AB522">
        <f>indirect(address(522,27))+indirect(address(520,28))-indirect(address(521,28))</f>
        <v>0</v>
      </c>
      <c r="AC522">
        <f>indirect(address(522,28))+indirect(address(520,29))-indirect(address(521,29))</f>
        <v>0</v>
      </c>
      <c r="AD522">
        <f>indirect(address(522,29))+indirect(address(520,30))-indirect(address(521,30))</f>
        <v>0</v>
      </c>
      <c r="AE522">
        <f>indirect(address(522,30))+indirect(address(520,31))-indirect(address(521,31))</f>
        <v>0</v>
      </c>
      <c r="AF522">
        <f>indirect(address(522,31))+indirect(address(520,32))-indirect(address(521,32))</f>
        <v>0</v>
      </c>
      <c r="AG522">
        <f>indirect(address(522,32))+indirect(address(520,33))-indirect(address(521,33))</f>
        <v>0</v>
      </c>
      <c r="AH522">
        <f>indirect(address(522,33))+indirect(address(520,34))-indirect(address(521,34))</f>
        <v>0</v>
      </c>
      <c r="AI522">
        <f>indirect(address(522,34))+indirect(address(520,35))-indirect(address(521,35))</f>
        <v>0</v>
      </c>
      <c r="AJ522">
        <f>indirect(address(522,35))+indirect(address(520,36))-indirect(address(521,36))</f>
        <v>0</v>
      </c>
      <c r="AK522">
        <f>indirect(address(522,36))+indirect(address(520,37))-indirect(address(521,37))</f>
        <v>0</v>
      </c>
      <c r="AL522">
        <f>indirect(address(522,37))+indirect(address(520,38))-indirect(address(521,38))</f>
        <v>0</v>
      </c>
      <c r="AM522">
        <f>indirect(address(522,38))+indirect(address(520,39))-indirect(address(521,39))</f>
        <v>0</v>
      </c>
      <c r="AN522">
        <f>indirect(address(522,39))+indirect(address(520,40))-indirect(address(521,40))</f>
        <v>0</v>
      </c>
      <c r="AO522">
        <f>indirect(address(522,40))</f>
        <v>0</v>
      </c>
    </row>
    <row r="523" spans="1:41">
      <c r="A523" t="s">
        <v>10</v>
      </c>
      <c r="B523" t="s">
        <v>544</v>
      </c>
      <c r="C523" t="s">
        <v>545</v>
      </c>
      <c r="E523">
        <v>1</v>
      </c>
      <c r="F523" t="s">
        <v>13</v>
      </c>
      <c r="I523" t="s">
        <v>14</v>
      </c>
      <c r="AO523">
        <f>sum(j523:an523)</f>
        <v>0</v>
      </c>
    </row>
    <row r="524" spans="1:41">
      <c r="I524" t="s">
        <v>15</v>
      </c>
      <c r="J524">
        <f>vlookup("906-091000-110",Out!B:AZ,column(i1),0)</f>
        <v>0</v>
      </c>
      <c r="K524">
        <f>vlookup("906-091000-110",Out!B:AZ,column(j1),0)</f>
        <v>0</v>
      </c>
      <c r="L524">
        <f>vlookup("906-091000-110",Out!B:AZ,column(k1),0)</f>
        <v>0</v>
      </c>
      <c r="M524">
        <f>vlookup("906-091000-110",Out!B:AZ,column(l1),0)</f>
        <v>0</v>
      </c>
      <c r="N524">
        <f>vlookup("906-091000-110",Out!B:AZ,column(m1),0)</f>
        <v>0</v>
      </c>
      <c r="O524">
        <f>vlookup("906-091000-110",Out!B:AZ,column(n1),0)</f>
        <v>0</v>
      </c>
      <c r="P524">
        <f>vlookup("906-091000-110",Out!B:AZ,column(o1),0)</f>
        <v>0</v>
      </c>
      <c r="Q524">
        <f>vlookup("906-091000-110",Out!B:AZ,column(p1),0)</f>
        <v>0</v>
      </c>
      <c r="R524">
        <f>vlookup("906-091000-110",Out!B:AZ,column(q1),0)</f>
        <v>0</v>
      </c>
      <c r="S524">
        <f>vlookup("906-091000-110",Out!B:AZ,column(r1),0)</f>
        <v>0</v>
      </c>
      <c r="T524">
        <f>vlookup("906-091000-110",Out!B:AZ,column(s1),0)</f>
        <v>0</v>
      </c>
      <c r="U524">
        <f>vlookup("906-091000-110",Out!B:AZ,column(t1),0)</f>
        <v>0</v>
      </c>
      <c r="V524">
        <f>vlookup("906-091000-110",Out!B:AZ,column(u1),0)</f>
        <v>0</v>
      </c>
      <c r="W524">
        <f>vlookup("906-091000-110",Out!B:AZ,column(v1),0)</f>
        <v>0</v>
      </c>
      <c r="X524">
        <f>vlookup("906-091000-110",Out!B:AZ,column(w1),0)</f>
        <v>0</v>
      </c>
      <c r="Y524">
        <f>vlookup("906-091000-110",Out!B:AZ,column(x1),0)</f>
        <v>0</v>
      </c>
      <c r="Z524">
        <f>vlookup("906-091000-110",Out!B:AZ,column(y1),0)</f>
        <v>0</v>
      </c>
      <c r="AA524">
        <f>vlookup("906-091000-110",Out!B:AZ,column(z1),0)</f>
        <v>0</v>
      </c>
      <c r="AB524">
        <f>vlookup("906-091000-110",Out!B:AZ,column(aa1),0)</f>
        <v>0</v>
      </c>
      <c r="AC524">
        <f>vlookup("906-091000-110",Out!B:AZ,column(ab1),0)</f>
        <v>0</v>
      </c>
      <c r="AD524">
        <f>vlookup("906-091000-110",Out!B:AZ,column(ac1),0)</f>
        <v>0</v>
      </c>
      <c r="AE524">
        <f>vlookup("906-091000-110",Out!B:AZ,column(ad1),0)</f>
        <v>0</v>
      </c>
      <c r="AF524">
        <f>vlookup("906-091000-110",Out!B:AZ,column(ae1),0)</f>
        <v>0</v>
      </c>
      <c r="AG524">
        <f>vlookup("906-091000-110",Out!B:AZ,column(af1),0)</f>
        <v>0</v>
      </c>
      <c r="AH524">
        <f>vlookup("906-091000-110",Out!B:AZ,column(ag1),0)</f>
        <v>0</v>
      </c>
      <c r="AI524">
        <f>vlookup("906-091000-110",Out!B:AZ,column(ah1),0)</f>
        <v>0</v>
      </c>
      <c r="AJ524">
        <f>vlookup("906-091000-110",Out!B:AZ,column(ai1),0)</f>
        <v>0</v>
      </c>
      <c r="AK524">
        <f>vlookup("906-091000-110",Out!B:AZ,column(aj1),0)</f>
        <v>0</v>
      </c>
      <c r="AL524">
        <f>vlookup("906-091000-110",Out!B:AZ,column(ak1),0)</f>
        <v>0</v>
      </c>
      <c r="AM524">
        <f>vlookup("906-091000-110",Out!B:AZ,column(al1),0)</f>
        <v>0</v>
      </c>
      <c r="AN524">
        <f>vlookup("906-091000-110",Out!B:AZ,column(am1),0)</f>
        <v>0</v>
      </c>
      <c r="AO524">
        <f>vlookup("906-091000-110",Out!B:AZ,column(an1),0)</f>
        <v>0</v>
      </c>
    </row>
    <row r="525" spans="1:41">
      <c r="H525" t="s">
        <v>16</v>
      </c>
      <c r="J525">
        <f>indirect(address(525,9))+indirect(address(523,10))-indirect(address(524,10))</f>
        <v>0</v>
      </c>
      <c r="K525">
        <f>indirect(address(525,10))+indirect(address(523,11))-indirect(address(524,11))</f>
        <v>0</v>
      </c>
      <c r="L525">
        <f>indirect(address(525,11))+indirect(address(523,12))-indirect(address(524,12))</f>
        <v>0</v>
      </c>
      <c r="M525">
        <f>indirect(address(525,12))+indirect(address(523,13))-indirect(address(524,13))</f>
        <v>0</v>
      </c>
      <c r="N525">
        <f>indirect(address(525,13))+indirect(address(523,14))-indirect(address(524,14))</f>
        <v>0</v>
      </c>
      <c r="O525">
        <f>indirect(address(525,14))+indirect(address(523,15))-indirect(address(524,15))</f>
        <v>0</v>
      </c>
      <c r="P525">
        <f>indirect(address(525,15))+indirect(address(523,16))-indirect(address(524,16))</f>
        <v>0</v>
      </c>
      <c r="Q525">
        <f>indirect(address(525,16))+indirect(address(523,17))-indirect(address(524,17))</f>
        <v>0</v>
      </c>
      <c r="R525">
        <f>indirect(address(525,17))+indirect(address(523,18))-indirect(address(524,18))</f>
        <v>0</v>
      </c>
      <c r="S525">
        <f>indirect(address(525,18))+indirect(address(523,19))-indirect(address(524,19))</f>
        <v>0</v>
      </c>
      <c r="T525">
        <f>indirect(address(525,19))+indirect(address(523,20))-indirect(address(524,20))</f>
        <v>0</v>
      </c>
      <c r="U525">
        <f>indirect(address(525,20))+indirect(address(523,21))-indirect(address(524,21))</f>
        <v>0</v>
      </c>
      <c r="V525">
        <f>indirect(address(525,21))+indirect(address(523,22))-indirect(address(524,22))</f>
        <v>0</v>
      </c>
      <c r="W525">
        <f>indirect(address(525,22))+indirect(address(523,23))-indirect(address(524,23))</f>
        <v>0</v>
      </c>
      <c r="X525">
        <f>indirect(address(525,23))+indirect(address(523,24))-indirect(address(524,24))</f>
        <v>0</v>
      </c>
      <c r="Y525">
        <f>indirect(address(525,24))+indirect(address(523,25))-indirect(address(524,25))</f>
        <v>0</v>
      </c>
      <c r="Z525">
        <f>indirect(address(525,25))+indirect(address(523,26))-indirect(address(524,26))</f>
        <v>0</v>
      </c>
      <c r="AA525">
        <f>indirect(address(525,26))+indirect(address(523,27))-indirect(address(524,27))</f>
        <v>0</v>
      </c>
      <c r="AB525">
        <f>indirect(address(525,27))+indirect(address(523,28))-indirect(address(524,28))</f>
        <v>0</v>
      </c>
      <c r="AC525">
        <f>indirect(address(525,28))+indirect(address(523,29))-indirect(address(524,29))</f>
        <v>0</v>
      </c>
      <c r="AD525">
        <f>indirect(address(525,29))+indirect(address(523,30))-indirect(address(524,30))</f>
        <v>0</v>
      </c>
      <c r="AE525">
        <f>indirect(address(525,30))+indirect(address(523,31))-indirect(address(524,31))</f>
        <v>0</v>
      </c>
      <c r="AF525">
        <f>indirect(address(525,31))+indirect(address(523,32))-indirect(address(524,32))</f>
        <v>0</v>
      </c>
      <c r="AG525">
        <f>indirect(address(525,32))+indirect(address(523,33))-indirect(address(524,33))</f>
        <v>0</v>
      </c>
      <c r="AH525">
        <f>indirect(address(525,33))+indirect(address(523,34))-indirect(address(524,34))</f>
        <v>0</v>
      </c>
      <c r="AI525">
        <f>indirect(address(525,34))+indirect(address(523,35))-indirect(address(524,35))</f>
        <v>0</v>
      </c>
      <c r="AJ525">
        <f>indirect(address(525,35))+indirect(address(523,36))-indirect(address(524,36))</f>
        <v>0</v>
      </c>
      <c r="AK525">
        <f>indirect(address(525,36))+indirect(address(523,37))-indirect(address(524,37))</f>
        <v>0</v>
      </c>
      <c r="AL525">
        <f>indirect(address(525,37))+indirect(address(523,38))-indirect(address(524,38))</f>
        <v>0</v>
      </c>
      <c r="AM525">
        <f>indirect(address(525,38))+indirect(address(523,39))-indirect(address(524,39))</f>
        <v>0</v>
      </c>
      <c r="AN525">
        <f>indirect(address(525,39))+indirect(address(523,40))-indirect(address(524,40))</f>
        <v>0</v>
      </c>
      <c r="AO525">
        <f>indirect(address(525,40))</f>
        <v>0</v>
      </c>
    </row>
    <row r="526" spans="1:41">
      <c r="A526" t="s">
        <v>17</v>
      </c>
      <c r="B526" t="s">
        <v>546</v>
      </c>
      <c r="C526" t="s">
        <v>547</v>
      </c>
      <c r="E526">
        <v>1</v>
      </c>
      <c r="F526" t="s">
        <v>13</v>
      </c>
      <c r="I526" t="s">
        <v>15</v>
      </c>
      <c r="J526">
        <f>vlookup("906-091000-110",B:AZ,column(i1),0)*e526</f>
        <v>0</v>
      </c>
      <c r="K526">
        <f>vlookup("906-091000-110",B:AZ,column(j1),0)*e526</f>
        <v>0</v>
      </c>
      <c r="L526">
        <f>vlookup("906-091000-110",B:AZ,column(k1),0)*e526</f>
        <v>0</v>
      </c>
      <c r="M526">
        <f>vlookup("906-091000-110",B:AZ,column(l1),0)*e526</f>
        <v>0</v>
      </c>
      <c r="N526">
        <f>vlookup("906-091000-110",B:AZ,column(m1),0)*e526</f>
        <v>0</v>
      </c>
      <c r="O526">
        <f>vlookup("906-091000-110",B:AZ,column(n1),0)*e526</f>
        <v>0</v>
      </c>
      <c r="P526">
        <f>vlookup("906-091000-110",B:AZ,column(o1),0)*e526</f>
        <v>0</v>
      </c>
      <c r="Q526">
        <f>vlookup("906-091000-110",B:AZ,column(p1),0)*e526</f>
        <v>0</v>
      </c>
      <c r="R526">
        <f>vlookup("906-091000-110",B:AZ,column(q1),0)*e526</f>
        <v>0</v>
      </c>
      <c r="S526">
        <f>vlookup("906-091000-110",B:AZ,column(r1),0)*e526</f>
        <v>0</v>
      </c>
      <c r="T526">
        <f>vlookup("906-091000-110",B:AZ,column(s1),0)*e526</f>
        <v>0</v>
      </c>
      <c r="U526">
        <f>vlookup("906-091000-110",B:AZ,column(t1),0)*e526</f>
        <v>0</v>
      </c>
      <c r="V526">
        <f>vlookup("906-091000-110",B:AZ,column(u1),0)*e526</f>
        <v>0</v>
      </c>
      <c r="W526">
        <f>vlookup("906-091000-110",B:AZ,column(v1),0)*e526</f>
        <v>0</v>
      </c>
      <c r="X526">
        <f>vlookup("906-091000-110",B:AZ,column(w1),0)*e526</f>
        <v>0</v>
      </c>
      <c r="Y526">
        <f>vlookup("906-091000-110",B:AZ,column(x1),0)*e526</f>
        <v>0</v>
      </c>
      <c r="Z526">
        <f>vlookup("906-091000-110",B:AZ,column(y1),0)*e526</f>
        <v>0</v>
      </c>
      <c r="AA526">
        <f>vlookup("906-091000-110",B:AZ,column(z1),0)*e526</f>
        <v>0</v>
      </c>
      <c r="AB526">
        <f>vlookup("906-091000-110",B:AZ,column(aa1),0)*e526</f>
        <v>0</v>
      </c>
      <c r="AC526">
        <f>vlookup("906-091000-110",B:AZ,column(ab1),0)*e526</f>
        <v>0</v>
      </c>
      <c r="AD526">
        <f>vlookup("906-091000-110",B:AZ,column(ac1),0)*e526</f>
        <v>0</v>
      </c>
      <c r="AE526">
        <f>vlookup("906-091000-110",B:AZ,column(ad1),0)*e526</f>
        <v>0</v>
      </c>
      <c r="AF526">
        <f>vlookup("906-091000-110",B:AZ,column(ae1),0)*e526</f>
        <v>0</v>
      </c>
      <c r="AG526">
        <f>vlookup("906-091000-110",B:AZ,column(af1),0)*e526</f>
        <v>0</v>
      </c>
      <c r="AH526">
        <f>vlookup("906-091000-110",B:AZ,column(ag1),0)*e526</f>
        <v>0</v>
      </c>
      <c r="AI526">
        <f>vlookup("906-091000-110",B:AZ,column(ah1),0)*e526</f>
        <v>0</v>
      </c>
      <c r="AJ526">
        <f>vlookup("906-091000-110",B:AZ,column(ai1),0)*e526</f>
        <v>0</v>
      </c>
      <c r="AK526">
        <f>vlookup("906-091000-110",B:AZ,column(aj1),0)*e526</f>
        <v>0</v>
      </c>
      <c r="AL526">
        <f>vlookup("906-091000-110",B:AZ,column(ak1),0)*e526</f>
        <v>0</v>
      </c>
      <c r="AM526">
        <f>vlookup("906-091000-110",B:AZ,column(al1),0)*e526</f>
        <v>0</v>
      </c>
      <c r="AN526">
        <f>vlookup("906-091000-110",B:AZ,column(am1),0)*e526</f>
        <v>0</v>
      </c>
      <c r="AO526">
        <f>vlookup("906-091000-110",B:AZ,column(an1),0)*e526</f>
        <v>0</v>
      </c>
    </row>
    <row r="527" spans="1:41">
      <c r="A527" t="s">
        <v>17</v>
      </c>
      <c r="B527" t="s">
        <v>548</v>
      </c>
      <c r="C527" t="s">
        <v>549</v>
      </c>
      <c r="E527">
        <v>1</v>
      </c>
      <c r="F527" t="s">
        <v>13</v>
      </c>
      <c r="I527" t="s">
        <v>15</v>
      </c>
      <c r="J527">
        <f>vlookup("906-091000-110",B:AZ,column(i1),0)*e527</f>
        <v>0</v>
      </c>
      <c r="K527">
        <f>vlookup("906-091000-110",B:AZ,column(j1),0)*e527</f>
        <v>0</v>
      </c>
      <c r="L527">
        <f>vlookup("906-091000-110",B:AZ,column(k1),0)*e527</f>
        <v>0</v>
      </c>
      <c r="M527">
        <f>vlookup("906-091000-110",B:AZ,column(l1),0)*e527</f>
        <v>0</v>
      </c>
      <c r="N527">
        <f>vlookup("906-091000-110",B:AZ,column(m1),0)*e527</f>
        <v>0</v>
      </c>
      <c r="O527">
        <f>vlookup("906-091000-110",B:AZ,column(n1),0)*e527</f>
        <v>0</v>
      </c>
      <c r="P527">
        <f>vlookup("906-091000-110",B:AZ,column(o1),0)*e527</f>
        <v>0</v>
      </c>
      <c r="Q527">
        <f>vlookup("906-091000-110",B:AZ,column(p1),0)*e527</f>
        <v>0</v>
      </c>
      <c r="R527">
        <f>vlookup("906-091000-110",B:AZ,column(q1),0)*e527</f>
        <v>0</v>
      </c>
      <c r="S527">
        <f>vlookup("906-091000-110",B:AZ,column(r1),0)*e527</f>
        <v>0</v>
      </c>
      <c r="T527">
        <f>vlookup("906-091000-110",B:AZ,column(s1),0)*e527</f>
        <v>0</v>
      </c>
      <c r="U527">
        <f>vlookup("906-091000-110",B:AZ,column(t1),0)*e527</f>
        <v>0</v>
      </c>
      <c r="V527">
        <f>vlookup("906-091000-110",B:AZ,column(u1),0)*e527</f>
        <v>0</v>
      </c>
      <c r="W527">
        <f>vlookup("906-091000-110",B:AZ,column(v1),0)*e527</f>
        <v>0</v>
      </c>
      <c r="X527">
        <f>vlookup("906-091000-110",B:AZ,column(w1),0)*e527</f>
        <v>0</v>
      </c>
      <c r="Y527">
        <f>vlookup("906-091000-110",B:AZ,column(x1),0)*e527</f>
        <v>0</v>
      </c>
      <c r="Z527">
        <f>vlookup("906-091000-110",B:AZ,column(y1),0)*e527</f>
        <v>0</v>
      </c>
      <c r="AA527">
        <f>vlookup("906-091000-110",B:AZ,column(z1),0)*e527</f>
        <v>0</v>
      </c>
      <c r="AB527">
        <f>vlookup("906-091000-110",B:AZ,column(aa1),0)*e527</f>
        <v>0</v>
      </c>
      <c r="AC527">
        <f>vlookup("906-091000-110",B:AZ,column(ab1),0)*e527</f>
        <v>0</v>
      </c>
      <c r="AD527">
        <f>vlookup("906-091000-110",B:AZ,column(ac1),0)*e527</f>
        <v>0</v>
      </c>
      <c r="AE527">
        <f>vlookup("906-091000-110",B:AZ,column(ad1),0)*e527</f>
        <v>0</v>
      </c>
      <c r="AF527">
        <f>vlookup("906-091000-110",B:AZ,column(ae1),0)*e527</f>
        <v>0</v>
      </c>
      <c r="AG527">
        <f>vlookup("906-091000-110",B:AZ,column(af1),0)*e527</f>
        <v>0</v>
      </c>
      <c r="AH527">
        <f>vlookup("906-091000-110",B:AZ,column(ag1),0)*e527</f>
        <v>0</v>
      </c>
      <c r="AI527">
        <f>vlookup("906-091000-110",B:AZ,column(ah1),0)*e527</f>
        <v>0</v>
      </c>
      <c r="AJ527">
        <f>vlookup("906-091000-110",B:AZ,column(ai1),0)*e527</f>
        <v>0</v>
      </c>
      <c r="AK527">
        <f>vlookup("906-091000-110",B:AZ,column(aj1),0)*e527</f>
        <v>0</v>
      </c>
      <c r="AL527">
        <f>vlookup("906-091000-110",B:AZ,column(ak1),0)*e527</f>
        <v>0</v>
      </c>
      <c r="AM527">
        <f>vlookup("906-091000-110",B:AZ,column(al1),0)*e527</f>
        <v>0</v>
      </c>
      <c r="AN527">
        <f>vlookup("906-091000-110",B:AZ,column(am1),0)*e527</f>
        <v>0</v>
      </c>
      <c r="AO527">
        <f>vlookup("906-091000-110",B:AZ,column(an1),0)*e527</f>
        <v>0</v>
      </c>
    </row>
    <row r="528" spans="1:41">
      <c r="A528" t="s">
        <v>22</v>
      </c>
      <c r="B528" t="s">
        <v>550</v>
      </c>
      <c r="C528" t="s">
        <v>551</v>
      </c>
      <c r="E528">
        <v>1</v>
      </c>
      <c r="F528" t="s">
        <v>13</v>
      </c>
      <c r="I528" t="s">
        <v>15</v>
      </c>
      <c r="J528">
        <f>vlookup("906-091000-110",B:AZ,column(i1),0)*e528</f>
        <v>0</v>
      </c>
      <c r="K528">
        <f>vlookup("906-091000-110",B:AZ,column(j1),0)*e528</f>
        <v>0</v>
      </c>
      <c r="L528">
        <f>vlookup("906-091000-110",B:AZ,column(k1),0)*e528</f>
        <v>0</v>
      </c>
      <c r="M528">
        <f>vlookup("906-091000-110",B:AZ,column(l1),0)*e528</f>
        <v>0</v>
      </c>
      <c r="N528">
        <f>vlookup("906-091000-110",B:AZ,column(m1),0)*e528</f>
        <v>0</v>
      </c>
      <c r="O528">
        <f>vlookup("906-091000-110",B:AZ,column(n1),0)*e528</f>
        <v>0</v>
      </c>
      <c r="P528">
        <f>vlookup("906-091000-110",B:AZ,column(o1),0)*e528</f>
        <v>0</v>
      </c>
      <c r="Q528">
        <f>vlookup("906-091000-110",B:AZ,column(p1),0)*e528</f>
        <v>0</v>
      </c>
      <c r="R528">
        <f>vlookup("906-091000-110",B:AZ,column(q1),0)*e528</f>
        <v>0</v>
      </c>
      <c r="S528">
        <f>vlookup("906-091000-110",B:AZ,column(r1),0)*e528</f>
        <v>0</v>
      </c>
      <c r="T528">
        <f>vlookup("906-091000-110",B:AZ,column(s1),0)*e528</f>
        <v>0</v>
      </c>
      <c r="U528">
        <f>vlookup("906-091000-110",B:AZ,column(t1),0)*e528</f>
        <v>0</v>
      </c>
      <c r="V528">
        <f>vlookup("906-091000-110",B:AZ,column(u1),0)*e528</f>
        <v>0</v>
      </c>
      <c r="W528">
        <f>vlookup("906-091000-110",B:AZ,column(v1),0)*e528</f>
        <v>0</v>
      </c>
      <c r="X528">
        <f>vlookup("906-091000-110",B:AZ,column(w1),0)*e528</f>
        <v>0</v>
      </c>
      <c r="Y528">
        <f>vlookup("906-091000-110",B:AZ,column(x1),0)*e528</f>
        <v>0</v>
      </c>
      <c r="Z528">
        <f>vlookup("906-091000-110",B:AZ,column(y1),0)*e528</f>
        <v>0</v>
      </c>
      <c r="AA528">
        <f>vlookup("906-091000-110",B:AZ,column(z1),0)*e528</f>
        <v>0</v>
      </c>
      <c r="AB528">
        <f>vlookup("906-091000-110",B:AZ,column(aa1),0)*e528</f>
        <v>0</v>
      </c>
      <c r="AC528">
        <f>vlookup("906-091000-110",B:AZ,column(ab1),0)*e528</f>
        <v>0</v>
      </c>
      <c r="AD528">
        <f>vlookup("906-091000-110",B:AZ,column(ac1),0)*e528</f>
        <v>0</v>
      </c>
      <c r="AE528">
        <f>vlookup("906-091000-110",B:AZ,column(ad1),0)*e528</f>
        <v>0</v>
      </c>
      <c r="AF528">
        <f>vlookup("906-091000-110",B:AZ,column(ae1),0)*e528</f>
        <v>0</v>
      </c>
      <c r="AG528">
        <f>vlookup("906-091000-110",B:AZ,column(af1),0)*e528</f>
        <v>0</v>
      </c>
      <c r="AH528">
        <f>vlookup("906-091000-110",B:AZ,column(ag1),0)*e528</f>
        <v>0</v>
      </c>
      <c r="AI528">
        <f>vlookup("906-091000-110",B:AZ,column(ah1),0)*e528</f>
        <v>0</v>
      </c>
      <c r="AJ528">
        <f>vlookup("906-091000-110",B:AZ,column(ai1),0)*e528</f>
        <v>0</v>
      </c>
      <c r="AK528">
        <f>vlookup("906-091000-110",B:AZ,column(aj1),0)*e528</f>
        <v>0</v>
      </c>
      <c r="AL528">
        <f>vlookup("906-091000-110",B:AZ,column(ak1),0)*e528</f>
        <v>0</v>
      </c>
      <c r="AM528">
        <f>vlookup("906-091000-110",B:AZ,column(al1),0)*e528</f>
        <v>0</v>
      </c>
      <c r="AN528">
        <f>vlookup("906-091000-110",B:AZ,column(am1),0)*e528</f>
        <v>0</v>
      </c>
      <c r="AO528">
        <f>vlookup("906-091000-110",B:AZ,column(an1),0)*e528</f>
        <v>0</v>
      </c>
    </row>
    <row r="529" spans="1:41">
      <c r="A529" t="s">
        <v>22</v>
      </c>
      <c r="B529" t="s">
        <v>552</v>
      </c>
      <c r="C529" t="s">
        <v>553</v>
      </c>
      <c r="E529">
        <v>0.5</v>
      </c>
      <c r="F529" t="s">
        <v>13</v>
      </c>
      <c r="I529" t="s">
        <v>15</v>
      </c>
      <c r="J529">
        <f>vlookup("906-091000-110",B:AZ,column(i1),0)*e529</f>
        <v>0</v>
      </c>
      <c r="K529">
        <f>vlookup("906-091000-110",B:AZ,column(j1),0)*e529</f>
        <v>0</v>
      </c>
      <c r="L529">
        <f>vlookup("906-091000-110",B:AZ,column(k1),0)*e529</f>
        <v>0</v>
      </c>
      <c r="M529">
        <f>vlookup("906-091000-110",B:AZ,column(l1),0)*e529</f>
        <v>0</v>
      </c>
      <c r="N529">
        <f>vlookup("906-091000-110",B:AZ,column(m1),0)*e529</f>
        <v>0</v>
      </c>
      <c r="O529">
        <f>vlookup("906-091000-110",B:AZ,column(n1),0)*e529</f>
        <v>0</v>
      </c>
      <c r="P529">
        <f>vlookup("906-091000-110",B:AZ,column(o1),0)*e529</f>
        <v>0</v>
      </c>
      <c r="Q529">
        <f>vlookup("906-091000-110",B:AZ,column(p1),0)*e529</f>
        <v>0</v>
      </c>
      <c r="R529">
        <f>vlookup("906-091000-110",B:AZ,column(q1),0)*e529</f>
        <v>0</v>
      </c>
      <c r="S529">
        <f>vlookup("906-091000-110",B:AZ,column(r1),0)*e529</f>
        <v>0</v>
      </c>
      <c r="T529">
        <f>vlookup("906-091000-110",B:AZ,column(s1),0)*e529</f>
        <v>0</v>
      </c>
      <c r="U529">
        <f>vlookup("906-091000-110",B:AZ,column(t1),0)*e529</f>
        <v>0</v>
      </c>
      <c r="V529">
        <f>vlookup("906-091000-110",B:AZ,column(u1),0)*e529</f>
        <v>0</v>
      </c>
      <c r="W529">
        <f>vlookup("906-091000-110",B:AZ,column(v1),0)*e529</f>
        <v>0</v>
      </c>
      <c r="X529">
        <f>vlookup("906-091000-110",B:AZ,column(w1),0)*e529</f>
        <v>0</v>
      </c>
      <c r="Y529">
        <f>vlookup("906-091000-110",B:AZ,column(x1),0)*e529</f>
        <v>0</v>
      </c>
      <c r="Z529">
        <f>vlookup("906-091000-110",B:AZ,column(y1),0)*e529</f>
        <v>0</v>
      </c>
      <c r="AA529">
        <f>vlookup("906-091000-110",B:AZ,column(z1),0)*e529</f>
        <v>0</v>
      </c>
      <c r="AB529">
        <f>vlookup("906-091000-110",B:AZ,column(aa1),0)*e529</f>
        <v>0</v>
      </c>
      <c r="AC529">
        <f>vlookup("906-091000-110",B:AZ,column(ab1),0)*e529</f>
        <v>0</v>
      </c>
      <c r="AD529">
        <f>vlookup("906-091000-110",B:AZ,column(ac1),0)*e529</f>
        <v>0</v>
      </c>
      <c r="AE529">
        <f>vlookup("906-091000-110",B:AZ,column(ad1),0)*e529</f>
        <v>0</v>
      </c>
      <c r="AF529">
        <f>vlookup("906-091000-110",B:AZ,column(ae1),0)*e529</f>
        <v>0</v>
      </c>
      <c r="AG529">
        <f>vlookup("906-091000-110",B:AZ,column(af1),0)*e529</f>
        <v>0</v>
      </c>
      <c r="AH529">
        <f>vlookup("906-091000-110",B:AZ,column(ag1),0)*e529</f>
        <v>0</v>
      </c>
      <c r="AI529">
        <f>vlookup("906-091000-110",B:AZ,column(ah1),0)*e529</f>
        <v>0</v>
      </c>
      <c r="AJ529">
        <f>vlookup("906-091000-110",B:AZ,column(ai1),0)*e529</f>
        <v>0</v>
      </c>
      <c r="AK529">
        <f>vlookup("906-091000-110",B:AZ,column(aj1),0)*e529</f>
        <v>0</v>
      </c>
      <c r="AL529">
        <f>vlookup("906-091000-110",B:AZ,column(ak1),0)*e529</f>
        <v>0</v>
      </c>
      <c r="AM529">
        <f>vlookup("906-091000-110",B:AZ,column(al1),0)*e529</f>
        <v>0</v>
      </c>
      <c r="AN529">
        <f>vlookup("906-091000-110",B:AZ,column(am1),0)*e529</f>
        <v>0</v>
      </c>
      <c r="AO529">
        <f>vlookup("906-091000-110",B:AZ,column(an1),0)*e529</f>
        <v>0</v>
      </c>
    </row>
    <row r="530" spans="1:41">
      <c r="A530" t="s">
        <v>10</v>
      </c>
      <c r="B530" t="s">
        <v>554</v>
      </c>
      <c r="C530" t="s">
        <v>555</v>
      </c>
      <c r="E530">
        <v>1</v>
      </c>
      <c r="F530" t="s">
        <v>13</v>
      </c>
      <c r="I530" t="s">
        <v>14</v>
      </c>
      <c r="AO530">
        <f>sum(j530:an530)</f>
        <v>0</v>
      </c>
    </row>
    <row r="531" spans="1:41">
      <c r="I531" t="s">
        <v>15</v>
      </c>
      <c r="J531">
        <f>vlookup("906-288000-110",Out!B:AZ,column(i1),0)</f>
        <v>0</v>
      </c>
      <c r="K531">
        <f>vlookup("906-288000-110",Out!B:AZ,column(j1),0)</f>
        <v>0</v>
      </c>
      <c r="L531">
        <f>vlookup("906-288000-110",Out!B:AZ,column(k1),0)</f>
        <v>0</v>
      </c>
      <c r="M531">
        <f>vlookup("906-288000-110",Out!B:AZ,column(l1),0)</f>
        <v>0</v>
      </c>
      <c r="N531">
        <f>vlookup("906-288000-110",Out!B:AZ,column(m1),0)</f>
        <v>0</v>
      </c>
      <c r="O531">
        <f>vlookup("906-288000-110",Out!B:AZ,column(n1),0)</f>
        <v>0</v>
      </c>
      <c r="P531">
        <f>vlookup("906-288000-110",Out!B:AZ,column(o1),0)</f>
        <v>0</v>
      </c>
      <c r="Q531">
        <f>vlookup("906-288000-110",Out!B:AZ,column(p1),0)</f>
        <v>0</v>
      </c>
      <c r="R531">
        <f>vlookup("906-288000-110",Out!B:AZ,column(q1),0)</f>
        <v>0</v>
      </c>
      <c r="S531">
        <f>vlookup("906-288000-110",Out!B:AZ,column(r1),0)</f>
        <v>0</v>
      </c>
      <c r="T531">
        <f>vlookup("906-288000-110",Out!B:AZ,column(s1),0)</f>
        <v>0</v>
      </c>
      <c r="U531">
        <f>vlookup("906-288000-110",Out!B:AZ,column(t1),0)</f>
        <v>0</v>
      </c>
      <c r="V531">
        <f>vlookup("906-288000-110",Out!B:AZ,column(u1),0)</f>
        <v>0</v>
      </c>
      <c r="W531">
        <f>vlookup("906-288000-110",Out!B:AZ,column(v1),0)</f>
        <v>0</v>
      </c>
      <c r="X531">
        <f>vlookup("906-288000-110",Out!B:AZ,column(w1),0)</f>
        <v>0</v>
      </c>
      <c r="Y531">
        <f>vlookup("906-288000-110",Out!B:AZ,column(x1),0)</f>
        <v>0</v>
      </c>
      <c r="Z531">
        <f>vlookup("906-288000-110",Out!B:AZ,column(y1),0)</f>
        <v>0</v>
      </c>
      <c r="AA531">
        <f>vlookup("906-288000-110",Out!B:AZ,column(z1),0)</f>
        <v>0</v>
      </c>
      <c r="AB531">
        <f>vlookup("906-288000-110",Out!B:AZ,column(aa1),0)</f>
        <v>0</v>
      </c>
      <c r="AC531">
        <f>vlookup("906-288000-110",Out!B:AZ,column(ab1),0)</f>
        <v>0</v>
      </c>
      <c r="AD531">
        <f>vlookup("906-288000-110",Out!B:AZ,column(ac1),0)</f>
        <v>0</v>
      </c>
      <c r="AE531">
        <f>vlookup("906-288000-110",Out!B:AZ,column(ad1),0)</f>
        <v>0</v>
      </c>
      <c r="AF531">
        <f>vlookup("906-288000-110",Out!B:AZ,column(ae1),0)</f>
        <v>0</v>
      </c>
      <c r="AG531">
        <f>vlookup("906-288000-110",Out!B:AZ,column(af1),0)</f>
        <v>0</v>
      </c>
      <c r="AH531">
        <f>vlookup("906-288000-110",Out!B:AZ,column(ag1),0)</f>
        <v>0</v>
      </c>
      <c r="AI531">
        <f>vlookup("906-288000-110",Out!B:AZ,column(ah1),0)</f>
        <v>0</v>
      </c>
      <c r="AJ531">
        <f>vlookup("906-288000-110",Out!B:AZ,column(ai1),0)</f>
        <v>0</v>
      </c>
      <c r="AK531">
        <f>vlookup("906-288000-110",Out!B:AZ,column(aj1),0)</f>
        <v>0</v>
      </c>
      <c r="AL531">
        <f>vlookup("906-288000-110",Out!B:AZ,column(ak1),0)</f>
        <v>0</v>
      </c>
      <c r="AM531">
        <f>vlookup("906-288000-110",Out!B:AZ,column(al1),0)</f>
        <v>0</v>
      </c>
      <c r="AN531">
        <f>vlookup("906-288000-110",Out!B:AZ,column(am1),0)</f>
        <v>0</v>
      </c>
      <c r="AO531">
        <f>vlookup("906-288000-110",Out!B:AZ,column(an1),0)</f>
        <v>0</v>
      </c>
    </row>
    <row r="532" spans="1:41">
      <c r="H532" t="s">
        <v>16</v>
      </c>
      <c r="J532">
        <f>indirect(address(532,9))+indirect(address(530,10))-indirect(address(531,10))</f>
        <v>0</v>
      </c>
      <c r="K532">
        <f>indirect(address(532,10))+indirect(address(530,11))-indirect(address(531,11))</f>
        <v>0</v>
      </c>
      <c r="L532">
        <f>indirect(address(532,11))+indirect(address(530,12))-indirect(address(531,12))</f>
        <v>0</v>
      </c>
      <c r="M532">
        <f>indirect(address(532,12))+indirect(address(530,13))-indirect(address(531,13))</f>
        <v>0</v>
      </c>
      <c r="N532">
        <f>indirect(address(532,13))+indirect(address(530,14))-indirect(address(531,14))</f>
        <v>0</v>
      </c>
      <c r="O532">
        <f>indirect(address(532,14))+indirect(address(530,15))-indirect(address(531,15))</f>
        <v>0</v>
      </c>
      <c r="P532">
        <f>indirect(address(532,15))+indirect(address(530,16))-indirect(address(531,16))</f>
        <v>0</v>
      </c>
      <c r="Q532">
        <f>indirect(address(532,16))+indirect(address(530,17))-indirect(address(531,17))</f>
        <v>0</v>
      </c>
      <c r="R532">
        <f>indirect(address(532,17))+indirect(address(530,18))-indirect(address(531,18))</f>
        <v>0</v>
      </c>
      <c r="S532">
        <f>indirect(address(532,18))+indirect(address(530,19))-indirect(address(531,19))</f>
        <v>0</v>
      </c>
      <c r="T532">
        <f>indirect(address(532,19))+indirect(address(530,20))-indirect(address(531,20))</f>
        <v>0</v>
      </c>
      <c r="U532">
        <f>indirect(address(532,20))+indirect(address(530,21))-indirect(address(531,21))</f>
        <v>0</v>
      </c>
      <c r="V532">
        <f>indirect(address(532,21))+indirect(address(530,22))-indirect(address(531,22))</f>
        <v>0</v>
      </c>
      <c r="W532">
        <f>indirect(address(532,22))+indirect(address(530,23))-indirect(address(531,23))</f>
        <v>0</v>
      </c>
      <c r="X532">
        <f>indirect(address(532,23))+indirect(address(530,24))-indirect(address(531,24))</f>
        <v>0</v>
      </c>
      <c r="Y532">
        <f>indirect(address(532,24))+indirect(address(530,25))-indirect(address(531,25))</f>
        <v>0</v>
      </c>
      <c r="Z532">
        <f>indirect(address(532,25))+indirect(address(530,26))-indirect(address(531,26))</f>
        <v>0</v>
      </c>
      <c r="AA532">
        <f>indirect(address(532,26))+indirect(address(530,27))-indirect(address(531,27))</f>
        <v>0</v>
      </c>
      <c r="AB532">
        <f>indirect(address(532,27))+indirect(address(530,28))-indirect(address(531,28))</f>
        <v>0</v>
      </c>
      <c r="AC532">
        <f>indirect(address(532,28))+indirect(address(530,29))-indirect(address(531,29))</f>
        <v>0</v>
      </c>
      <c r="AD532">
        <f>indirect(address(532,29))+indirect(address(530,30))-indirect(address(531,30))</f>
        <v>0</v>
      </c>
      <c r="AE532">
        <f>indirect(address(532,30))+indirect(address(530,31))-indirect(address(531,31))</f>
        <v>0</v>
      </c>
      <c r="AF532">
        <f>indirect(address(532,31))+indirect(address(530,32))-indirect(address(531,32))</f>
        <v>0</v>
      </c>
      <c r="AG532">
        <f>indirect(address(532,32))+indirect(address(530,33))-indirect(address(531,33))</f>
        <v>0</v>
      </c>
      <c r="AH532">
        <f>indirect(address(532,33))+indirect(address(530,34))-indirect(address(531,34))</f>
        <v>0</v>
      </c>
      <c r="AI532">
        <f>indirect(address(532,34))+indirect(address(530,35))-indirect(address(531,35))</f>
        <v>0</v>
      </c>
      <c r="AJ532">
        <f>indirect(address(532,35))+indirect(address(530,36))-indirect(address(531,36))</f>
        <v>0</v>
      </c>
      <c r="AK532">
        <f>indirect(address(532,36))+indirect(address(530,37))-indirect(address(531,37))</f>
        <v>0</v>
      </c>
      <c r="AL532">
        <f>indirect(address(532,37))+indirect(address(530,38))-indirect(address(531,38))</f>
        <v>0</v>
      </c>
      <c r="AM532">
        <f>indirect(address(532,38))+indirect(address(530,39))-indirect(address(531,39))</f>
        <v>0</v>
      </c>
      <c r="AN532">
        <f>indirect(address(532,39))+indirect(address(530,40))-indirect(address(531,40))</f>
        <v>0</v>
      </c>
      <c r="AO532">
        <f>indirect(address(532,40))</f>
        <v>0</v>
      </c>
    </row>
    <row r="533" spans="1:41">
      <c r="A533" t="s">
        <v>17</v>
      </c>
      <c r="B533" t="s">
        <v>556</v>
      </c>
      <c r="C533" t="s">
        <v>557</v>
      </c>
      <c r="E533">
        <v>1</v>
      </c>
      <c r="F533" t="s">
        <v>13</v>
      </c>
      <c r="I533" t="s">
        <v>15</v>
      </c>
      <c r="J533">
        <f>vlookup("906-288000-110",B:AZ,column(i1),0)*e533</f>
        <v>0</v>
      </c>
      <c r="K533">
        <f>vlookup("906-288000-110",B:AZ,column(j1),0)*e533</f>
        <v>0</v>
      </c>
      <c r="L533">
        <f>vlookup("906-288000-110",B:AZ,column(k1),0)*e533</f>
        <v>0</v>
      </c>
      <c r="M533">
        <f>vlookup("906-288000-110",B:AZ,column(l1),0)*e533</f>
        <v>0</v>
      </c>
      <c r="N533">
        <f>vlookup("906-288000-110",B:AZ,column(m1),0)*e533</f>
        <v>0</v>
      </c>
      <c r="O533">
        <f>vlookup("906-288000-110",B:AZ,column(n1),0)*e533</f>
        <v>0</v>
      </c>
      <c r="P533">
        <f>vlookup("906-288000-110",B:AZ,column(o1),0)*e533</f>
        <v>0</v>
      </c>
      <c r="Q533">
        <f>vlookup("906-288000-110",B:AZ,column(p1),0)*e533</f>
        <v>0</v>
      </c>
      <c r="R533">
        <f>vlookup("906-288000-110",B:AZ,column(q1),0)*e533</f>
        <v>0</v>
      </c>
      <c r="S533">
        <f>vlookup("906-288000-110",B:AZ,column(r1),0)*e533</f>
        <v>0</v>
      </c>
      <c r="T533">
        <f>vlookup("906-288000-110",B:AZ,column(s1),0)*e533</f>
        <v>0</v>
      </c>
      <c r="U533">
        <f>vlookup("906-288000-110",B:AZ,column(t1),0)*e533</f>
        <v>0</v>
      </c>
      <c r="V533">
        <f>vlookup("906-288000-110",B:AZ,column(u1),0)*e533</f>
        <v>0</v>
      </c>
      <c r="W533">
        <f>vlookup("906-288000-110",B:AZ,column(v1),0)*e533</f>
        <v>0</v>
      </c>
      <c r="X533">
        <f>vlookup("906-288000-110",B:AZ,column(w1),0)*e533</f>
        <v>0</v>
      </c>
      <c r="Y533">
        <f>vlookup("906-288000-110",B:AZ,column(x1),0)*e533</f>
        <v>0</v>
      </c>
      <c r="Z533">
        <f>vlookup("906-288000-110",B:AZ,column(y1),0)*e533</f>
        <v>0</v>
      </c>
      <c r="AA533">
        <f>vlookup("906-288000-110",B:AZ,column(z1),0)*e533</f>
        <v>0</v>
      </c>
      <c r="AB533">
        <f>vlookup("906-288000-110",B:AZ,column(aa1),0)*e533</f>
        <v>0</v>
      </c>
      <c r="AC533">
        <f>vlookup("906-288000-110",B:AZ,column(ab1),0)*e533</f>
        <v>0</v>
      </c>
      <c r="AD533">
        <f>vlookup("906-288000-110",B:AZ,column(ac1),0)*e533</f>
        <v>0</v>
      </c>
      <c r="AE533">
        <f>vlookup("906-288000-110",B:AZ,column(ad1),0)*e533</f>
        <v>0</v>
      </c>
      <c r="AF533">
        <f>vlookup("906-288000-110",B:AZ,column(ae1),0)*e533</f>
        <v>0</v>
      </c>
      <c r="AG533">
        <f>vlookup("906-288000-110",B:AZ,column(af1),0)*e533</f>
        <v>0</v>
      </c>
      <c r="AH533">
        <f>vlookup("906-288000-110",B:AZ,column(ag1),0)*e533</f>
        <v>0</v>
      </c>
      <c r="AI533">
        <f>vlookup("906-288000-110",B:AZ,column(ah1),0)*e533</f>
        <v>0</v>
      </c>
      <c r="AJ533">
        <f>vlookup("906-288000-110",B:AZ,column(ai1),0)*e533</f>
        <v>0</v>
      </c>
      <c r="AK533">
        <f>vlookup("906-288000-110",B:AZ,column(aj1),0)*e533</f>
        <v>0</v>
      </c>
      <c r="AL533">
        <f>vlookup("906-288000-110",B:AZ,column(ak1),0)*e533</f>
        <v>0</v>
      </c>
      <c r="AM533">
        <f>vlookup("906-288000-110",B:AZ,column(al1),0)*e533</f>
        <v>0</v>
      </c>
      <c r="AN533">
        <f>vlookup("906-288000-110",B:AZ,column(am1),0)*e533</f>
        <v>0</v>
      </c>
      <c r="AO533">
        <f>vlookup("906-288000-110",B:AZ,column(an1),0)*e533</f>
        <v>0</v>
      </c>
    </row>
    <row r="534" spans="1:41">
      <c r="A534" t="s">
        <v>17</v>
      </c>
      <c r="B534" t="s">
        <v>558</v>
      </c>
      <c r="C534" t="s">
        <v>559</v>
      </c>
      <c r="E534">
        <v>1</v>
      </c>
      <c r="F534" t="s">
        <v>13</v>
      </c>
      <c r="I534" t="s">
        <v>15</v>
      </c>
      <c r="J534">
        <f>vlookup("906-288000-110",B:AZ,column(i1),0)*e534</f>
        <v>0</v>
      </c>
      <c r="K534">
        <f>vlookup("906-288000-110",B:AZ,column(j1),0)*e534</f>
        <v>0</v>
      </c>
      <c r="L534">
        <f>vlookup("906-288000-110",B:AZ,column(k1),0)*e534</f>
        <v>0</v>
      </c>
      <c r="M534">
        <f>vlookup("906-288000-110",B:AZ,column(l1),0)*e534</f>
        <v>0</v>
      </c>
      <c r="N534">
        <f>vlookup("906-288000-110",B:AZ,column(m1),0)*e534</f>
        <v>0</v>
      </c>
      <c r="O534">
        <f>vlookup("906-288000-110",B:AZ,column(n1),0)*e534</f>
        <v>0</v>
      </c>
      <c r="P534">
        <f>vlookup("906-288000-110",B:AZ,column(o1),0)*e534</f>
        <v>0</v>
      </c>
      <c r="Q534">
        <f>vlookup("906-288000-110",B:AZ,column(p1),0)*e534</f>
        <v>0</v>
      </c>
      <c r="R534">
        <f>vlookup("906-288000-110",B:AZ,column(q1),0)*e534</f>
        <v>0</v>
      </c>
      <c r="S534">
        <f>vlookup("906-288000-110",B:AZ,column(r1),0)*e534</f>
        <v>0</v>
      </c>
      <c r="T534">
        <f>vlookup("906-288000-110",B:AZ,column(s1),0)*e534</f>
        <v>0</v>
      </c>
      <c r="U534">
        <f>vlookup("906-288000-110",B:AZ,column(t1),0)*e534</f>
        <v>0</v>
      </c>
      <c r="V534">
        <f>vlookup("906-288000-110",B:AZ,column(u1),0)*e534</f>
        <v>0</v>
      </c>
      <c r="W534">
        <f>vlookup("906-288000-110",B:AZ,column(v1),0)*e534</f>
        <v>0</v>
      </c>
      <c r="X534">
        <f>vlookup("906-288000-110",B:AZ,column(w1),0)*e534</f>
        <v>0</v>
      </c>
      <c r="Y534">
        <f>vlookup("906-288000-110",B:AZ,column(x1),0)*e534</f>
        <v>0</v>
      </c>
      <c r="Z534">
        <f>vlookup("906-288000-110",B:AZ,column(y1),0)*e534</f>
        <v>0</v>
      </c>
      <c r="AA534">
        <f>vlookup("906-288000-110",B:AZ,column(z1),0)*e534</f>
        <v>0</v>
      </c>
      <c r="AB534">
        <f>vlookup("906-288000-110",B:AZ,column(aa1),0)*e534</f>
        <v>0</v>
      </c>
      <c r="AC534">
        <f>vlookup("906-288000-110",B:AZ,column(ab1),0)*e534</f>
        <v>0</v>
      </c>
      <c r="AD534">
        <f>vlookup("906-288000-110",B:AZ,column(ac1),0)*e534</f>
        <v>0</v>
      </c>
      <c r="AE534">
        <f>vlookup("906-288000-110",B:AZ,column(ad1),0)*e534</f>
        <v>0</v>
      </c>
      <c r="AF534">
        <f>vlookup("906-288000-110",B:AZ,column(ae1),0)*e534</f>
        <v>0</v>
      </c>
      <c r="AG534">
        <f>vlookup("906-288000-110",B:AZ,column(af1),0)*e534</f>
        <v>0</v>
      </c>
      <c r="AH534">
        <f>vlookup("906-288000-110",B:AZ,column(ag1),0)*e534</f>
        <v>0</v>
      </c>
      <c r="AI534">
        <f>vlookup("906-288000-110",B:AZ,column(ah1),0)*e534</f>
        <v>0</v>
      </c>
      <c r="AJ534">
        <f>vlookup("906-288000-110",B:AZ,column(ai1),0)*e534</f>
        <v>0</v>
      </c>
      <c r="AK534">
        <f>vlookup("906-288000-110",B:AZ,column(aj1),0)*e534</f>
        <v>0</v>
      </c>
      <c r="AL534">
        <f>vlookup("906-288000-110",B:AZ,column(ak1),0)*e534</f>
        <v>0</v>
      </c>
      <c r="AM534">
        <f>vlookup("906-288000-110",B:AZ,column(al1),0)*e534</f>
        <v>0</v>
      </c>
      <c r="AN534">
        <f>vlookup("906-288000-110",B:AZ,column(am1),0)*e534</f>
        <v>0</v>
      </c>
      <c r="AO534">
        <f>vlookup("906-288000-110",B:AZ,column(an1),0)*e534</f>
        <v>0</v>
      </c>
    </row>
    <row r="535" spans="1:41">
      <c r="A535" t="s">
        <v>17</v>
      </c>
      <c r="B535" t="s">
        <v>560</v>
      </c>
      <c r="C535" t="s">
        <v>561</v>
      </c>
      <c r="E535">
        <v>1</v>
      </c>
      <c r="F535" t="s">
        <v>13</v>
      </c>
      <c r="I535" t="s">
        <v>15</v>
      </c>
      <c r="J535">
        <f>vlookup("906-288000-110",B:AZ,column(i1),0)*e535</f>
        <v>0</v>
      </c>
      <c r="K535">
        <f>vlookup("906-288000-110",B:AZ,column(j1),0)*e535</f>
        <v>0</v>
      </c>
      <c r="L535">
        <f>vlookup("906-288000-110",B:AZ,column(k1),0)*e535</f>
        <v>0</v>
      </c>
      <c r="M535">
        <f>vlookup("906-288000-110",B:AZ,column(l1),0)*e535</f>
        <v>0</v>
      </c>
      <c r="N535">
        <f>vlookup("906-288000-110",B:AZ,column(m1),0)*e535</f>
        <v>0</v>
      </c>
      <c r="O535">
        <f>vlookup("906-288000-110",B:AZ,column(n1),0)*e535</f>
        <v>0</v>
      </c>
      <c r="P535">
        <f>vlookup("906-288000-110",B:AZ,column(o1),0)*e535</f>
        <v>0</v>
      </c>
      <c r="Q535">
        <f>vlookup("906-288000-110",B:AZ,column(p1),0)*e535</f>
        <v>0</v>
      </c>
      <c r="R535">
        <f>vlookup("906-288000-110",B:AZ,column(q1),0)*e535</f>
        <v>0</v>
      </c>
      <c r="S535">
        <f>vlookup("906-288000-110",B:AZ,column(r1),0)*e535</f>
        <v>0</v>
      </c>
      <c r="T535">
        <f>vlookup("906-288000-110",B:AZ,column(s1),0)*e535</f>
        <v>0</v>
      </c>
      <c r="U535">
        <f>vlookup("906-288000-110",B:AZ,column(t1),0)*e535</f>
        <v>0</v>
      </c>
      <c r="V535">
        <f>vlookup("906-288000-110",B:AZ,column(u1),0)*e535</f>
        <v>0</v>
      </c>
      <c r="W535">
        <f>vlookup("906-288000-110",B:AZ,column(v1),0)*e535</f>
        <v>0</v>
      </c>
      <c r="X535">
        <f>vlookup("906-288000-110",B:AZ,column(w1),0)*e535</f>
        <v>0</v>
      </c>
      <c r="Y535">
        <f>vlookup("906-288000-110",B:AZ,column(x1),0)*e535</f>
        <v>0</v>
      </c>
      <c r="Z535">
        <f>vlookup("906-288000-110",B:AZ,column(y1),0)*e535</f>
        <v>0</v>
      </c>
      <c r="AA535">
        <f>vlookup("906-288000-110",B:AZ,column(z1),0)*e535</f>
        <v>0</v>
      </c>
      <c r="AB535">
        <f>vlookup("906-288000-110",B:AZ,column(aa1),0)*e535</f>
        <v>0</v>
      </c>
      <c r="AC535">
        <f>vlookup("906-288000-110",B:AZ,column(ab1),0)*e535</f>
        <v>0</v>
      </c>
      <c r="AD535">
        <f>vlookup("906-288000-110",B:AZ,column(ac1),0)*e535</f>
        <v>0</v>
      </c>
      <c r="AE535">
        <f>vlookup("906-288000-110",B:AZ,column(ad1),0)*e535</f>
        <v>0</v>
      </c>
      <c r="AF535">
        <f>vlookup("906-288000-110",B:AZ,column(ae1),0)*e535</f>
        <v>0</v>
      </c>
      <c r="AG535">
        <f>vlookup("906-288000-110",B:AZ,column(af1),0)*e535</f>
        <v>0</v>
      </c>
      <c r="AH535">
        <f>vlookup("906-288000-110",B:AZ,column(ag1),0)*e535</f>
        <v>0</v>
      </c>
      <c r="AI535">
        <f>vlookup("906-288000-110",B:AZ,column(ah1),0)*e535</f>
        <v>0</v>
      </c>
      <c r="AJ535">
        <f>vlookup("906-288000-110",B:AZ,column(ai1),0)*e535</f>
        <v>0</v>
      </c>
      <c r="AK535">
        <f>vlookup("906-288000-110",B:AZ,column(aj1),0)*e535</f>
        <v>0</v>
      </c>
      <c r="AL535">
        <f>vlookup("906-288000-110",B:AZ,column(ak1),0)*e535</f>
        <v>0</v>
      </c>
      <c r="AM535">
        <f>vlookup("906-288000-110",B:AZ,column(al1),0)*e535</f>
        <v>0</v>
      </c>
      <c r="AN535">
        <f>vlookup("906-288000-110",B:AZ,column(am1),0)*e535</f>
        <v>0</v>
      </c>
      <c r="AO535">
        <f>vlookup("906-288000-110",B:AZ,column(an1),0)*e535</f>
        <v>0</v>
      </c>
    </row>
    <row r="536" spans="1:41">
      <c r="A536" t="s">
        <v>10</v>
      </c>
      <c r="B536" t="s">
        <v>562</v>
      </c>
      <c r="C536" t="s">
        <v>563</v>
      </c>
      <c r="E536">
        <v>1</v>
      </c>
      <c r="F536" t="s">
        <v>13</v>
      </c>
      <c r="I536" t="s">
        <v>14</v>
      </c>
      <c r="AO536">
        <f>sum(j536:an536)</f>
        <v>0</v>
      </c>
    </row>
    <row r="537" spans="1:41">
      <c r="I537" t="s">
        <v>15</v>
      </c>
      <c r="J537">
        <f>vlookup("906-352348-110",Out!B:AZ,column(i1),0)</f>
        <v>0</v>
      </c>
      <c r="K537">
        <f>vlookup("906-352348-110",Out!B:AZ,column(j1),0)</f>
        <v>0</v>
      </c>
      <c r="L537">
        <f>vlookup("906-352348-110",Out!B:AZ,column(k1),0)</f>
        <v>0</v>
      </c>
      <c r="M537">
        <f>vlookup("906-352348-110",Out!B:AZ,column(l1),0)</f>
        <v>0</v>
      </c>
      <c r="N537">
        <f>vlookup("906-352348-110",Out!B:AZ,column(m1),0)</f>
        <v>0</v>
      </c>
      <c r="O537">
        <f>vlookup("906-352348-110",Out!B:AZ,column(n1),0)</f>
        <v>0</v>
      </c>
      <c r="P537">
        <f>vlookup("906-352348-110",Out!B:AZ,column(o1),0)</f>
        <v>0</v>
      </c>
      <c r="Q537">
        <f>vlookup("906-352348-110",Out!B:AZ,column(p1),0)</f>
        <v>0</v>
      </c>
      <c r="R537">
        <f>vlookup("906-352348-110",Out!B:AZ,column(q1),0)</f>
        <v>0</v>
      </c>
      <c r="S537">
        <f>vlookup("906-352348-110",Out!B:AZ,column(r1),0)</f>
        <v>0</v>
      </c>
      <c r="T537">
        <f>vlookup("906-352348-110",Out!B:AZ,column(s1),0)</f>
        <v>0</v>
      </c>
      <c r="U537">
        <f>vlookup("906-352348-110",Out!B:AZ,column(t1),0)</f>
        <v>0</v>
      </c>
      <c r="V537">
        <f>vlookup("906-352348-110",Out!B:AZ,column(u1),0)</f>
        <v>0</v>
      </c>
      <c r="W537">
        <f>vlookup("906-352348-110",Out!B:AZ,column(v1),0)</f>
        <v>0</v>
      </c>
      <c r="X537">
        <f>vlookup("906-352348-110",Out!B:AZ,column(w1),0)</f>
        <v>0</v>
      </c>
      <c r="Y537">
        <f>vlookup("906-352348-110",Out!B:AZ,column(x1),0)</f>
        <v>0</v>
      </c>
      <c r="Z537">
        <f>vlookup("906-352348-110",Out!B:AZ,column(y1),0)</f>
        <v>0</v>
      </c>
      <c r="AA537">
        <f>vlookup("906-352348-110",Out!B:AZ,column(z1),0)</f>
        <v>0</v>
      </c>
      <c r="AB537">
        <f>vlookup("906-352348-110",Out!B:AZ,column(aa1),0)</f>
        <v>0</v>
      </c>
      <c r="AC537">
        <f>vlookup("906-352348-110",Out!B:AZ,column(ab1),0)</f>
        <v>0</v>
      </c>
      <c r="AD537">
        <f>vlookup("906-352348-110",Out!B:AZ,column(ac1),0)</f>
        <v>0</v>
      </c>
      <c r="AE537">
        <f>vlookup("906-352348-110",Out!B:AZ,column(ad1),0)</f>
        <v>0</v>
      </c>
      <c r="AF537">
        <f>vlookup("906-352348-110",Out!B:AZ,column(ae1),0)</f>
        <v>0</v>
      </c>
      <c r="AG537">
        <f>vlookup("906-352348-110",Out!B:AZ,column(af1),0)</f>
        <v>0</v>
      </c>
      <c r="AH537">
        <f>vlookup("906-352348-110",Out!B:AZ,column(ag1),0)</f>
        <v>0</v>
      </c>
      <c r="AI537">
        <f>vlookup("906-352348-110",Out!B:AZ,column(ah1),0)</f>
        <v>0</v>
      </c>
      <c r="AJ537">
        <f>vlookup("906-352348-110",Out!B:AZ,column(ai1),0)</f>
        <v>0</v>
      </c>
      <c r="AK537">
        <f>vlookup("906-352348-110",Out!B:AZ,column(aj1),0)</f>
        <v>0</v>
      </c>
      <c r="AL537">
        <f>vlookup("906-352348-110",Out!B:AZ,column(ak1),0)</f>
        <v>0</v>
      </c>
      <c r="AM537">
        <f>vlookup("906-352348-110",Out!B:AZ,column(al1),0)</f>
        <v>0</v>
      </c>
      <c r="AN537">
        <f>vlookup("906-352348-110",Out!B:AZ,column(am1),0)</f>
        <v>0</v>
      </c>
      <c r="AO537">
        <f>vlookup("906-352348-110",Out!B:AZ,column(an1),0)</f>
        <v>0</v>
      </c>
    </row>
    <row r="538" spans="1:41">
      <c r="H538" t="s">
        <v>16</v>
      </c>
      <c r="J538">
        <f>indirect(address(538,9))+indirect(address(536,10))-indirect(address(537,10))</f>
        <v>0</v>
      </c>
      <c r="K538">
        <f>indirect(address(538,10))+indirect(address(536,11))-indirect(address(537,11))</f>
        <v>0</v>
      </c>
      <c r="L538">
        <f>indirect(address(538,11))+indirect(address(536,12))-indirect(address(537,12))</f>
        <v>0</v>
      </c>
      <c r="M538">
        <f>indirect(address(538,12))+indirect(address(536,13))-indirect(address(537,13))</f>
        <v>0</v>
      </c>
      <c r="N538">
        <f>indirect(address(538,13))+indirect(address(536,14))-indirect(address(537,14))</f>
        <v>0</v>
      </c>
      <c r="O538">
        <f>indirect(address(538,14))+indirect(address(536,15))-indirect(address(537,15))</f>
        <v>0</v>
      </c>
      <c r="P538">
        <f>indirect(address(538,15))+indirect(address(536,16))-indirect(address(537,16))</f>
        <v>0</v>
      </c>
      <c r="Q538">
        <f>indirect(address(538,16))+indirect(address(536,17))-indirect(address(537,17))</f>
        <v>0</v>
      </c>
      <c r="R538">
        <f>indirect(address(538,17))+indirect(address(536,18))-indirect(address(537,18))</f>
        <v>0</v>
      </c>
      <c r="S538">
        <f>indirect(address(538,18))+indirect(address(536,19))-indirect(address(537,19))</f>
        <v>0</v>
      </c>
      <c r="T538">
        <f>indirect(address(538,19))+indirect(address(536,20))-indirect(address(537,20))</f>
        <v>0</v>
      </c>
      <c r="U538">
        <f>indirect(address(538,20))+indirect(address(536,21))-indirect(address(537,21))</f>
        <v>0</v>
      </c>
      <c r="V538">
        <f>indirect(address(538,21))+indirect(address(536,22))-indirect(address(537,22))</f>
        <v>0</v>
      </c>
      <c r="W538">
        <f>indirect(address(538,22))+indirect(address(536,23))-indirect(address(537,23))</f>
        <v>0</v>
      </c>
      <c r="X538">
        <f>indirect(address(538,23))+indirect(address(536,24))-indirect(address(537,24))</f>
        <v>0</v>
      </c>
      <c r="Y538">
        <f>indirect(address(538,24))+indirect(address(536,25))-indirect(address(537,25))</f>
        <v>0</v>
      </c>
      <c r="Z538">
        <f>indirect(address(538,25))+indirect(address(536,26))-indirect(address(537,26))</f>
        <v>0</v>
      </c>
      <c r="AA538">
        <f>indirect(address(538,26))+indirect(address(536,27))-indirect(address(537,27))</f>
        <v>0</v>
      </c>
      <c r="AB538">
        <f>indirect(address(538,27))+indirect(address(536,28))-indirect(address(537,28))</f>
        <v>0</v>
      </c>
      <c r="AC538">
        <f>indirect(address(538,28))+indirect(address(536,29))-indirect(address(537,29))</f>
        <v>0</v>
      </c>
      <c r="AD538">
        <f>indirect(address(538,29))+indirect(address(536,30))-indirect(address(537,30))</f>
        <v>0</v>
      </c>
      <c r="AE538">
        <f>indirect(address(538,30))+indirect(address(536,31))-indirect(address(537,31))</f>
        <v>0</v>
      </c>
      <c r="AF538">
        <f>indirect(address(538,31))+indirect(address(536,32))-indirect(address(537,32))</f>
        <v>0</v>
      </c>
      <c r="AG538">
        <f>indirect(address(538,32))+indirect(address(536,33))-indirect(address(537,33))</f>
        <v>0</v>
      </c>
      <c r="AH538">
        <f>indirect(address(538,33))+indirect(address(536,34))-indirect(address(537,34))</f>
        <v>0</v>
      </c>
      <c r="AI538">
        <f>indirect(address(538,34))+indirect(address(536,35))-indirect(address(537,35))</f>
        <v>0</v>
      </c>
      <c r="AJ538">
        <f>indirect(address(538,35))+indirect(address(536,36))-indirect(address(537,36))</f>
        <v>0</v>
      </c>
      <c r="AK538">
        <f>indirect(address(538,36))+indirect(address(536,37))-indirect(address(537,37))</f>
        <v>0</v>
      </c>
      <c r="AL538">
        <f>indirect(address(538,37))+indirect(address(536,38))-indirect(address(537,38))</f>
        <v>0</v>
      </c>
      <c r="AM538">
        <f>indirect(address(538,38))+indirect(address(536,39))-indirect(address(537,39))</f>
        <v>0</v>
      </c>
      <c r="AN538">
        <f>indirect(address(538,39))+indirect(address(536,40))-indirect(address(537,40))</f>
        <v>0</v>
      </c>
      <c r="AO538">
        <f>indirect(address(538,40))</f>
        <v>0</v>
      </c>
    </row>
    <row r="539" spans="1:41">
      <c r="A539" t="s">
        <v>17</v>
      </c>
      <c r="B539" t="s">
        <v>564</v>
      </c>
      <c r="C539" t="s">
        <v>565</v>
      </c>
      <c r="E539">
        <v>1</v>
      </c>
      <c r="F539" t="s">
        <v>13</v>
      </c>
      <c r="I539" t="s">
        <v>15</v>
      </c>
      <c r="J539">
        <f>vlookup("906-352348-110",B:AZ,column(i1),0)*e539</f>
        <v>0</v>
      </c>
      <c r="K539">
        <f>vlookup("906-352348-110",B:AZ,column(j1),0)*e539</f>
        <v>0</v>
      </c>
      <c r="L539">
        <f>vlookup("906-352348-110",B:AZ,column(k1),0)*e539</f>
        <v>0</v>
      </c>
      <c r="M539">
        <f>vlookup("906-352348-110",B:AZ,column(l1),0)*e539</f>
        <v>0</v>
      </c>
      <c r="N539">
        <f>vlookup("906-352348-110",B:AZ,column(m1),0)*e539</f>
        <v>0</v>
      </c>
      <c r="O539">
        <f>vlookup("906-352348-110",B:AZ,column(n1),0)*e539</f>
        <v>0</v>
      </c>
      <c r="P539">
        <f>vlookup("906-352348-110",B:AZ,column(o1),0)*e539</f>
        <v>0</v>
      </c>
      <c r="Q539">
        <f>vlookup("906-352348-110",B:AZ,column(p1),0)*e539</f>
        <v>0</v>
      </c>
      <c r="R539">
        <f>vlookup("906-352348-110",B:AZ,column(q1),0)*e539</f>
        <v>0</v>
      </c>
      <c r="S539">
        <f>vlookup("906-352348-110",B:AZ,column(r1),0)*e539</f>
        <v>0</v>
      </c>
      <c r="T539">
        <f>vlookup("906-352348-110",B:AZ,column(s1),0)*e539</f>
        <v>0</v>
      </c>
      <c r="U539">
        <f>vlookup("906-352348-110",B:AZ,column(t1),0)*e539</f>
        <v>0</v>
      </c>
      <c r="V539">
        <f>vlookup("906-352348-110",B:AZ,column(u1),0)*e539</f>
        <v>0</v>
      </c>
      <c r="W539">
        <f>vlookup("906-352348-110",B:AZ,column(v1),0)*e539</f>
        <v>0</v>
      </c>
      <c r="X539">
        <f>vlookup("906-352348-110",B:AZ,column(w1),0)*e539</f>
        <v>0</v>
      </c>
      <c r="Y539">
        <f>vlookup("906-352348-110",B:AZ,column(x1),0)*e539</f>
        <v>0</v>
      </c>
      <c r="Z539">
        <f>vlookup("906-352348-110",B:AZ,column(y1),0)*e539</f>
        <v>0</v>
      </c>
      <c r="AA539">
        <f>vlookup("906-352348-110",B:AZ,column(z1),0)*e539</f>
        <v>0</v>
      </c>
      <c r="AB539">
        <f>vlookup("906-352348-110",B:AZ,column(aa1),0)*e539</f>
        <v>0</v>
      </c>
      <c r="AC539">
        <f>vlookup("906-352348-110",B:AZ,column(ab1),0)*e539</f>
        <v>0</v>
      </c>
      <c r="AD539">
        <f>vlookup("906-352348-110",B:AZ,column(ac1),0)*e539</f>
        <v>0</v>
      </c>
      <c r="AE539">
        <f>vlookup("906-352348-110",B:AZ,column(ad1),0)*e539</f>
        <v>0</v>
      </c>
      <c r="AF539">
        <f>vlookup("906-352348-110",B:AZ,column(ae1),0)*e539</f>
        <v>0</v>
      </c>
      <c r="AG539">
        <f>vlookup("906-352348-110",B:AZ,column(af1),0)*e539</f>
        <v>0</v>
      </c>
      <c r="AH539">
        <f>vlookup("906-352348-110",B:AZ,column(ag1),0)*e539</f>
        <v>0</v>
      </c>
      <c r="AI539">
        <f>vlookup("906-352348-110",B:AZ,column(ah1),0)*e539</f>
        <v>0</v>
      </c>
      <c r="AJ539">
        <f>vlookup("906-352348-110",B:AZ,column(ai1),0)*e539</f>
        <v>0</v>
      </c>
      <c r="AK539">
        <f>vlookup("906-352348-110",B:AZ,column(aj1),0)*e539</f>
        <v>0</v>
      </c>
      <c r="AL539">
        <f>vlookup("906-352348-110",B:AZ,column(ak1),0)*e539</f>
        <v>0</v>
      </c>
      <c r="AM539">
        <f>vlookup("906-352348-110",B:AZ,column(al1),0)*e539</f>
        <v>0</v>
      </c>
      <c r="AN539">
        <f>vlookup("906-352348-110",B:AZ,column(am1),0)*e539</f>
        <v>0</v>
      </c>
      <c r="AO539">
        <f>vlookup("906-352348-110",B:AZ,column(an1),0)*e539</f>
        <v>0</v>
      </c>
    </row>
    <row r="540" spans="1:41">
      <c r="A540" t="s">
        <v>22</v>
      </c>
      <c r="B540" t="s">
        <v>566</v>
      </c>
      <c r="C540" t="s">
        <v>567</v>
      </c>
      <c r="E540">
        <v>1</v>
      </c>
      <c r="F540" t="s">
        <v>13</v>
      </c>
      <c r="I540" t="s">
        <v>15</v>
      </c>
      <c r="J540">
        <f>vlookup("906-352348-110",B:AZ,column(i1),0)*e540</f>
        <v>0</v>
      </c>
      <c r="K540">
        <f>vlookup("906-352348-110",B:AZ,column(j1),0)*e540</f>
        <v>0</v>
      </c>
      <c r="L540">
        <f>vlookup("906-352348-110",B:AZ,column(k1),0)*e540</f>
        <v>0</v>
      </c>
      <c r="M540">
        <f>vlookup("906-352348-110",B:AZ,column(l1),0)*e540</f>
        <v>0</v>
      </c>
      <c r="N540">
        <f>vlookup("906-352348-110",B:AZ,column(m1),0)*e540</f>
        <v>0</v>
      </c>
      <c r="O540">
        <f>vlookup("906-352348-110",B:AZ,column(n1),0)*e540</f>
        <v>0</v>
      </c>
      <c r="P540">
        <f>vlookup("906-352348-110",B:AZ,column(o1),0)*e540</f>
        <v>0</v>
      </c>
      <c r="Q540">
        <f>vlookup("906-352348-110",B:AZ,column(p1),0)*e540</f>
        <v>0</v>
      </c>
      <c r="R540">
        <f>vlookup("906-352348-110",B:AZ,column(q1),0)*e540</f>
        <v>0</v>
      </c>
      <c r="S540">
        <f>vlookup("906-352348-110",B:AZ,column(r1),0)*e540</f>
        <v>0</v>
      </c>
      <c r="T540">
        <f>vlookup("906-352348-110",B:AZ,column(s1),0)*e540</f>
        <v>0</v>
      </c>
      <c r="U540">
        <f>vlookup("906-352348-110",B:AZ,column(t1),0)*e540</f>
        <v>0</v>
      </c>
      <c r="V540">
        <f>vlookup("906-352348-110",B:AZ,column(u1),0)*e540</f>
        <v>0</v>
      </c>
      <c r="W540">
        <f>vlookup("906-352348-110",B:AZ,column(v1),0)*e540</f>
        <v>0</v>
      </c>
      <c r="X540">
        <f>vlookup("906-352348-110",B:AZ,column(w1),0)*e540</f>
        <v>0</v>
      </c>
      <c r="Y540">
        <f>vlookup("906-352348-110",B:AZ,column(x1),0)*e540</f>
        <v>0</v>
      </c>
      <c r="Z540">
        <f>vlookup("906-352348-110",B:AZ,column(y1),0)*e540</f>
        <v>0</v>
      </c>
      <c r="AA540">
        <f>vlookup("906-352348-110",B:AZ,column(z1),0)*e540</f>
        <v>0</v>
      </c>
      <c r="AB540">
        <f>vlookup("906-352348-110",B:AZ,column(aa1),0)*e540</f>
        <v>0</v>
      </c>
      <c r="AC540">
        <f>vlookup("906-352348-110",B:AZ,column(ab1),0)*e540</f>
        <v>0</v>
      </c>
      <c r="AD540">
        <f>vlookup("906-352348-110",B:AZ,column(ac1),0)*e540</f>
        <v>0</v>
      </c>
      <c r="AE540">
        <f>vlookup("906-352348-110",B:AZ,column(ad1),0)*e540</f>
        <v>0</v>
      </c>
      <c r="AF540">
        <f>vlookup("906-352348-110",B:AZ,column(ae1),0)*e540</f>
        <v>0</v>
      </c>
      <c r="AG540">
        <f>vlookup("906-352348-110",B:AZ,column(af1),0)*e540</f>
        <v>0</v>
      </c>
      <c r="AH540">
        <f>vlookup("906-352348-110",B:AZ,column(ag1),0)*e540</f>
        <v>0</v>
      </c>
      <c r="AI540">
        <f>vlookup("906-352348-110",B:AZ,column(ah1),0)*e540</f>
        <v>0</v>
      </c>
      <c r="AJ540">
        <f>vlookup("906-352348-110",B:AZ,column(ai1),0)*e540</f>
        <v>0</v>
      </c>
      <c r="AK540">
        <f>vlookup("906-352348-110",B:AZ,column(aj1),0)*e540</f>
        <v>0</v>
      </c>
      <c r="AL540">
        <f>vlookup("906-352348-110",B:AZ,column(ak1),0)*e540</f>
        <v>0</v>
      </c>
      <c r="AM540">
        <f>vlookup("906-352348-110",B:AZ,column(al1),0)*e540</f>
        <v>0</v>
      </c>
      <c r="AN540">
        <f>vlookup("906-352348-110",B:AZ,column(am1),0)*e540</f>
        <v>0</v>
      </c>
      <c r="AO540">
        <f>vlookup("906-352348-110",B:AZ,column(an1),0)*e540</f>
        <v>0</v>
      </c>
    </row>
    <row r="541" spans="1:41">
      <c r="A541" t="s">
        <v>22</v>
      </c>
      <c r="B541" t="s">
        <v>568</v>
      </c>
      <c r="C541" t="s">
        <v>569</v>
      </c>
      <c r="E541">
        <v>1</v>
      </c>
      <c r="F541" t="s">
        <v>13</v>
      </c>
      <c r="I541" t="s">
        <v>15</v>
      </c>
      <c r="J541">
        <f>vlookup("906-352348-110",B:AZ,column(i1),0)*e541</f>
        <v>0</v>
      </c>
      <c r="K541">
        <f>vlookup("906-352348-110",B:AZ,column(j1),0)*e541</f>
        <v>0</v>
      </c>
      <c r="L541">
        <f>vlookup("906-352348-110",B:AZ,column(k1),0)*e541</f>
        <v>0</v>
      </c>
      <c r="M541">
        <f>vlookup("906-352348-110",B:AZ,column(l1),0)*e541</f>
        <v>0</v>
      </c>
      <c r="N541">
        <f>vlookup("906-352348-110",B:AZ,column(m1),0)*e541</f>
        <v>0</v>
      </c>
      <c r="O541">
        <f>vlookup("906-352348-110",B:AZ,column(n1),0)*e541</f>
        <v>0</v>
      </c>
      <c r="P541">
        <f>vlookup("906-352348-110",B:AZ,column(o1),0)*e541</f>
        <v>0</v>
      </c>
      <c r="Q541">
        <f>vlookup("906-352348-110",B:AZ,column(p1),0)*e541</f>
        <v>0</v>
      </c>
      <c r="R541">
        <f>vlookup("906-352348-110",B:AZ,column(q1),0)*e541</f>
        <v>0</v>
      </c>
      <c r="S541">
        <f>vlookup("906-352348-110",B:AZ,column(r1),0)*e541</f>
        <v>0</v>
      </c>
      <c r="T541">
        <f>vlookup("906-352348-110",B:AZ,column(s1),0)*e541</f>
        <v>0</v>
      </c>
      <c r="U541">
        <f>vlookup("906-352348-110",B:AZ,column(t1),0)*e541</f>
        <v>0</v>
      </c>
      <c r="V541">
        <f>vlookup("906-352348-110",B:AZ,column(u1),0)*e541</f>
        <v>0</v>
      </c>
      <c r="W541">
        <f>vlookup("906-352348-110",B:AZ,column(v1),0)*e541</f>
        <v>0</v>
      </c>
      <c r="X541">
        <f>vlookup("906-352348-110",B:AZ,column(w1),0)*e541</f>
        <v>0</v>
      </c>
      <c r="Y541">
        <f>vlookup("906-352348-110",B:AZ,column(x1),0)*e541</f>
        <v>0</v>
      </c>
      <c r="Z541">
        <f>vlookup("906-352348-110",B:AZ,column(y1),0)*e541</f>
        <v>0</v>
      </c>
      <c r="AA541">
        <f>vlookup("906-352348-110",B:AZ,column(z1),0)*e541</f>
        <v>0</v>
      </c>
      <c r="AB541">
        <f>vlookup("906-352348-110",B:AZ,column(aa1),0)*e541</f>
        <v>0</v>
      </c>
      <c r="AC541">
        <f>vlookup("906-352348-110",B:AZ,column(ab1),0)*e541</f>
        <v>0</v>
      </c>
      <c r="AD541">
        <f>vlookup("906-352348-110",B:AZ,column(ac1),0)*e541</f>
        <v>0</v>
      </c>
      <c r="AE541">
        <f>vlookup("906-352348-110",B:AZ,column(ad1),0)*e541</f>
        <v>0</v>
      </c>
      <c r="AF541">
        <f>vlookup("906-352348-110",B:AZ,column(ae1),0)*e541</f>
        <v>0</v>
      </c>
      <c r="AG541">
        <f>vlookup("906-352348-110",B:AZ,column(af1),0)*e541</f>
        <v>0</v>
      </c>
      <c r="AH541">
        <f>vlookup("906-352348-110",B:AZ,column(ag1),0)*e541</f>
        <v>0</v>
      </c>
      <c r="AI541">
        <f>vlookup("906-352348-110",B:AZ,column(ah1),0)*e541</f>
        <v>0</v>
      </c>
      <c r="AJ541">
        <f>vlookup("906-352348-110",B:AZ,column(ai1),0)*e541</f>
        <v>0</v>
      </c>
      <c r="AK541">
        <f>vlookup("906-352348-110",B:AZ,column(aj1),0)*e541</f>
        <v>0</v>
      </c>
      <c r="AL541">
        <f>vlookup("906-352348-110",B:AZ,column(ak1),0)*e541</f>
        <v>0</v>
      </c>
      <c r="AM541">
        <f>vlookup("906-352348-110",B:AZ,column(al1),0)*e541</f>
        <v>0</v>
      </c>
      <c r="AN541">
        <f>vlookup("906-352348-110",B:AZ,column(am1),0)*e541</f>
        <v>0</v>
      </c>
      <c r="AO541">
        <f>vlookup("906-352348-110",B:AZ,column(an1),0)*e541</f>
        <v>0</v>
      </c>
    </row>
    <row r="542" spans="1:41">
      <c r="A542" t="s">
        <v>22</v>
      </c>
      <c r="B542" t="s">
        <v>570</v>
      </c>
      <c r="C542" t="s">
        <v>571</v>
      </c>
      <c r="E542">
        <v>2</v>
      </c>
      <c r="F542" t="s">
        <v>13</v>
      </c>
      <c r="I542" t="s">
        <v>15</v>
      </c>
      <c r="J542">
        <f>vlookup("906-352348-110",B:AZ,column(i1),0)*e542</f>
        <v>0</v>
      </c>
      <c r="K542">
        <f>vlookup("906-352348-110",B:AZ,column(j1),0)*e542</f>
        <v>0</v>
      </c>
      <c r="L542">
        <f>vlookup("906-352348-110",B:AZ,column(k1),0)*e542</f>
        <v>0</v>
      </c>
      <c r="M542">
        <f>vlookup("906-352348-110",B:AZ,column(l1),0)*e542</f>
        <v>0</v>
      </c>
      <c r="N542">
        <f>vlookup("906-352348-110",B:AZ,column(m1),0)*e542</f>
        <v>0</v>
      </c>
      <c r="O542">
        <f>vlookup("906-352348-110",B:AZ,column(n1),0)*e542</f>
        <v>0</v>
      </c>
      <c r="P542">
        <f>vlookup("906-352348-110",B:AZ,column(o1),0)*e542</f>
        <v>0</v>
      </c>
      <c r="Q542">
        <f>vlookup("906-352348-110",B:AZ,column(p1),0)*e542</f>
        <v>0</v>
      </c>
      <c r="R542">
        <f>vlookup("906-352348-110",B:AZ,column(q1),0)*e542</f>
        <v>0</v>
      </c>
      <c r="S542">
        <f>vlookup("906-352348-110",B:AZ,column(r1),0)*e542</f>
        <v>0</v>
      </c>
      <c r="T542">
        <f>vlookup("906-352348-110",B:AZ,column(s1),0)*e542</f>
        <v>0</v>
      </c>
      <c r="U542">
        <f>vlookup("906-352348-110",B:AZ,column(t1),0)*e542</f>
        <v>0</v>
      </c>
      <c r="V542">
        <f>vlookup("906-352348-110",B:AZ,column(u1),0)*e542</f>
        <v>0</v>
      </c>
      <c r="W542">
        <f>vlookup("906-352348-110",B:AZ,column(v1),0)*e542</f>
        <v>0</v>
      </c>
      <c r="X542">
        <f>vlookup("906-352348-110",B:AZ,column(w1),0)*e542</f>
        <v>0</v>
      </c>
      <c r="Y542">
        <f>vlookup("906-352348-110",B:AZ,column(x1),0)*e542</f>
        <v>0</v>
      </c>
      <c r="Z542">
        <f>vlookup("906-352348-110",B:AZ,column(y1),0)*e542</f>
        <v>0</v>
      </c>
      <c r="AA542">
        <f>vlookup("906-352348-110",B:AZ,column(z1),0)*e542</f>
        <v>0</v>
      </c>
      <c r="AB542">
        <f>vlookup("906-352348-110",B:AZ,column(aa1),0)*e542</f>
        <v>0</v>
      </c>
      <c r="AC542">
        <f>vlookup("906-352348-110",B:AZ,column(ab1),0)*e542</f>
        <v>0</v>
      </c>
      <c r="AD542">
        <f>vlookup("906-352348-110",B:AZ,column(ac1),0)*e542</f>
        <v>0</v>
      </c>
      <c r="AE542">
        <f>vlookup("906-352348-110",B:AZ,column(ad1),0)*e542</f>
        <v>0</v>
      </c>
      <c r="AF542">
        <f>vlookup("906-352348-110",B:AZ,column(ae1),0)*e542</f>
        <v>0</v>
      </c>
      <c r="AG542">
        <f>vlookup("906-352348-110",B:AZ,column(af1),0)*e542</f>
        <v>0</v>
      </c>
      <c r="AH542">
        <f>vlookup("906-352348-110",B:AZ,column(ag1),0)*e542</f>
        <v>0</v>
      </c>
      <c r="AI542">
        <f>vlookup("906-352348-110",B:AZ,column(ah1),0)*e542</f>
        <v>0</v>
      </c>
      <c r="AJ542">
        <f>vlookup("906-352348-110",B:AZ,column(ai1),0)*e542</f>
        <v>0</v>
      </c>
      <c r="AK542">
        <f>vlookup("906-352348-110",B:AZ,column(aj1),0)*e542</f>
        <v>0</v>
      </c>
      <c r="AL542">
        <f>vlookup("906-352348-110",B:AZ,column(ak1),0)*e542</f>
        <v>0</v>
      </c>
      <c r="AM542">
        <f>vlookup("906-352348-110",B:AZ,column(al1),0)*e542</f>
        <v>0</v>
      </c>
      <c r="AN542">
        <f>vlookup("906-352348-110",B:AZ,column(am1),0)*e542</f>
        <v>0</v>
      </c>
      <c r="AO542">
        <f>vlookup("906-352348-110",B:AZ,column(an1),0)*e542</f>
        <v>0</v>
      </c>
    </row>
    <row r="543" spans="1:41">
      <c r="A543" t="s">
        <v>22</v>
      </c>
      <c r="B543" t="s">
        <v>572</v>
      </c>
      <c r="C543" t="s">
        <v>573</v>
      </c>
      <c r="E543">
        <v>2</v>
      </c>
      <c r="F543" t="s">
        <v>13</v>
      </c>
      <c r="I543" t="s">
        <v>15</v>
      </c>
      <c r="J543">
        <f>vlookup("906-352348-110",B:AZ,column(i1),0)*e543</f>
        <v>0</v>
      </c>
      <c r="K543">
        <f>vlookup("906-352348-110",B:AZ,column(j1),0)*e543</f>
        <v>0</v>
      </c>
      <c r="L543">
        <f>vlookup("906-352348-110",B:AZ,column(k1),0)*e543</f>
        <v>0</v>
      </c>
      <c r="M543">
        <f>vlookup("906-352348-110",B:AZ,column(l1),0)*e543</f>
        <v>0</v>
      </c>
      <c r="N543">
        <f>vlookup("906-352348-110",B:AZ,column(m1),0)*e543</f>
        <v>0</v>
      </c>
      <c r="O543">
        <f>vlookup("906-352348-110",B:AZ,column(n1),0)*e543</f>
        <v>0</v>
      </c>
      <c r="P543">
        <f>vlookup("906-352348-110",B:AZ,column(o1),0)*e543</f>
        <v>0</v>
      </c>
      <c r="Q543">
        <f>vlookup("906-352348-110",B:AZ,column(p1),0)*e543</f>
        <v>0</v>
      </c>
      <c r="R543">
        <f>vlookup("906-352348-110",B:AZ,column(q1),0)*e543</f>
        <v>0</v>
      </c>
      <c r="S543">
        <f>vlookup("906-352348-110",B:AZ,column(r1),0)*e543</f>
        <v>0</v>
      </c>
      <c r="T543">
        <f>vlookup("906-352348-110",B:AZ,column(s1),0)*e543</f>
        <v>0</v>
      </c>
      <c r="U543">
        <f>vlookup("906-352348-110",B:AZ,column(t1),0)*e543</f>
        <v>0</v>
      </c>
      <c r="V543">
        <f>vlookup("906-352348-110",B:AZ,column(u1),0)*e543</f>
        <v>0</v>
      </c>
      <c r="W543">
        <f>vlookup("906-352348-110",B:AZ,column(v1),0)*e543</f>
        <v>0</v>
      </c>
      <c r="X543">
        <f>vlookup("906-352348-110",B:AZ,column(w1),0)*e543</f>
        <v>0</v>
      </c>
      <c r="Y543">
        <f>vlookup("906-352348-110",B:AZ,column(x1),0)*e543</f>
        <v>0</v>
      </c>
      <c r="Z543">
        <f>vlookup("906-352348-110",B:AZ,column(y1),0)*e543</f>
        <v>0</v>
      </c>
      <c r="AA543">
        <f>vlookup("906-352348-110",B:AZ,column(z1),0)*e543</f>
        <v>0</v>
      </c>
      <c r="AB543">
        <f>vlookup("906-352348-110",B:AZ,column(aa1),0)*e543</f>
        <v>0</v>
      </c>
      <c r="AC543">
        <f>vlookup("906-352348-110",B:AZ,column(ab1),0)*e543</f>
        <v>0</v>
      </c>
      <c r="AD543">
        <f>vlookup("906-352348-110",B:AZ,column(ac1),0)*e543</f>
        <v>0</v>
      </c>
      <c r="AE543">
        <f>vlookup("906-352348-110",B:AZ,column(ad1),0)*e543</f>
        <v>0</v>
      </c>
      <c r="AF543">
        <f>vlookup("906-352348-110",B:AZ,column(ae1),0)*e543</f>
        <v>0</v>
      </c>
      <c r="AG543">
        <f>vlookup("906-352348-110",B:AZ,column(af1),0)*e543</f>
        <v>0</v>
      </c>
      <c r="AH543">
        <f>vlookup("906-352348-110",B:AZ,column(ag1),0)*e543</f>
        <v>0</v>
      </c>
      <c r="AI543">
        <f>vlookup("906-352348-110",B:AZ,column(ah1),0)*e543</f>
        <v>0</v>
      </c>
      <c r="AJ543">
        <f>vlookup("906-352348-110",B:AZ,column(ai1),0)*e543</f>
        <v>0</v>
      </c>
      <c r="AK543">
        <f>vlookup("906-352348-110",B:AZ,column(aj1),0)*e543</f>
        <v>0</v>
      </c>
      <c r="AL543">
        <f>vlookup("906-352348-110",B:AZ,column(ak1),0)*e543</f>
        <v>0</v>
      </c>
      <c r="AM543">
        <f>vlookup("906-352348-110",B:AZ,column(al1),0)*e543</f>
        <v>0</v>
      </c>
      <c r="AN543">
        <f>vlookup("906-352348-110",B:AZ,column(am1),0)*e543</f>
        <v>0</v>
      </c>
      <c r="AO543">
        <f>vlookup("906-352348-110",B:AZ,column(an1),0)*e543</f>
        <v>0</v>
      </c>
    </row>
    <row r="544" spans="1:41">
      <c r="A544" t="s">
        <v>22</v>
      </c>
      <c r="B544" t="s">
        <v>574</v>
      </c>
      <c r="C544" t="s">
        <v>575</v>
      </c>
      <c r="E544">
        <v>2</v>
      </c>
      <c r="F544" t="s">
        <v>13</v>
      </c>
      <c r="I544" t="s">
        <v>15</v>
      </c>
      <c r="J544">
        <f>vlookup("906-352348-110",B:AZ,column(i1),0)*e544</f>
        <v>0</v>
      </c>
      <c r="K544">
        <f>vlookup("906-352348-110",B:AZ,column(j1),0)*e544</f>
        <v>0</v>
      </c>
      <c r="L544">
        <f>vlookup("906-352348-110",B:AZ,column(k1),0)*e544</f>
        <v>0</v>
      </c>
      <c r="M544">
        <f>vlookup("906-352348-110",B:AZ,column(l1),0)*e544</f>
        <v>0</v>
      </c>
      <c r="N544">
        <f>vlookup("906-352348-110",B:AZ,column(m1),0)*e544</f>
        <v>0</v>
      </c>
      <c r="O544">
        <f>vlookup("906-352348-110",B:AZ,column(n1),0)*e544</f>
        <v>0</v>
      </c>
      <c r="P544">
        <f>vlookup("906-352348-110",B:AZ,column(o1),0)*e544</f>
        <v>0</v>
      </c>
      <c r="Q544">
        <f>vlookup("906-352348-110",B:AZ,column(p1),0)*e544</f>
        <v>0</v>
      </c>
      <c r="R544">
        <f>vlookup("906-352348-110",B:AZ,column(q1),0)*e544</f>
        <v>0</v>
      </c>
      <c r="S544">
        <f>vlookup("906-352348-110",B:AZ,column(r1),0)*e544</f>
        <v>0</v>
      </c>
      <c r="T544">
        <f>vlookup("906-352348-110",B:AZ,column(s1),0)*e544</f>
        <v>0</v>
      </c>
      <c r="U544">
        <f>vlookup("906-352348-110",B:AZ,column(t1),0)*e544</f>
        <v>0</v>
      </c>
      <c r="V544">
        <f>vlookup("906-352348-110",B:AZ,column(u1),0)*e544</f>
        <v>0</v>
      </c>
      <c r="W544">
        <f>vlookup("906-352348-110",B:AZ,column(v1),0)*e544</f>
        <v>0</v>
      </c>
      <c r="X544">
        <f>vlookup("906-352348-110",B:AZ,column(w1),0)*e544</f>
        <v>0</v>
      </c>
      <c r="Y544">
        <f>vlookup("906-352348-110",B:AZ,column(x1),0)*e544</f>
        <v>0</v>
      </c>
      <c r="Z544">
        <f>vlookup("906-352348-110",B:AZ,column(y1),0)*e544</f>
        <v>0</v>
      </c>
      <c r="AA544">
        <f>vlookup("906-352348-110",B:AZ,column(z1),0)*e544</f>
        <v>0</v>
      </c>
      <c r="AB544">
        <f>vlookup("906-352348-110",B:AZ,column(aa1),0)*e544</f>
        <v>0</v>
      </c>
      <c r="AC544">
        <f>vlookup("906-352348-110",B:AZ,column(ab1),0)*e544</f>
        <v>0</v>
      </c>
      <c r="AD544">
        <f>vlookup("906-352348-110",B:AZ,column(ac1),0)*e544</f>
        <v>0</v>
      </c>
      <c r="AE544">
        <f>vlookup("906-352348-110",B:AZ,column(ad1),0)*e544</f>
        <v>0</v>
      </c>
      <c r="AF544">
        <f>vlookup("906-352348-110",B:AZ,column(ae1),0)*e544</f>
        <v>0</v>
      </c>
      <c r="AG544">
        <f>vlookup("906-352348-110",B:AZ,column(af1),0)*e544</f>
        <v>0</v>
      </c>
      <c r="AH544">
        <f>vlookup("906-352348-110",B:AZ,column(ag1),0)*e544</f>
        <v>0</v>
      </c>
      <c r="AI544">
        <f>vlookup("906-352348-110",B:AZ,column(ah1),0)*e544</f>
        <v>0</v>
      </c>
      <c r="AJ544">
        <f>vlookup("906-352348-110",B:AZ,column(ai1),0)*e544</f>
        <v>0</v>
      </c>
      <c r="AK544">
        <f>vlookup("906-352348-110",B:AZ,column(aj1),0)*e544</f>
        <v>0</v>
      </c>
      <c r="AL544">
        <f>vlookup("906-352348-110",B:AZ,column(ak1),0)*e544</f>
        <v>0</v>
      </c>
      <c r="AM544">
        <f>vlookup("906-352348-110",B:AZ,column(al1),0)*e544</f>
        <v>0</v>
      </c>
      <c r="AN544">
        <f>vlookup("906-352348-110",B:AZ,column(am1),0)*e544</f>
        <v>0</v>
      </c>
      <c r="AO544">
        <f>vlookup("906-352348-110",B:AZ,column(an1),0)*e544</f>
        <v>0</v>
      </c>
    </row>
    <row r="545" spans="1:41">
      <c r="A545" t="s">
        <v>10</v>
      </c>
      <c r="B545" t="s">
        <v>576</v>
      </c>
      <c r="C545" t="s">
        <v>563</v>
      </c>
      <c r="E545">
        <v>1</v>
      </c>
      <c r="F545" t="s">
        <v>13</v>
      </c>
      <c r="I545" t="s">
        <v>14</v>
      </c>
      <c r="AO545">
        <f>sum(j545:an545)</f>
        <v>0</v>
      </c>
    </row>
    <row r="546" spans="1:41">
      <c r="I546" t="s">
        <v>15</v>
      </c>
      <c r="J546">
        <f>vlookup("906-353348-210",Out!B:AZ,column(i1),0)</f>
        <v>0</v>
      </c>
      <c r="K546">
        <f>vlookup("906-353348-210",Out!B:AZ,column(j1),0)</f>
        <v>0</v>
      </c>
      <c r="L546">
        <f>vlookup("906-353348-210",Out!B:AZ,column(k1),0)</f>
        <v>0</v>
      </c>
      <c r="M546">
        <f>vlookup("906-353348-210",Out!B:AZ,column(l1),0)</f>
        <v>0</v>
      </c>
      <c r="N546">
        <f>vlookup("906-353348-210",Out!B:AZ,column(m1),0)</f>
        <v>0</v>
      </c>
      <c r="O546">
        <f>vlookup("906-353348-210",Out!B:AZ,column(n1),0)</f>
        <v>0</v>
      </c>
      <c r="P546">
        <f>vlookup("906-353348-210",Out!B:AZ,column(o1),0)</f>
        <v>0</v>
      </c>
      <c r="Q546">
        <f>vlookup("906-353348-210",Out!B:AZ,column(p1),0)</f>
        <v>0</v>
      </c>
      <c r="R546">
        <f>vlookup("906-353348-210",Out!B:AZ,column(q1),0)</f>
        <v>0</v>
      </c>
      <c r="S546">
        <f>vlookup("906-353348-210",Out!B:AZ,column(r1),0)</f>
        <v>0</v>
      </c>
      <c r="T546">
        <f>vlookup("906-353348-210",Out!B:AZ,column(s1),0)</f>
        <v>0</v>
      </c>
      <c r="U546">
        <f>vlookup("906-353348-210",Out!B:AZ,column(t1),0)</f>
        <v>0</v>
      </c>
      <c r="V546">
        <f>vlookup("906-353348-210",Out!B:AZ,column(u1),0)</f>
        <v>0</v>
      </c>
      <c r="W546">
        <f>vlookup("906-353348-210",Out!B:AZ,column(v1),0)</f>
        <v>0</v>
      </c>
      <c r="X546">
        <f>vlookup("906-353348-210",Out!B:AZ,column(w1),0)</f>
        <v>0</v>
      </c>
      <c r="Y546">
        <f>vlookup("906-353348-210",Out!B:AZ,column(x1),0)</f>
        <v>0</v>
      </c>
      <c r="Z546">
        <f>vlookup("906-353348-210",Out!B:AZ,column(y1),0)</f>
        <v>0</v>
      </c>
      <c r="AA546">
        <f>vlookup("906-353348-210",Out!B:AZ,column(z1),0)</f>
        <v>0</v>
      </c>
      <c r="AB546">
        <f>vlookup("906-353348-210",Out!B:AZ,column(aa1),0)</f>
        <v>0</v>
      </c>
      <c r="AC546">
        <f>vlookup("906-353348-210",Out!B:AZ,column(ab1),0)</f>
        <v>0</v>
      </c>
      <c r="AD546">
        <f>vlookup("906-353348-210",Out!B:AZ,column(ac1),0)</f>
        <v>0</v>
      </c>
      <c r="AE546">
        <f>vlookup("906-353348-210",Out!B:AZ,column(ad1),0)</f>
        <v>0</v>
      </c>
      <c r="AF546">
        <f>vlookup("906-353348-210",Out!B:AZ,column(ae1),0)</f>
        <v>0</v>
      </c>
      <c r="AG546">
        <f>vlookup("906-353348-210",Out!B:AZ,column(af1),0)</f>
        <v>0</v>
      </c>
      <c r="AH546">
        <f>vlookup("906-353348-210",Out!B:AZ,column(ag1),0)</f>
        <v>0</v>
      </c>
      <c r="AI546">
        <f>vlookup("906-353348-210",Out!B:AZ,column(ah1),0)</f>
        <v>0</v>
      </c>
      <c r="AJ546">
        <f>vlookup("906-353348-210",Out!B:AZ,column(ai1),0)</f>
        <v>0</v>
      </c>
      <c r="AK546">
        <f>vlookup("906-353348-210",Out!B:AZ,column(aj1),0)</f>
        <v>0</v>
      </c>
      <c r="AL546">
        <f>vlookup("906-353348-210",Out!B:AZ,column(ak1),0)</f>
        <v>0</v>
      </c>
      <c r="AM546">
        <f>vlookup("906-353348-210",Out!B:AZ,column(al1),0)</f>
        <v>0</v>
      </c>
      <c r="AN546">
        <f>vlookup("906-353348-210",Out!B:AZ,column(am1),0)</f>
        <v>0</v>
      </c>
      <c r="AO546">
        <f>vlookup("906-353348-210",Out!B:AZ,column(an1),0)</f>
        <v>0</v>
      </c>
    </row>
    <row r="547" spans="1:41">
      <c r="H547" t="s">
        <v>16</v>
      </c>
      <c r="J547">
        <f>indirect(address(547,9))+indirect(address(545,10))-indirect(address(546,10))</f>
        <v>0</v>
      </c>
      <c r="K547">
        <f>indirect(address(547,10))+indirect(address(545,11))-indirect(address(546,11))</f>
        <v>0</v>
      </c>
      <c r="L547">
        <f>indirect(address(547,11))+indirect(address(545,12))-indirect(address(546,12))</f>
        <v>0</v>
      </c>
      <c r="M547">
        <f>indirect(address(547,12))+indirect(address(545,13))-indirect(address(546,13))</f>
        <v>0</v>
      </c>
      <c r="N547">
        <f>indirect(address(547,13))+indirect(address(545,14))-indirect(address(546,14))</f>
        <v>0</v>
      </c>
      <c r="O547">
        <f>indirect(address(547,14))+indirect(address(545,15))-indirect(address(546,15))</f>
        <v>0</v>
      </c>
      <c r="P547">
        <f>indirect(address(547,15))+indirect(address(545,16))-indirect(address(546,16))</f>
        <v>0</v>
      </c>
      <c r="Q547">
        <f>indirect(address(547,16))+indirect(address(545,17))-indirect(address(546,17))</f>
        <v>0</v>
      </c>
      <c r="R547">
        <f>indirect(address(547,17))+indirect(address(545,18))-indirect(address(546,18))</f>
        <v>0</v>
      </c>
      <c r="S547">
        <f>indirect(address(547,18))+indirect(address(545,19))-indirect(address(546,19))</f>
        <v>0</v>
      </c>
      <c r="T547">
        <f>indirect(address(547,19))+indirect(address(545,20))-indirect(address(546,20))</f>
        <v>0</v>
      </c>
      <c r="U547">
        <f>indirect(address(547,20))+indirect(address(545,21))-indirect(address(546,21))</f>
        <v>0</v>
      </c>
      <c r="V547">
        <f>indirect(address(547,21))+indirect(address(545,22))-indirect(address(546,22))</f>
        <v>0</v>
      </c>
      <c r="W547">
        <f>indirect(address(547,22))+indirect(address(545,23))-indirect(address(546,23))</f>
        <v>0</v>
      </c>
      <c r="X547">
        <f>indirect(address(547,23))+indirect(address(545,24))-indirect(address(546,24))</f>
        <v>0</v>
      </c>
      <c r="Y547">
        <f>indirect(address(547,24))+indirect(address(545,25))-indirect(address(546,25))</f>
        <v>0</v>
      </c>
      <c r="Z547">
        <f>indirect(address(547,25))+indirect(address(545,26))-indirect(address(546,26))</f>
        <v>0</v>
      </c>
      <c r="AA547">
        <f>indirect(address(547,26))+indirect(address(545,27))-indirect(address(546,27))</f>
        <v>0</v>
      </c>
      <c r="AB547">
        <f>indirect(address(547,27))+indirect(address(545,28))-indirect(address(546,28))</f>
        <v>0</v>
      </c>
      <c r="AC547">
        <f>indirect(address(547,28))+indirect(address(545,29))-indirect(address(546,29))</f>
        <v>0</v>
      </c>
      <c r="AD547">
        <f>indirect(address(547,29))+indirect(address(545,30))-indirect(address(546,30))</f>
        <v>0</v>
      </c>
      <c r="AE547">
        <f>indirect(address(547,30))+indirect(address(545,31))-indirect(address(546,31))</f>
        <v>0</v>
      </c>
      <c r="AF547">
        <f>indirect(address(547,31))+indirect(address(545,32))-indirect(address(546,32))</f>
        <v>0</v>
      </c>
      <c r="AG547">
        <f>indirect(address(547,32))+indirect(address(545,33))-indirect(address(546,33))</f>
        <v>0</v>
      </c>
      <c r="AH547">
        <f>indirect(address(547,33))+indirect(address(545,34))-indirect(address(546,34))</f>
        <v>0</v>
      </c>
      <c r="AI547">
        <f>indirect(address(547,34))+indirect(address(545,35))-indirect(address(546,35))</f>
        <v>0</v>
      </c>
      <c r="AJ547">
        <f>indirect(address(547,35))+indirect(address(545,36))-indirect(address(546,36))</f>
        <v>0</v>
      </c>
      <c r="AK547">
        <f>indirect(address(547,36))+indirect(address(545,37))-indirect(address(546,37))</f>
        <v>0</v>
      </c>
      <c r="AL547">
        <f>indirect(address(547,37))+indirect(address(545,38))-indirect(address(546,38))</f>
        <v>0</v>
      </c>
      <c r="AM547">
        <f>indirect(address(547,38))+indirect(address(545,39))-indirect(address(546,39))</f>
        <v>0</v>
      </c>
      <c r="AN547">
        <f>indirect(address(547,39))+indirect(address(545,40))-indirect(address(546,40))</f>
        <v>0</v>
      </c>
      <c r="AO547">
        <f>indirect(address(547,40))</f>
        <v>0</v>
      </c>
    </row>
    <row r="548" spans="1:41">
      <c r="A548" t="s">
        <v>17</v>
      </c>
      <c r="B548" t="s">
        <v>577</v>
      </c>
      <c r="C548" t="s">
        <v>565</v>
      </c>
      <c r="E548">
        <v>1</v>
      </c>
      <c r="F548" t="s">
        <v>13</v>
      </c>
      <c r="I548" t="s">
        <v>15</v>
      </c>
      <c r="J548">
        <f>vlookup("906-353348-210",B:AZ,column(i1),0)*e548</f>
        <v>0</v>
      </c>
      <c r="K548">
        <f>vlookup("906-353348-210",B:AZ,column(j1),0)*e548</f>
        <v>0</v>
      </c>
      <c r="L548">
        <f>vlookup("906-353348-210",B:AZ,column(k1),0)*e548</f>
        <v>0</v>
      </c>
      <c r="M548">
        <f>vlookup("906-353348-210",B:AZ,column(l1),0)*e548</f>
        <v>0</v>
      </c>
      <c r="N548">
        <f>vlookup("906-353348-210",B:AZ,column(m1),0)*e548</f>
        <v>0</v>
      </c>
      <c r="O548">
        <f>vlookup("906-353348-210",B:AZ,column(n1),0)*e548</f>
        <v>0</v>
      </c>
      <c r="P548">
        <f>vlookup("906-353348-210",B:AZ,column(o1),0)*e548</f>
        <v>0</v>
      </c>
      <c r="Q548">
        <f>vlookup("906-353348-210",B:AZ,column(p1),0)*e548</f>
        <v>0</v>
      </c>
      <c r="R548">
        <f>vlookup("906-353348-210",B:AZ,column(q1),0)*e548</f>
        <v>0</v>
      </c>
      <c r="S548">
        <f>vlookup("906-353348-210",B:AZ,column(r1),0)*e548</f>
        <v>0</v>
      </c>
      <c r="T548">
        <f>vlookup("906-353348-210",B:AZ,column(s1),0)*e548</f>
        <v>0</v>
      </c>
      <c r="U548">
        <f>vlookup("906-353348-210",B:AZ,column(t1),0)*e548</f>
        <v>0</v>
      </c>
      <c r="V548">
        <f>vlookup("906-353348-210",B:AZ,column(u1),0)*e548</f>
        <v>0</v>
      </c>
      <c r="W548">
        <f>vlookup("906-353348-210",B:AZ,column(v1),0)*e548</f>
        <v>0</v>
      </c>
      <c r="X548">
        <f>vlookup("906-353348-210",B:AZ,column(w1),0)*e548</f>
        <v>0</v>
      </c>
      <c r="Y548">
        <f>vlookup("906-353348-210",B:AZ,column(x1),0)*e548</f>
        <v>0</v>
      </c>
      <c r="Z548">
        <f>vlookup("906-353348-210",B:AZ,column(y1),0)*e548</f>
        <v>0</v>
      </c>
      <c r="AA548">
        <f>vlookup("906-353348-210",B:AZ,column(z1),0)*e548</f>
        <v>0</v>
      </c>
      <c r="AB548">
        <f>vlookup("906-353348-210",B:AZ,column(aa1),0)*e548</f>
        <v>0</v>
      </c>
      <c r="AC548">
        <f>vlookup("906-353348-210",B:AZ,column(ab1),0)*e548</f>
        <v>0</v>
      </c>
      <c r="AD548">
        <f>vlookup("906-353348-210",B:AZ,column(ac1),0)*e548</f>
        <v>0</v>
      </c>
      <c r="AE548">
        <f>vlookup("906-353348-210",B:AZ,column(ad1),0)*e548</f>
        <v>0</v>
      </c>
      <c r="AF548">
        <f>vlookup("906-353348-210",B:AZ,column(ae1),0)*e548</f>
        <v>0</v>
      </c>
      <c r="AG548">
        <f>vlookup("906-353348-210",B:AZ,column(af1),0)*e548</f>
        <v>0</v>
      </c>
      <c r="AH548">
        <f>vlookup("906-353348-210",B:AZ,column(ag1),0)*e548</f>
        <v>0</v>
      </c>
      <c r="AI548">
        <f>vlookup("906-353348-210",B:AZ,column(ah1),0)*e548</f>
        <v>0</v>
      </c>
      <c r="AJ548">
        <f>vlookup("906-353348-210",B:AZ,column(ai1),0)*e548</f>
        <v>0</v>
      </c>
      <c r="AK548">
        <f>vlookup("906-353348-210",B:AZ,column(aj1),0)*e548</f>
        <v>0</v>
      </c>
      <c r="AL548">
        <f>vlookup("906-353348-210",B:AZ,column(ak1),0)*e548</f>
        <v>0</v>
      </c>
      <c r="AM548">
        <f>vlookup("906-353348-210",B:AZ,column(al1),0)*e548</f>
        <v>0</v>
      </c>
      <c r="AN548">
        <f>vlookup("906-353348-210",B:AZ,column(am1),0)*e548</f>
        <v>0</v>
      </c>
      <c r="AO548">
        <f>vlookup("906-353348-210",B:AZ,column(an1),0)*e548</f>
        <v>0</v>
      </c>
    </row>
    <row r="549" spans="1:41">
      <c r="A549" t="s">
        <v>22</v>
      </c>
      <c r="B549" t="s">
        <v>570</v>
      </c>
      <c r="C549" t="s">
        <v>571</v>
      </c>
      <c r="E549">
        <v>2</v>
      </c>
      <c r="F549" t="s">
        <v>13</v>
      </c>
      <c r="I549" t="s">
        <v>15</v>
      </c>
      <c r="J549">
        <f>vlookup("906-353348-210",B:AZ,column(i1),0)*e549</f>
        <v>0</v>
      </c>
      <c r="K549">
        <f>vlookup("906-353348-210",B:AZ,column(j1),0)*e549</f>
        <v>0</v>
      </c>
      <c r="L549">
        <f>vlookup("906-353348-210",B:AZ,column(k1),0)*e549</f>
        <v>0</v>
      </c>
      <c r="M549">
        <f>vlookup("906-353348-210",B:AZ,column(l1),0)*e549</f>
        <v>0</v>
      </c>
      <c r="N549">
        <f>vlookup("906-353348-210",B:AZ,column(m1),0)*e549</f>
        <v>0</v>
      </c>
      <c r="O549">
        <f>vlookup("906-353348-210",B:AZ,column(n1),0)*e549</f>
        <v>0</v>
      </c>
      <c r="P549">
        <f>vlookup("906-353348-210",B:AZ,column(o1),0)*e549</f>
        <v>0</v>
      </c>
      <c r="Q549">
        <f>vlookup("906-353348-210",B:AZ,column(p1),0)*e549</f>
        <v>0</v>
      </c>
      <c r="R549">
        <f>vlookup("906-353348-210",B:AZ,column(q1),0)*e549</f>
        <v>0</v>
      </c>
      <c r="S549">
        <f>vlookup("906-353348-210",B:AZ,column(r1),0)*e549</f>
        <v>0</v>
      </c>
      <c r="T549">
        <f>vlookup("906-353348-210",B:AZ,column(s1),0)*e549</f>
        <v>0</v>
      </c>
      <c r="U549">
        <f>vlookup("906-353348-210",B:AZ,column(t1),0)*e549</f>
        <v>0</v>
      </c>
      <c r="V549">
        <f>vlookup("906-353348-210",B:AZ,column(u1),0)*e549</f>
        <v>0</v>
      </c>
      <c r="W549">
        <f>vlookup("906-353348-210",B:AZ,column(v1),0)*e549</f>
        <v>0</v>
      </c>
      <c r="X549">
        <f>vlookup("906-353348-210",B:AZ,column(w1),0)*e549</f>
        <v>0</v>
      </c>
      <c r="Y549">
        <f>vlookup("906-353348-210",B:AZ,column(x1),0)*e549</f>
        <v>0</v>
      </c>
      <c r="Z549">
        <f>vlookup("906-353348-210",B:AZ,column(y1),0)*e549</f>
        <v>0</v>
      </c>
      <c r="AA549">
        <f>vlookup("906-353348-210",B:AZ,column(z1),0)*e549</f>
        <v>0</v>
      </c>
      <c r="AB549">
        <f>vlookup("906-353348-210",B:AZ,column(aa1),0)*e549</f>
        <v>0</v>
      </c>
      <c r="AC549">
        <f>vlookup("906-353348-210",B:AZ,column(ab1),0)*e549</f>
        <v>0</v>
      </c>
      <c r="AD549">
        <f>vlookup("906-353348-210",B:AZ,column(ac1),0)*e549</f>
        <v>0</v>
      </c>
      <c r="AE549">
        <f>vlookup("906-353348-210",B:AZ,column(ad1),0)*e549</f>
        <v>0</v>
      </c>
      <c r="AF549">
        <f>vlookup("906-353348-210",B:AZ,column(ae1),0)*e549</f>
        <v>0</v>
      </c>
      <c r="AG549">
        <f>vlookup("906-353348-210",B:AZ,column(af1),0)*e549</f>
        <v>0</v>
      </c>
      <c r="AH549">
        <f>vlookup("906-353348-210",B:AZ,column(ag1),0)*e549</f>
        <v>0</v>
      </c>
      <c r="AI549">
        <f>vlookup("906-353348-210",B:AZ,column(ah1),0)*e549</f>
        <v>0</v>
      </c>
      <c r="AJ549">
        <f>vlookup("906-353348-210",B:AZ,column(ai1),0)*e549</f>
        <v>0</v>
      </c>
      <c r="AK549">
        <f>vlookup("906-353348-210",B:AZ,column(aj1),0)*e549</f>
        <v>0</v>
      </c>
      <c r="AL549">
        <f>vlookup("906-353348-210",B:AZ,column(ak1),0)*e549</f>
        <v>0</v>
      </c>
      <c r="AM549">
        <f>vlookup("906-353348-210",B:AZ,column(al1),0)*e549</f>
        <v>0</v>
      </c>
      <c r="AN549">
        <f>vlookup("906-353348-210",B:AZ,column(am1),0)*e549</f>
        <v>0</v>
      </c>
      <c r="AO549">
        <f>vlookup("906-353348-210",B:AZ,column(an1),0)*e549</f>
        <v>0</v>
      </c>
    </row>
    <row r="550" spans="1:41">
      <c r="A550" t="s">
        <v>22</v>
      </c>
      <c r="B550" t="s">
        <v>578</v>
      </c>
      <c r="C550" t="s">
        <v>579</v>
      </c>
      <c r="E550">
        <v>2</v>
      </c>
      <c r="F550" t="s">
        <v>13</v>
      </c>
      <c r="I550" t="s">
        <v>15</v>
      </c>
      <c r="J550">
        <f>vlookup("906-353348-210",B:AZ,column(i1),0)*e550</f>
        <v>0</v>
      </c>
      <c r="K550">
        <f>vlookup("906-353348-210",B:AZ,column(j1),0)*e550</f>
        <v>0</v>
      </c>
      <c r="L550">
        <f>vlookup("906-353348-210",B:AZ,column(k1),0)*e550</f>
        <v>0</v>
      </c>
      <c r="M550">
        <f>vlookup("906-353348-210",B:AZ,column(l1),0)*e550</f>
        <v>0</v>
      </c>
      <c r="N550">
        <f>vlookup("906-353348-210",B:AZ,column(m1),0)*e550</f>
        <v>0</v>
      </c>
      <c r="O550">
        <f>vlookup("906-353348-210",B:AZ,column(n1),0)*e550</f>
        <v>0</v>
      </c>
      <c r="P550">
        <f>vlookup("906-353348-210",B:AZ,column(o1),0)*e550</f>
        <v>0</v>
      </c>
      <c r="Q550">
        <f>vlookup("906-353348-210",B:AZ,column(p1),0)*e550</f>
        <v>0</v>
      </c>
      <c r="R550">
        <f>vlookup("906-353348-210",B:AZ,column(q1),0)*e550</f>
        <v>0</v>
      </c>
      <c r="S550">
        <f>vlookup("906-353348-210",B:AZ,column(r1),0)*e550</f>
        <v>0</v>
      </c>
      <c r="T550">
        <f>vlookup("906-353348-210",B:AZ,column(s1),0)*e550</f>
        <v>0</v>
      </c>
      <c r="U550">
        <f>vlookup("906-353348-210",B:AZ,column(t1),0)*e550</f>
        <v>0</v>
      </c>
      <c r="V550">
        <f>vlookup("906-353348-210",B:AZ,column(u1),0)*e550</f>
        <v>0</v>
      </c>
      <c r="W550">
        <f>vlookup("906-353348-210",B:AZ,column(v1),0)*e550</f>
        <v>0</v>
      </c>
      <c r="X550">
        <f>vlookup("906-353348-210",B:AZ,column(w1),0)*e550</f>
        <v>0</v>
      </c>
      <c r="Y550">
        <f>vlookup("906-353348-210",B:AZ,column(x1),0)*e550</f>
        <v>0</v>
      </c>
      <c r="Z550">
        <f>vlookup("906-353348-210",B:AZ,column(y1),0)*e550</f>
        <v>0</v>
      </c>
      <c r="AA550">
        <f>vlookup("906-353348-210",B:AZ,column(z1),0)*e550</f>
        <v>0</v>
      </c>
      <c r="AB550">
        <f>vlookup("906-353348-210",B:AZ,column(aa1),0)*e550</f>
        <v>0</v>
      </c>
      <c r="AC550">
        <f>vlookup("906-353348-210",B:AZ,column(ab1),0)*e550</f>
        <v>0</v>
      </c>
      <c r="AD550">
        <f>vlookup("906-353348-210",B:AZ,column(ac1),0)*e550</f>
        <v>0</v>
      </c>
      <c r="AE550">
        <f>vlookup("906-353348-210",B:AZ,column(ad1),0)*e550</f>
        <v>0</v>
      </c>
      <c r="AF550">
        <f>vlookup("906-353348-210",B:AZ,column(ae1),0)*e550</f>
        <v>0</v>
      </c>
      <c r="AG550">
        <f>vlookup("906-353348-210",B:AZ,column(af1),0)*e550</f>
        <v>0</v>
      </c>
      <c r="AH550">
        <f>vlookup("906-353348-210",B:AZ,column(ag1),0)*e550</f>
        <v>0</v>
      </c>
      <c r="AI550">
        <f>vlookup("906-353348-210",B:AZ,column(ah1),0)*e550</f>
        <v>0</v>
      </c>
      <c r="AJ550">
        <f>vlookup("906-353348-210",B:AZ,column(ai1),0)*e550</f>
        <v>0</v>
      </c>
      <c r="AK550">
        <f>vlookup("906-353348-210",B:AZ,column(aj1),0)*e550</f>
        <v>0</v>
      </c>
      <c r="AL550">
        <f>vlookup("906-353348-210",B:AZ,column(ak1),0)*e550</f>
        <v>0</v>
      </c>
      <c r="AM550">
        <f>vlookup("906-353348-210",B:AZ,column(al1),0)*e550</f>
        <v>0</v>
      </c>
      <c r="AN550">
        <f>vlookup("906-353348-210",B:AZ,column(am1),0)*e550</f>
        <v>0</v>
      </c>
      <c r="AO550">
        <f>vlookup("906-353348-210",B:AZ,column(an1),0)*e550</f>
        <v>0</v>
      </c>
    </row>
    <row r="551" spans="1:41">
      <c r="A551" t="s">
        <v>22</v>
      </c>
      <c r="B551" t="s">
        <v>568</v>
      </c>
      <c r="C551" t="s">
        <v>569</v>
      </c>
      <c r="E551">
        <v>1</v>
      </c>
      <c r="F551" t="s">
        <v>13</v>
      </c>
      <c r="I551" t="s">
        <v>15</v>
      </c>
      <c r="J551">
        <f>vlookup("906-353348-210",B:AZ,column(i1),0)*e551</f>
        <v>0</v>
      </c>
      <c r="K551">
        <f>vlookup("906-353348-210",B:AZ,column(j1),0)*e551</f>
        <v>0</v>
      </c>
      <c r="L551">
        <f>vlookup("906-353348-210",B:AZ,column(k1),0)*e551</f>
        <v>0</v>
      </c>
      <c r="M551">
        <f>vlookup("906-353348-210",B:AZ,column(l1),0)*e551</f>
        <v>0</v>
      </c>
      <c r="N551">
        <f>vlookup("906-353348-210",B:AZ,column(m1),0)*e551</f>
        <v>0</v>
      </c>
      <c r="O551">
        <f>vlookup("906-353348-210",B:AZ,column(n1),0)*e551</f>
        <v>0</v>
      </c>
      <c r="P551">
        <f>vlookup("906-353348-210",B:AZ,column(o1),0)*e551</f>
        <v>0</v>
      </c>
      <c r="Q551">
        <f>vlookup("906-353348-210",B:AZ,column(p1),0)*e551</f>
        <v>0</v>
      </c>
      <c r="R551">
        <f>vlookup("906-353348-210",B:AZ,column(q1),0)*e551</f>
        <v>0</v>
      </c>
      <c r="S551">
        <f>vlookup("906-353348-210",B:AZ,column(r1),0)*e551</f>
        <v>0</v>
      </c>
      <c r="T551">
        <f>vlookup("906-353348-210",B:AZ,column(s1),0)*e551</f>
        <v>0</v>
      </c>
      <c r="U551">
        <f>vlookup("906-353348-210",B:AZ,column(t1),0)*e551</f>
        <v>0</v>
      </c>
      <c r="V551">
        <f>vlookup("906-353348-210",B:AZ,column(u1),0)*e551</f>
        <v>0</v>
      </c>
      <c r="W551">
        <f>vlookup("906-353348-210",B:AZ,column(v1),0)*e551</f>
        <v>0</v>
      </c>
      <c r="X551">
        <f>vlookup("906-353348-210",B:AZ,column(w1),0)*e551</f>
        <v>0</v>
      </c>
      <c r="Y551">
        <f>vlookup("906-353348-210",B:AZ,column(x1),0)*e551</f>
        <v>0</v>
      </c>
      <c r="Z551">
        <f>vlookup("906-353348-210",B:AZ,column(y1),0)*e551</f>
        <v>0</v>
      </c>
      <c r="AA551">
        <f>vlookup("906-353348-210",B:AZ,column(z1),0)*e551</f>
        <v>0</v>
      </c>
      <c r="AB551">
        <f>vlookup("906-353348-210",B:AZ,column(aa1),0)*e551</f>
        <v>0</v>
      </c>
      <c r="AC551">
        <f>vlookup("906-353348-210",B:AZ,column(ab1),0)*e551</f>
        <v>0</v>
      </c>
      <c r="AD551">
        <f>vlookup("906-353348-210",B:AZ,column(ac1),0)*e551</f>
        <v>0</v>
      </c>
      <c r="AE551">
        <f>vlookup("906-353348-210",B:AZ,column(ad1),0)*e551</f>
        <v>0</v>
      </c>
      <c r="AF551">
        <f>vlookup("906-353348-210",B:AZ,column(ae1),0)*e551</f>
        <v>0</v>
      </c>
      <c r="AG551">
        <f>vlookup("906-353348-210",B:AZ,column(af1),0)*e551</f>
        <v>0</v>
      </c>
      <c r="AH551">
        <f>vlookup("906-353348-210",B:AZ,column(ag1),0)*e551</f>
        <v>0</v>
      </c>
      <c r="AI551">
        <f>vlookup("906-353348-210",B:AZ,column(ah1),0)*e551</f>
        <v>0</v>
      </c>
      <c r="AJ551">
        <f>vlookup("906-353348-210",B:AZ,column(ai1),0)*e551</f>
        <v>0</v>
      </c>
      <c r="AK551">
        <f>vlookup("906-353348-210",B:AZ,column(aj1),0)*e551</f>
        <v>0</v>
      </c>
      <c r="AL551">
        <f>vlookup("906-353348-210",B:AZ,column(ak1),0)*e551</f>
        <v>0</v>
      </c>
      <c r="AM551">
        <f>vlookup("906-353348-210",B:AZ,column(al1),0)*e551</f>
        <v>0</v>
      </c>
      <c r="AN551">
        <f>vlookup("906-353348-210",B:AZ,column(am1),0)*e551</f>
        <v>0</v>
      </c>
      <c r="AO551">
        <f>vlookup("906-353348-210",B:AZ,column(an1),0)*e551</f>
        <v>0</v>
      </c>
    </row>
    <row r="552" spans="1:41">
      <c r="A552" t="s">
        <v>22</v>
      </c>
      <c r="B552" t="s">
        <v>570</v>
      </c>
      <c r="C552" t="s">
        <v>571</v>
      </c>
      <c r="E552">
        <v>2</v>
      </c>
      <c r="F552" t="s">
        <v>13</v>
      </c>
      <c r="I552" t="s">
        <v>15</v>
      </c>
      <c r="J552">
        <f>vlookup("906-353348-210",B:AZ,column(i1),0)*e552</f>
        <v>0</v>
      </c>
      <c r="K552">
        <f>vlookup("906-353348-210",B:AZ,column(j1),0)*e552</f>
        <v>0</v>
      </c>
      <c r="L552">
        <f>vlookup("906-353348-210",B:AZ,column(k1),0)*e552</f>
        <v>0</v>
      </c>
      <c r="M552">
        <f>vlookup("906-353348-210",B:AZ,column(l1),0)*e552</f>
        <v>0</v>
      </c>
      <c r="N552">
        <f>vlookup("906-353348-210",B:AZ,column(m1),0)*e552</f>
        <v>0</v>
      </c>
      <c r="O552">
        <f>vlookup("906-353348-210",B:AZ,column(n1),0)*e552</f>
        <v>0</v>
      </c>
      <c r="P552">
        <f>vlookup("906-353348-210",B:AZ,column(o1),0)*e552</f>
        <v>0</v>
      </c>
      <c r="Q552">
        <f>vlookup("906-353348-210",B:AZ,column(p1),0)*e552</f>
        <v>0</v>
      </c>
      <c r="R552">
        <f>vlookup("906-353348-210",B:AZ,column(q1),0)*e552</f>
        <v>0</v>
      </c>
      <c r="S552">
        <f>vlookup("906-353348-210",B:AZ,column(r1),0)*e552</f>
        <v>0</v>
      </c>
      <c r="T552">
        <f>vlookup("906-353348-210",B:AZ,column(s1),0)*e552</f>
        <v>0</v>
      </c>
      <c r="U552">
        <f>vlookup("906-353348-210",B:AZ,column(t1),0)*e552</f>
        <v>0</v>
      </c>
      <c r="V552">
        <f>vlookup("906-353348-210",B:AZ,column(u1),0)*e552</f>
        <v>0</v>
      </c>
      <c r="W552">
        <f>vlookup("906-353348-210",B:AZ,column(v1),0)*e552</f>
        <v>0</v>
      </c>
      <c r="X552">
        <f>vlookup("906-353348-210",B:AZ,column(w1),0)*e552</f>
        <v>0</v>
      </c>
      <c r="Y552">
        <f>vlookup("906-353348-210",B:AZ,column(x1),0)*e552</f>
        <v>0</v>
      </c>
      <c r="Z552">
        <f>vlookup("906-353348-210",B:AZ,column(y1),0)*e552</f>
        <v>0</v>
      </c>
      <c r="AA552">
        <f>vlookup("906-353348-210",B:AZ,column(z1),0)*e552</f>
        <v>0</v>
      </c>
      <c r="AB552">
        <f>vlookup("906-353348-210",B:AZ,column(aa1),0)*e552</f>
        <v>0</v>
      </c>
      <c r="AC552">
        <f>vlookup("906-353348-210",B:AZ,column(ab1),0)*e552</f>
        <v>0</v>
      </c>
      <c r="AD552">
        <f>vlookup("906-353348-210",B:AZ,column(ac1),0)*e552</f>
        <v>0</v>
      </c>
      <c r="AE552">
        <f>vlookup("906-353348-210",B:AZ,column(ad1),0)*e552</f>
        <v>0</v>
      </c>
      <c r="AF552">
        <f>vlookup("906-353348-210",B:AZ,column(ae1),0)*e552</f>
        <v>0</v>
      </c>
      <c r="AG552">
        <f>vlookup("906-353348-210",B:AZ,column(af1),0)*e552</f>
        <v>0</v>
      </c>
      <c r="AH552">
        <f>vlookup("906-353348-210",B:AZ,column(ag1),0)*e552</f>
        <v>0</v>
      </c>
      <c r="AI552">
        <f>vlookup("906-353348-210",B:AZ,column(ah1),0)*e552</f>
        <v>0</v>
      </c>
      <c r="AJ552">
        <f>vlookup("906-353348-210",B:AZ,column(ai1),0)*e552</f>
        <v>0</v>
      </c>
      <c r="AK552">
        <f>vlookup("906-353348-210",B:AZ,column(aj1),0)*e552</f>
        <v>0</v>
      </c>
      <c r="AL552">
        <f>vlookup("906-353348-210",B:AZ,column(ak1),0)*e552</f>
        <v>0</v>
      </c>
      <c r="AM552">
        <f>vlookup("906-353348-210",B:AZ,column(al1),0)*e552</f>
        <v>0</v>
      </c>
      <c r="AN552">
        <f>vlookup("906-353348-210",B:AZ,column(am1),0)*e552</f>
        <v>0</v>
      </c>
      <c r="AO552">
        <f>vlookup("906-353348-210",B:AZ,column(an1),0)*e552</f>
        <v>0</v>
      </c>
    </row>
    <row r="553" spans="1:41">
      <c r="A553" t="s">
        <v>22</v>
      </c>
      <c r="B553" t="s">
        <v>574</v>
      </c>
      <c r="C553" t="s">
        <v>575</v>
      </c>
      <c r="E553">
        <v>2</v>
      </c>
      <c r="F553" t="s">
        <v>13</v>
      </c>
      <c r="I553" t="s">
        <v>15</v>
      </c>
      <c r="J553">
        <f>vlookup("906-353348-210",B:AZ,column(i1),0)*e553</f>
        <v>0</v>
      </c>
      <c r="K553">
        <f>vlookup("906-353348-210",B:AZ,column(j1),0)*e553</f>
        <v>0</v>
      </c>
      <c r="L553">
        <f>vlookup("906-353348-210",B:AZ,column(k1),0)*e553</f>
        <v>0</v>
      </c>
      <c r="M553">
        <f>vlookup("906-353348-210",B:AZ,column(l1),0)*e553</f>
        <v>0</v>
      </c>
      <c r="N553">
        <f>vlookup("906-353348-210",B:AZ,column(m1),0)*e553</f>
        <v>0</v>
      </c>
      <c r="O553">
        <f>vlookup("906-353348-210",B:AZ,column(n1),0)*e553</f>
        <v>0</v>
      </c>
      <c r="P553">
        <f>vlookup("906-353348-210",B:AZ,column(o1),0)*e553</f>
        <v>0</v>
      </c>
      <c r="Q553">
        <f>vlookup("906-353348-210",B:AZ,column(p1),0)*e553</f>
        <v>0</v>
      </c>
      <c r="R553">
        <f>vlookup("906-353348-210",B:AZ,column(q1),0)*e553</f>
        <v>0</v>
      </c>
      <c r="S553">
        <f>vlookup("906-353348-210",B:AZ,column(r1),0)*e553</f>
        <v>0</v>
      </c>
      <c r="T553">
        <f>vlookup("906-353348-210",B:AZ,column(s1),0)*e553</f>
        <v>0</v>
      </c>
      <c r="U553">
        <f>vlookup("906-353348-210",B:AZ,column(t1),0)*e553</f>
        <v>0</v>
      </c>
      <c r="V553">
        <f>vlookup("906-353348-210",B:AZ,column(u1),0)*e553</f>
        <v>0</v>
      </c>
      <c r="W553">
        <f>vlookup("906-353348-210",B:AZ,column(v1),0)*e553</f>
        <v>0</v>
      </c>
      <c r="X553">
        <f>vlookup("906-353348-210",B:AZ,column(w1),0)*e553</f>
        <v>0</v>
      </c>
      <c r="Y553">
        <f>vlookup("906-353348-210",B:AZ,column(x1),0)*e553</f>
        <v>0</v>
      </c>
      <c r="Z553">
        <f>vlookup("906-353348-210",B:AZ,column(y1),0)*e553</f>
        <v>0</v>
      </c>
      <c r="AA553">
        <f>vlookup("906-353348-210",B:AZ,column(z1),0)*e553</f>
        <v>0</v>
      </c>
      <c r="AB553">
        <f>vlookup("906-353348-210",B:AZ,column(aa1),0)*e553</f>
        <v>0</v>
      </c>
      <c r="AC553">
        <f>vlookup("906-353348-210",B:AZ,column(ab1),0)*e553</f>
        <v>0</v>
      </c>
      <c r="AD553">
        <f>vlookup("906-353348-210",B:AZ,column(ac1),0)*e553</f>
        <v>0</v>
      </c>
      <c r="AE553">
        <f>vlookup("906-353348-210",B:AZ,column(ad1),0)*e553</f>
        <v>0</v>
      </c>
      <c r="AF553">
        <f>vlookup("906-353348-210",B:AZ,column(ae1),0)*e553</f>
        <v>0</v>
      </c>
      <c r="AG553">
        <f>vlookup("906-353348-210",B:AZ,column(af1),0)*e553</f>
        <v>0</v>
      </c>
      <c r="AH553">
        <f>vlookup("906-353348-210",B:AZ,column(ag1),0)*e553</f>
        <v>0</v>
      </c>
      <c r="AI553">
        <f>vlookup("906-353348-210",B:AZ,column(ah1),0)*e553</f>
        <v>0</v>
      </c>
      <c r="AJ553">
        <f>vlookup("906-353348-210",B:AZ,column(ai1),0)*e553</f>
        <v>0</v>
      </c>
      <c r="AK553">
        <f>vlookup("906-353348-210",B:AZ,column(aj1),0)*e553</f>
        <v>0</v>
      </c>
      <c r="AL553">
        <f>vlookup("906-353348-210",B:AZ,column(ak1),0)*e553</f>
        <v>0</v>
      </c>
      <c r="AM553">
        <f>vlookup("906-353348-210",B:AZ,column(al1),0)*e553</f>
        <v>0</v>
      </c>
      <c r="AN553">
        <f>vlookup("906-353348-210",B:AZ,column(am1),0)*e553</f>
        <v>0</v>
      </c>
      <c r="AO553">
        <f>vlookup("906-353348-210",B:AZ,column(an1),0)*e553</f>
        <v>0</v>
      </c>
    </row>
    <row r="554" spans="1:41">
      <c r="A554" t="s">
        <v>78</v>
      </c>
      <c r="B554" t="s">
        <v>580</v>
      </c>
      <c r="C554" t="s">
        <v>581</v>
      </c>
      <c r="E554">
        <v>0.03</v>
      </c>
      <c r="F554" t="s">
        <v>13</v>
      </c>
      <c r="I554" t="s">
        <v>15</v>
      </c>
      <c r="J554">
        <f>vlookup("906-353348-210",B:AZ,column(i1),0)*e554</f>
        <v>0</v>
      </c>
      <c r="K554">
        <f>vlookup("906-353348-210",B:AZ,column(j1),0)*e554</f>
        <v>0</v>
      </c>
      <c r="L554">
        <f>vlookup("906-353348-210",B:AZ,column(k1),0)*e554</f>
        <v>0</v>
      </c>
      <c r="M554">
        <f>vlookup("906-353348-210",B:AZ,column(l1),0)*e554</f>
        <v>0</v>
      </c>
      <c r="N554">
        <f>vlookup("906-353348-210",B:AZ,column(m1),0)*e554</f>
        <v>0</v>
      </c>
      <c r="O554">
        <f>vlookup("906-353348-210",B:AZ,column(n1),0)*e554</f>
        <v>0</v>
      </c>
      <c r="P554">
        <f>vlookup("906-353348-210",B:AZ,column(o1),0)*e554</f>
        <v>0</v>
      </c>
      <c r="Q554">
        <f>vlookup("906-353348-210",B:AZ,column(p1),0)*e554</f>
        <v>0</v>
      </c>
      <c r="R554">
        <f>vlookup("906-353348-210",B:AZ,column(q1),0)*e554</f>
        <v>0</v>
      </c>
      <c r="S554">
        <f>vlookup("906-353348-210",B:AZ,column(r1),0)*e554</f>
        <v>0</v>
      </c>
      <c r="T554">
        <f>vlookup("906-353348-210",B:AZ,column(s1),0)*e554</f>
        <v>0</v>
      </c>
      <c r="U554">
        <f>vlookup("906-353348-210",B:AZ,column(t1),0)*e554</f>
        <v>0</v>
      </c>
      <c r="V554">
        <f>vlookup("906-353348-210",B:AZ,column(u1),0)*e554</f>
        <v>0</v>
      </c>
      <c r="W554">
        <f>vlookup("906-353348-210",B:AZ,column(v1),0)*e554</f>
        <v>0</v>
      </c>
      <c r="X554">
        <f>vlookup("906-353348-210",B:AZ,column(w1),0)*e554</f>
        <v>0</v>
      </c>
      <c r="Y554">
        <f>vlookup("906-353348-210",B:AZ,column(x1),0)*e554</f>
        <v>0</v>
      </c>
      <c r="Z554">
        <f>vlookup("906-353348-210",B:AZ,column(y1),0)*e554</f>
        <v>0</v>
      </c>
      <c r="AA554">
        <f>vlookup("906-353348-210",B:AZ,column(z1),0)*e554</f>
        <v>0</v>
      </c>
      <c r="AB554">
        <f>vlookup("906-353348-210",B:AZ,column(aa1),0)*e554</f>
        <v>0</v>
      </c>
      <c r="AC554">
        <f>vlookup("906-353348-210",B:AZ,column(ab1),0)*e554</f>
        <v>0</v>
      </c>
      <c r="AD554">
        <f>vlookup("906-353348-210",B:AZ,column(ac1),0)*e554</f>
        <v>0</v>
      </c>
      <c r="AE554">
        <f>vlookup("906-353348-210",B:AZ,column(ad1),0)*e554</f>
        <v>0</v>
      </c>
      <c r="AF554">
        <f>vlookup("906-353348-210",B:AZ,column(ae1),0)*e554</f>
        <v>0</v>
      </c>
      <c r="AG554">
        <f>vlookup("906-353348-210",B:AZ,column(af1),0)*e554</f>
        <v>0</v>
      </c>
      <c r="AH554">
        <f>vlookup("906-353348-210",B:AZ,column(ag1),0)*e554</f>
        <v>0</v>
      </c>
      <c r="AI554">
        <f>vlookup("906-353348-210",B:AZ,column(ah1),0)*e554</f>
        <v>0</v>
      </c>
      <c r="AJ554">
        <f>vlookup("906-353348-210",B:AZ,column(ai1),0)*e554</f>
        <v>0</v>
      </c>
      <c r="AK554">
        <f>vlookup("906-353348-210",B:AZ,column(aj1),0)*e554</f>
        <v>0</v>
      </c>
      <c r="AL554">
        <f>vlookup("906-353348-210",B:AZ,column(ak1),0)*e554</f>
        <v>0</v>
      </c>
      <c r="AM554">
        <f>vlookup("906-353348-210",B:AZ,column(al1),0)*e554</f>
        <v>0</v>
      </c>
      <c r="AN554">
        <f>vlookup("906-353348-210",B:AZ,column(am1),0)*e554</f>
        <v>0</v>
      </c>
      <c r="AO554">
        <f>vlookup("906-353348-210",B:AZ,column(an1),0)*e554</f>
        <v>0</v>
      </c>
    </row>
    <row r="555" spans="1:41">
      <c r="A555" t="s">
        <v>78</v>
      </c>
      <c r="B555" t="s">
        <v>582</v>
      </c>
      <c r="C555" t="s">
        <v>583</v>
      </c>
      <c r="E555">
        <v>0.16</v>
      </c>
      <c r="F555" t="s">
        <v>13</v>
      </c>
      <c r="I555" t="s">
        <v>15</v>
      </c>
      <c r="J555">
        <f>vlookup("906-353348-210",B:AZ,column(i1),0)*e555</f>
        <v>0</v>
      </c>
      <c r="K555">
        <f>vlookup("906-353348-210",B:AZ,column(j1),0)*e555</f>
        <v>0</v>
      </c>
      <c r="L555">
        <f>vlookup("906-353348-210",B:AZ,column(k1),0)*e555</f>
        <v>0</v>
      </c>
      <c r="M555">
        <f>vlookup("906-353348-210",B:AZ,column(l1),0)*e555</f>
        <v>0</v>
      </c>
      <c r="N555">
        <f>vlookup("906-353348-210",B:AZ,column(m1),0)*e555</f>
        <v>0</v>
      </c>
      <c r="O555">
        <f>vlookup("906-353348-210",B:AZ,column(n1),0)*e555</f>
        <v>0</v>
      </c>
      <c r="P555">
        <f>vlookup("906-353348-210",B:AZ,column(o1),0)*e555</f>
        <v>0</v>
      </c>
      <c r="Q555">
        <f>vlookup("906-353348-210",B:AZ,column(p1),0)*e555</f>
        <v>0</v>
      </c>
      <c r="R555">
        <f>vlookup("906-353348-210",B:AZ,column(q1),0)*e555</f>
        <v>0</v>
      </c>
      <c r="S555">
        <f>vlookup("906-353348-210",B:AZ,column(r1),0)*e555</f>
        <v>0</v>
      </c>
      <c r="T555">
        <f>vlookup("906-353348-210",B:AZ,column(s1),0)*e555</f>
        <v>0</v>
      </c>
      <c r="U555">
        <f>vlookup("906-353348-210",B:AZ,column(t1),0)*e555</f>
        <v>0</v>
      </c>
      <c r="V555">
        <f>vlookup("906-353348-210",B:AZ,column(u1),0)*e555</f>
        <v>0</v>
      </c>
      <c r="W555">
        <f>vlookup("906-353348-210",B:AZ,column(v1),0)*e555</f>
        <v>0</v>
      </c>
      <c r="X555">
        <f>vlookup("906-353348-210",B:AZ,column(w1),0)*e555</f>
        <v>0</v>
      </c>
      <c r="Y555">
        <f>vlookup("906-353348-210",B:AZ,column(x1),0)*e555</f>
        <v>0</v>
      </c>
      <c r="Z555">
        <f>vlookup("906-353348-210",B:AZ,column(y1),0)*e555</f>
        <v>0</v>
      </c>
      <c r="AA555">
        <f>vlookup("906-353348-210",B:AZ,column(z1),0)*e555</f>
        <v>0</v>
      </c>
      <c r="AB555">
        <f>vlookup("906-353348-210",B:AZ,column(aa1),0)*e555</f>
        <v>0</v>
      </c>
      <c r="AC555">
        <f>vlookup("906-353348-210",B:AZ,column(ab1),0)*e555</f>
        <v>0</v>
      </c>
      <c r="AD555">
        <f>vlookup("906-353348-210",B:AZ,column(ac1),0)*e555</f>
        <v>0</v>
      </c>
      <c r="AE555">
        <f>vlookup("906-353348-210",B:AZ,column(ad1),0)*e555</f>
        <v>0</v>
      </c>
      <c r="AF555">
        <f>vlookup("906-353348-210",B:AZ,column(ae1),0)*e555</f>
        <v>0</v>
      </c>
      <c r="AG555">
        <f>vlookup("906-353348-210",B:AZ,column(af1),0)*e555</f>
        <v>0</v>
      </c>
      <c r="AH555">
        <f>vlookup("906-353348-210",B:AZ,column(ag1),0)*e555</f>
        <v>0</v>
      </c>
      <c r="AI555">
        <f>vlookup("906-353348-210",B:AZ,column(ah1),0)*e555</f>
        <v>0</v>
      </c>
      <c r="AJ555">
        <f>vlookup("906-353348-210",B:AZ,column(ai1),0)*e555</f>
        <v>0</v>
      </c>
      <c r="AK555">
        <f>vlookup("906-353348-210",B:AZ,column(aj1),0)*e555</f>
        <v>0</v>
      </c>
      <c r="AL555">
        <f>vlookup("906-353348-210",B:AZ,column(ak1),0)*e555</f>
        <v>0</v>
      </c>
      <c r="AM555">
        <f>vlookup("906-353348-210",B:AZ,column(al1),0)*e555</f>
        <v>0</v>
      </c>
      <c r="AN555">
        <f>vlookup("906-353348-210",B:AZ,column(am1),0)*e555</f>
        <v>0</v>
      </c>
      <c r="AO555">
        <f>vlookup("906-353348-210",B:AZ,column(an1),0)*e555</f>
        <v>0</v>
      </c>
    </row>
    <row r="556" spans="1:41">
      <c r="A556" t="s">
        <v>78</v>
      </c>
      <c r="B556" t="s">
        <v>584</v>
      </c>
      <c r="C556" t="s">
        <v>585</v>
      </c>
      <c r="E556">
        <v>0.03</v>
      </c>
      <c r="F556" t="s">
        <v>13</v>
      </c>
      <c r="I556" t="s">
        <v>15</v>
      </c>
      <c r="J556">
        <f>vlookup("906-353348-210",B:AZ,column(i1),0)*e556</f>
        <v>0</v>
      </c>
      <c r="K556">
        <f>vlookup("906-353348-210",B:AZ,column(j1),0)*e556</f>
        <v>0</v>
      </c>
      <c r="L556">
        <f>vlookup("906-353348-210",B:AZ,column(k1),0)*e556</f>
        <v>0</v>
      </c>
      <c r="M556">
        <f>vlookup("906-353348-210",B:AZ,column(l1),0)*e556</f>
        <v>0</v>
      </c>
      <c r="N556">
        <f>vlookup("906-353348-210",B:AZ,column(m1),0)*e556</f>
        <v>0</v>
      </c>
      <c r="O556">
        <f>vlookup("906-353348-210",B:AZ,column(n1),0)*e556</f>
        <v>0</v>
      </c>
      <c r="P556">
        <f>vlookup("906-353348-210",B:AZ,column(o1),0)*e556</f>
        <v>0</v>
      </c>
      <c r="Q556">
        <f>vlookup("906-353348-210",B:AZ,column(p1),0)*e556</f>
        <v>0</v>
      </c>
      <c r="R556">
        <f>vlookup("906-353348-210",B:AZ,column(q1),0)*e556</f>
        <v>0</v>
      </c>
      <c r="S556">
        <f>vlookup("906-353348-210",B:AZ,column(r1),0)*e556</f>
        <v>0</v>
      </c>
      <c r="T556">
        <f>vlookup("906-353348-210",B:AZ,column(s1),0)*e556</f>
        <v>0</v>
      </c>
      <c r="U556">
        <f>vlookup("906-353348-210",B:AZ,column(t1),0)*e556</f>
        <v>0</v>
      </c>
      <c r="V556">
        <f>vlookup("906-353348-210",B:AZ,column(u1),0)*e556</f>
        <v>0</v>
      </c>
      <c r="W556">
        <f>vlookup("906-353348-210",B:AZ,column(v1),0)*e556</f>
        <v>0</v>
      </c>
      <c r="X556">
        <f>vlookup("906-353348-210",B:AZ,column(w1),0)*e556</f>
        <v>0</v>
      </c>
      <c r="Y556">
        <f>vlookup("906-353348-210",B:AZ,column(x1),0)*e556</f>
        <v>0</v>
      </c>
      <c r="Z556">
        <f>vlookup("906-353348-210",B:AZ,column(y1),0)*e556</f>
        <v>0</v>
      </c>
      <c r="AA556">
        <f>vlookup("906-353348-210",B:AZ,column(z1),0)*e556</f>
        <v>0</v>
      </c>
      <c r="AB556">
        <f>vlookup("906-353348-210",B:AZ,column(aa1),0)*e556</f>
        <v>0</v>
      </c>
      <c r="AC556">
        <f>vlookup("906-353348-210",B:AZ,column(ab1),0)*e556</f>
        <v>0</v>
      </c>
      <c r="AD556">
        <f>vlookup("906-353348-210",B:AZ,column(ac1),0)*e556</f>
        <v>0</v>
      </c>
      <c r="AE556">
        <f>vlookup("906-353348-210",B:AZ,column(ad1),0)*e556</f>
        <v>0</v>
      </c>
      <c r="AF556">
        <f>vlookup("906-353348-210",B:AZ,column(ae1),0)*e556</f>
        <v>0</v>
      </c>
      <c r="AG556">
        <f>vlookup("906-353348-210",B:AZ,column(af1),0)*e556</f>
        <v>0</v>
      </c>
      <c r="AH556">
        <f>vlookup("906-353348-210",B:AZ,column(ag1),0)*e556</f>
        <v>0</v>
      </c>
      <c r="AI556">
        <f>vlookup("906-353348-210",B:AZ,column(ah1),0)*e556</f>
        <v>0</v>
      </c>
      <c r="AJ556">
        <f>vlookup("906-353348-210",B:AZ,column(ai1),0)*e556</f>
        <v>0</v>
      </c>
      <c r="AK556">
        <f>vlookup("906-353348-210",B:AZ,column(aj1),0)*e556</f>
        <v>0</v>
      </c>
      <c r="AL556">
        <f>vlookup("906-353348-210",B:AZ,column(ak1),0)*e556</f>
        <v>0</v>
      </c>
      <c r="AM556">
        <f>vlookup("906-353348-210",B:AZ,column(al1),0)*e556</f>
        <v>0</v>
      </c>
      <c r="AN556">
        <f>vlookup("906-353348-210",B:AZ,column(am1),0)*e556</f>
        <v>0</v>
      </c>
      <c r="AO556">
        <f>vlookup("906-353348-210",B:AZ,column(an1),0)*e556</f>
        <v>0</v>
      </c>
    </row>
    <row r="557" spans="1:41">
      <c r="A557" t="s">
        <v>10</v>
      </c>
      <c r="B557" t="s">
        <v>586</v>
      </c>
      <c r="C557" t="s">
        <v>587</v>
      </c>
      <c r="E557">
        <v>1</v>
      </c>
      <c r="F557" t="s">
        <v>13</v>
      </c>
      <c r="I557" t="s">
        <v>14</v>
      </c>
      <c r="AO557">
        <f>sum(j557:an557)</f>
        <v>0</v>
      </c>
    </row>
    <row r="558" spans="1:41">
      <c r="I558" t="s">
        <v>15</v>
      </c>
      <c r="J558">
        <f>vlookup("906-961000-110",Out!B:AZ,column(i1),0)</f>
        <v>0</v>
      </c>
      <c r="K558">
        <f>vlookup("906-961000-110",Out!B:AZ,column(j1),0)</f>
        <v>0</v>
      </c>
      <c r="L558">
        <f>vlookup("906-961000-110",Out!B:AZ,column(k1),0)</f>
        <v>0</v>
      </c>
      <c r="M558">
        <f>vlookup("906-961000-110",Out!B:AZ,column(l1),0)</f>
        <v>0</v>
      </c>
      <c r="N558">
        <f>vlookup("906-961000-110",Out!B:AZ,column(m1),0)</f>
        <v>0</v>
      </c>
      <c r="O558">
        <f>vlookup("906-961000-110",Out!B:AZ,column(n1),0)</f>
        <v>0</v>
      </c>
      <c r="P558">
        <f>vlookup("906-961000-110",Out!B:AZ,column(o1),0)</f>
        <v>0</v>
      </c>
      <c r="Q558">
        <f>vlookup("906-961000-110",Out!B:AZ,column(p1),0)</f>
        <v>0</v>
      </c>
      <c r="R558">
        <f>vlookup("906-961000-110",Out!B:AZ,column(q1),0)</f>
        <v>0</v>
      </c>
      <c r="S558">
        <f>vlookup("906-961000-110",Out!B:AZ,column(r1),0)</f>
        <v>0</v>
      </c>
      <c r="T558">
        <f>vlookup("906-961000-110",Out!B:AZ,column(s1),0)</f>
        <v>0</v>
      </c>
      <c r="U558">
        <f>vlookup("906-961000-110",Out!B:AZ,column(t1),0)</f>
        <v>0</v>
      </c>
      <c r="V558">
        <f>vlookup("906-961000-110",Out!B:AZ,column(u1),0)</f>
        <v>0</v>
      </c>
      <c r="W558">
        <f>vlookup("906-961000-110",Out!B:AZ,column(v1),0)</f>
        <v>0</v>
      </c>
      <c r="X558">
        <f>vlookup("906-961000-110",Out!B:AZ,column(w1),0)</f>
        <v>0</v>
      </c>
      <c r="Y558">
        <f>vlookup("906-961000-110",Out!B:AZ,column(x1),0)</f>
        <v>0</v>
      </c>
      <c r="Z558">
        <f>vlookup("906-961000-110",Out!B:AZ,column(y1),0)</f>
        <v>0</v>
      </c>
      <c r="AA558">
        <f>vlookup("906-961000-110",Out!B:AZ,column(z1),0)</f>
        <v>0</v>
      </c>
      <c r="AB558">
        <f>vlookup("906-961000-110",Out!B:AZ,column(aa1),0)</f>
        <v>0</v>
      </c>
      <c r="AC558">
        <f>vlookup("906-961000-110",Out!B:AZ,column(ab1),0)</f>
        <v>0</v>
      </c>
      <c r="AD558">
        <f>vlookup("906-961000-110",Out!B:AZ,column(ac1),0)</f>
        <v>0</v>
      </c>
      <c r="AE558">
        <f>vlookup("906-961000-110",Out!B:AZ,column(ad1),0)</f>
        <v>0</v>
      </c>
      <c r="AF558">
        <f>vlookup("906-961000-110",Out!B:AZ,column(ae1),0)</f>
        <v>0</v>
      </c>
      <c r="AG558">
        <f>vlookup("906-961000-110",Out!B:AZ,column(af1),0)</f>
        <v>0</v>
      </c>
      <c r="AH558">
        <f>vlookup("906-961000-110",Out!B:AZ,column(ag1),0)</f>
        <v>0</v>
      </c>
      <c r="AI558">
        <f>vlookup("906-961000-110",Out!B:AZ,column(ah1),0)</f>
        <v>0</v>
      </c>
      <c r="AJ558">
        <f>vlookup("906-961000-110",Out!B:AZ,column(ai1),0)</f>
        <v>0</v>
      </c>
      <c r="AK558">
        <f>vlookup("906-961000-110",Out!B:AZ,column(aj1),0)</f>
        <v>0</v>
      </c>
      <c r="AL558">
        <f>vlookup("906-961000-110",Out!B:AZ,column(ak1),0)</f>
        <v>0</v>
      </c>
      <c r="AM558">
        <f>vlookup("906-961000-110",Out!B:AZ,column(al1),0)</f>
        <v>0</v>
      </c>
      <c r="AN558">
        <f>vlookup("906-961000-110",Out!B:AZ,column(am1),0)</f>
        <v>0</v>
      </c>
      <c r="AO558">
        <f>vlookup("906-961000-110",Out!B:AZ,column(an1),0)</f>
        <v>0</v>
      </c>
    </row>
    <row r="559" spans="1:41">
      <c r="H559" t="s">
        <v>16</v>
      </c>
      <c r="J559">
        <f>indirect(address(559,9))+indirect(address(557,10))-indirect(address(558,10))</f>
        <v>0</v>
      </c>
      <c r="K559">
        <f>indirect(address(559,10))+indirect(address(557,11))-indirect(address(558,11))</f>
        <v>0</v>
      </c>
      <c r="L559">
        <f>indirect(address(559,11))+indirect(address(557,12))-indirect(address(558,12))</f>
        <v>0</v>
      </c>
      <c r="M559">
        <f>indirect(address(559,12))+indirect(address(557,13))-indirect(address(558,13))</f>
        <v>0</v>
      </c>
      <c r="N559">
        <f>indirect(address(559,13))+indirect(address(557,14))-indirect(address(558,14))</f>
        <v>0</v>
      </c>
      <c r="O559">
        <f>indirect(address(559,14))+indirect(address(557,15))-indirect(address(558,15))</f>
        <v>0</v>
      </c>
      <c r="P559">
        <f>indirect(address(559,15))+indirect(address(557,16))-indirect(address(558,16))</f>
        <v>0</v>
      </c>
      <c r="Q559">
        <f>indirect(address(559,16))+indirect(address(557,17))-indirect(address(558,17))</f>
        <v>0</v>
      </c>
      <c r="R559">
        <f>indirect(address(559,17))+indirect(address(557,18))-indirect(address(558,18))</f>
        <v>0</v>
      </c>
      <c r="S559">
        <f>indirect(address(559,18))+indirect(address(557,19))-indirect(address(558,19))</f>
        <v>0</v>
      </c>
      <c r="T559">
        <f>indirect(address(559,19))+indirect(address(557,20))-indirect(address(558,20))</f>
        <v>0</v>
      </c>
      <c r="U559">
        <f>indirect(address(559,20))+indirect(address(557,21))-indirect(address(558,21))</f>
        <v>0</v>
      </c>
      <c r="V559">
        <f>indirect(address(559,21))+indirect(address(557,22))-indirect(address(558,22))</f>
        <v>0</v>
      </c>
      <c r="W559">
        <f>indirect(address(559,22))+indirect(address(557,23))-indirect(address(558,23))</f>
        <v>0</v>
      </c>
      <c r="X559">
        <f>indirect(address(559,23))+indirect(address(557,24))-indirect(address(558,24))</f>
        <v>0</v>
      </c>
      <c r="Y559">
        <f>indirect(address(559,24))+indirect(address(557,25))-indirect(address(558,25))</f>
        <v>0</v>
      </c>
      <c r="Z559">
        <f>indirect(address(559,25))+indirect(address(557,26))-indirect(address(558,26))</f>
        <v>0</v>
      </c>
      <c r="AA559">
        <f>indirect(address(559,26))+indirect(address(557,27))-indirect(address(558,27))</f>
        <v>0</v>
      </c>
      <c r="AB559">
        <f>indirect(address(559,27))+indirect(address(557,28))-indirect(address(558,28))</f>
        <v>0</v>
      </c>
      <c r="AC559">
        <f>indirect(address(559,28))+indirect(address(557,29))-indirect(address(558,29))</f>
        <v>0</v>
      </c>
      <c r="AD559">
        <f>indirect(address(559,29))+indirect(address(557,30))-indirect(address(558,30))</f>
        <v>0</v>
      </c>
      <c r="AE559">
        <f>indirect(address(559,30))+indirect(address(557,31))-indirect(address(558,31))</f>
        <v>0</v>
      </c>
      <c r="AF559">
        <f>indirect(address(559,31))+indirect(address(557,32))-indirect(address(558,32))</f>
        <v>0</v>
      </c>
      <c r="AG559">
        <f>indirect(address(559,32))+indirect(address(557,33))-indirect(address(558,33))</f>
        <v>0</v>
      </c>
      <c r="AH559">
        <f>indirect(address(559,33))+indirect(address(557,34))-indirect(address(558,34))</f>
        <v>0</v>
      </c>
      <c r="AI559">
        <f>indirect(address(559,34))+indirect(address(557,35))-indirect(address(558,35))</f>
        <v>0</v>
      </c>
      <c r="AJ559">
        <f>indirect(address(559,35))+indirect(address(557,36))-indirect(address(558,36))</f>
        <v>0</v>
      </c>
      <c r="AK559">
        <f>indirect(address(559,36))+indirect(address(557,37))-indirect(address(558,37))</f>
        <v>0</v>
      </c>
      <c r="AL559">
        <f>indirect(address(559,37))+indirect(address(557,38))-indirect(address(558,38))</f>
        <v>0</v>
      </c>
      <c r="AM559">
        <f>indirect(address(559,38))+indirect(address(557,39))-indirect(address(558,39))</f>
        <v>0</v>
      </c>
      <c r="AN559">
        <f>indirect(address(559,39))+indirect(address(557,40))-indirect(address(558,40))</f>
        <v>0</v>
      </c>
      <c r="AO559">
        <f>indirect(address(559,40))</f>
        <v>0</v>
      </c>
    </row>
    <row r="560" spans="1:41">
      <c r="A560" t="s">
        <v>17</v>
      </c>
      <c r="B560" t="s">
        <v>588</v>
      </c>
      <c r="C560" t="s">
        <v>589</v>
      </c>
      <c r="E560">
        <v>1</v>
      </c>
      <c r="F560" t="s">
        <v>13</v>
      </c>
      <c r="I560" t="s">
        <v>15</v>
      </c>
      <c r="J560">
        <f>vlookup("906-961000-110",B:AZ,column(i1),0)*e560</f>
        <v>0</v>
      </c>
      <c r="K560">
        <f>vlookup("906-961000-110",B:AZ,column(j1),0)*e560</f>
        <v>0</v>
      </c>
      <c r="L560">
        <f>vlookup("906-961000-110",B:AZ,column(k1),0)*e560</f>
        <v>0</v>
      </c>
      <c r="M560">
        <f>vlookup("906-961000-110",B:AZ,column(l1),0)*e560</f>
        <v>0</v>
      </c>
      <c r="N560">
        <f>vlookup("906-961000-110",B:AZ,column(m1),0)*e560</f>
        <v>0</v>
      </c>
      <c r="O560">
        <f>vlookup("906-961000-110",B:AZ,column(n1),0)*e560</f>
        <v>0</v>
      </c>
      <c r="P560">
        <f>vlookup("906-961000-110",B:AZ,column(o1),0)*e560</f>
        <v>0</v>
      </c>
      <c r="Q560">
        <f>vlookup("906-961000-110",B:AZ,column(p1),0)*e560</f>
        <v>0</v>
      </c>
      <c r="R560">
        <f>vlookup("906-961000-110",B:AZ,column(q1),0)*e560</f>
        <v>0</v>
      </c>
      <c r="S560">
        <f>vlookup("906-961000-110",B:AZ,column(r1),0)*e560</f>
        <v>0</v>
      </c>
      <c r="T560">
        <f>vlookup("906-961000-110",B:AZ,column(s1),0)*e560</f>
        <v>0</v>
      </c>
      <c r="U560">
        <f>vlookup("906-961000-110",B:AZ,column(t1),0)*e560</f>
        <v>0</v>
      </c>
      <c r="V560">
        <f>vlookup("906-961000-110",B:AZ,column(u1),0)*e560</f>
        <v>0</v>
      </c>
      <c r="W560">
        <f>vlookup("906-961000-110",B:AZ,column(v1),0)*e560</f>
        <v>0</v>
      </c>
      <c r="X560">
        <f>vlookup("906-961000-110",B:AZ,column(w1),0)*e560</f>
        <v>0</v>
      </c>
      <c r="Y560">
        <f>vlookup("906-961000-110",B:AZ,column(x1),0)*e560</f>
        <v>0</v>
      </c>
      <c r="Z560">
        <f>vlookup("906-961000-110",B:AZ,column(y1),0)*e560</f>
        <v>0</v>
      </c>
      <c r="AA560">
        <f>vlookup("906-961000-110",B:AZ,column(z1),0)*e560</f>
        <v>0</v>
      </c>
      <c r="AB560">
        <f>vlookup("906-961000-110",B:AZ,column(aa1),0)*e560</f>
        <v>0</v>
      </c>
      <c r="AC560">
        <f>vlookup("906-961000-110",B:AZ,column(ab1),0)*e560</f>
        <v>0</v>
      </c>
      <c r="AD560">
        <f>vlookup("906-961000-110",B:AZ,column(ac1),0)*e560</f>
        <v>0</v>
      </c>
      <c r="AE560">
        <f>vlookup("906-961000-110",B:AZ,column(ad1),0)*e560</f>
        <v>0</v>
      </c>
      <c r="AF560">
        <f>vlookup("906-961000-110",B:AZ,column(ae1),0)*e560</f>
        <v>0</v>
      </c>
      <c r="AG560">
        <f>vlookup("906-961000-110",B:AZ,column(af1),0)*e560</f>
        <v>0</v>
      </c>
      <c r="AH560">
        <f>vlookup("906-961000-110",B:AZ,column(ag1),0)*e560</f>
        <v>0</v>
      </c>
      <c r="AI560">
        <f>vlookup("906-961000-110",B:AZ,column(ah1),0)*e560</f>
        <v>0</v>
      </c>
      <c r="AJ560">
        <f>vlookup("906-961000-110",B:AZ,column(ai1),0)*e560</f>
        <v>0</v>
      </c>
      <c r="AK560">
        <f>vlookup("906-961000-110",B:AZ,column(aj1),0)*e560</f>
        <v>0</v>
      </c>
      <c r="AL560">
        <f>vlookup("906-961000-110",B:AZ,column(ak1),0)*e560</f>
        <v>0</v>
      </c>
      <c r="AM560">
        <f>vlookup("906-961000-110",B:AZ,column(al1),0)*e560</f>
        <v>0</v>
      </c>
      <c r="AN560">
        <f>vlookup("906-961000-110",B:AZ,column(am1),0)*e560</f>
        <v>0</v>
      </c>
      <c r="AO560">
        <f>vlookup("906-961000-110",B:AZ,column(an1),0)*e560</f>
        <v>0</v>
      </c>
    </row>
    <row r="561" spans="1:41">
      <c r="A561" t="s">
        <v>22</v>
      </c>
      <c r="B561" t="s">
        <v>590</v>
      </c>
      <c r="C561" t="s">
        <v>591</v>
      </c>
      <c r="E561">
        <v>1</v>
      </c>
      <c r="F561" t="s">
        <v>13</v>
      </c>
      <c r="I561" t="s">
        <v>15</v>
      </c>
      <c r="J561">
        <f>vlookup("906-961000-110",B:AZ,column(i1),0)*e561</f>
        <v>0</v>
      </c>
      <c r="K561">
        <f>vlookup("906-961000-110",B:AZ,column(j1),0)*e561</f>
        <v>0</v>
      </c>
      <c r="L561">
        <f>vlookup("906-961000-110",B:AZ,column(k1),0)*e561</f>
        <v>0</v>
      </c>
      <c r="M561">
        <f>vlookup("906-961000-110",B:AZ,column(l1),0)*e561</f>
        <v>0</v>
      </c>
      <c r="N561">
        <f>vlookup("906-961000-110",B:AZ,column(m1),0)*e561</f>
        <v>0</v>
      </c>
      <c r="O561">
        <f>vlookup("906-961000-110",B:AZ,column(n1),0)*e561</f>
        <v>0</v>
      </c>
      <c r="P561">
        <f>vlookup("906-961000-110",B:AZ,column(o1),0)*e561</f>
        <v>0</v>
      </c>
      <c r="Q561">
        <f>vlookup("906-961000-110",B:AZ,column(p1),0)*e561</f>
        <v>0</v>
      </c>
      <c r="R561">
        <f>vlookup("906-961000-110",B:AZ,column(q1),0)*e561</f>
        <v>0</v>
      </c>
      <c r="S561">
        <f>vlookup("906-961000-110",B:AZ,column(r1),0)*e561</f>
        <v>0</v>
      </c>
      <c r="T561">
        <f>vlookup("906-961000-110",B:AZ,column(s1),0)*e561</f>
        <v>0</v>
      </c>
      <c r="U561">
        <f>vlookup("906-961000-110",B:AZ,column(t1),0)*e561</f>
        <v>0</v>
      </c>
      <c r="V561">
        <f>vlookup("906-961000-110",B:AZ,column(u1),0)*e561</f>
        <v>0</v>
      </c>
      <c r="W561">
        <f>vlookup("906-961000-110",B:AZ,column(v1),0)*e561</f>
        <v>0</v>
      </c>
      <c r="X561">
        <f>vlookup("906-961000-110",B:AZ,column(w1),0)*e561</f>
        <v>0</v>
      </c>
      <c r="Y561">
        <f>vlookup("906-961000-110",B:AZ,column(x1),0)*e561</f>
        <v>0</v>
      </c>
      <c r="Z561">
        <f>vlookup("906-961000-110",B:AZ,column(y1),0)*e561</f>
        <v>0</v>
      </c>
      <c r="AA561">
        <f>vlookup("906-961000-110",B:AZ,column(z1),0)*e561</f>
        <v>0</v>
      </c>
      <c r="AB561">
        <f>vlookup("906-961000-110",B:AZ,column(aa1),0)*e561</f>
        <v>0</v>
      </c>
      <c r="AC561">
        <f>vlookup("906-961000-110",B:AZ,column(ab1),0)*e561</f>
        <v>0</v>
      </c>
      <c r="AD561">
        <f>vlookup("906-961000-110",B:AZ,column(ac1),0)*e561</f>
        <v>0</v>
      </c>
      <c r="AE561">
        <f>vlookup("906-961000-110",B:AZ,column(ad1),0)*e561</f>
        <v>0</v>
      </c>
      <c r="AF561">
        <f>vlookup("906-961000-110",B:AZ,column(ae1),0)*e561</f>
        <v>0</v>
      </c>
      <c r="AG561">
        <f>vlookup("906-961000-110",B:AZ,column(af1),0)*e561</f>
        <v>0</v>
      </c>
      <c r="AH561">
        <f>vlookup("906-961000-110",B:AZ,column(ag1),0)*e561</f>
        <v>0</v>
      </c>
      <c r="AI561">
        <f>vlookup("906-961000-110",B:AZ,column(ah1),0)*e561</f>
        <v>0</v>
      </c>
      <c r="AJ561">
        <f>vlookup("906-961000-110",B:AZ,column(ai1),0)*e561</f>
        <v>0</v>
      </c>
      <c r="AK561">
        <f>vlookup("906-961000-110",B:AZ,column(aj1),0)*e561</f>
        <v>0</v>
      </c>
      <c r="AL561">
        <f>vlookup("906-961000-110",B:AZ,column(ak1),0)*e561</f>
        <v>0</v>
      </c>
      <c r="AM561">
        <f>vlookup("906-961000-110",B:AZ,column(al1),0)*e561</f>
        <v>0</v>
      </c>
      <c r="AN561">
        <f>vlookup("906-961000-110",B:AZ,column(am1),0)*e561</f>
        <v>0</v>
      </c>
      <c r="AO561">
        <f>vlookup("906-961000-110",B:AZ,column(an1),0)*e561</f>
        <v>0</v>
      </c>
    </row>
    <row r="562" spans="1:41">
      <c r="A562" t="s">
        <v>22</v>
      </c>
      <c r="B562" t="s">
        <v>592</v>
      </c>
      <c r="C562" t="s">
        <v>593</v>
      </c>
      <c r="E562">
        <v>1</v>
      </c>
      <c r="F562" t="s">
        <v>13</v>
      </c>
      <c r="I562" t="s">
        <v>15</v>
      </c>
      <c r="J562">
        <f>vlookup("906-961000-110",B:AZ,column(i1),0)*e562</f>
        <v>0</v>
      </c>
      <c r="K562">
        <f>vlookup("906-961000-110",B:AZ,column(j1),0)*e562</f>
        <v>0</v>
      </c>
      <c r="L562">
        <f>vlookup("906-961000-110",B:AZ,column(k1),0)*e562</f>
        <v>0</v>
      </c>
      <c r="M562">
        <f>vlookup("906-961000-110",B:AZ,column(l1),0)*e562</f>
        <v>0</v>
      </c>
      <c r="N562">
        <f>vlookup("906-961000-110",B:AZ,column(m1),0)*e562</f>
        <v>0</v>
      </c>
      <c r="O562">
        <f>vlookup("906-961000-110",B:AZ,column(n1),0)*e562</f>
        <v>0</v>
      </c>
      <c r="P562">
        <f>vlookup("906-961000-110",B:AZ,column(o1),0)*e562</f>
        <v>0</v>
      </c>
      <c r="Q562">
        <f>vlookup("906-961000-110",B:AZ,column(p1),0)*e562</f>
        <v>0</v>
      </c>
      <c r="R562">
        <f>vlookup("906-961000-110",B:AZ,column(q1),0)*e562</f>
        <v>0</v>
      </c>
      <c r="S562">
        <f>vlookup("906-961000-110",B:AZ,column(r1),0)*e562</f>
        <v>0</v>
      </c>
      <c r="T562">
        <f>vlookup("906-961000-110",B:AZ,column(s1),0)*e562</f>
        <v>0</v>
      </c>
      <c r="U562">
        <f>vlookup("906-961000-110",B:AZ,column(t1),0)*e562</f>
        <v>0</v>
      </c>
      <c r="V562">
        <f>vlookup("906-961000-110",B:AZ,column(u1),0)*e562</f>
        <v>0</v>
      </c>
      <c r="W562">
        <f>vlookup("906-961000-110",B:AZ,column(v1),0)*e562</f>
        <v>0</v>
      </c>
      <c r="X562">
        <f>vlookup("906-961000-110",B:AZ,column(w1),0)*e562</f>
        <v>0</v>
      </c>
      <c r="Y562">
        <f>vlookup("906-961000-110",B:AZ,column(x1),0)*e562</f>
        <v>0</v>
      </c>
      <c r="Z562">
        <f>vlookup("906-961000-110",B:AZ,column(y1),0)*e562</f>
        <v>0</v>
      </c>
      <c r="AA562">
        <f>vlookup("906-961000-110",B:AZ,column(z1),0)*e562</f>
        <v>0</v>
      </c>
      <c r="AB562">
        <f>vlookup("906-961000-110",B:AZ,column(aa1),0)*e562</f>
        <v>0</v>
      </c>
      <c r="AC562">
        <f>vlookup("906-961000-110",B:AZ,column(ab1),0)*e562</f>
        <v>0</v>
      </c>
      <c r="AD562">
        <f>vlookup("906-961000-110",B:AZ,column(ac1),0)*e562</f>
        <v>0</v>
      </c>
      <c r="AE562">
        <f>vlookup("906-961000-110",B:AZ,column(ad1),0)*e562</f>
        <v>0</v>
      </c>
      <c r="AF562">
        <f>vlookup("906-961000-110",B:AZ,column(ae1),0)*e562</f>
        <v>0</v>
      </c>
      <c r="AG562">
        <f>vlookup("906-961000-110",B:AZ,column(af1),0)*e562</f>
        <v>0</v>
      </c>
      <c r="AH562">
        <f>vlookup("906-961000-110",B:AZ,column(ag1),0)*e562</f>
        <v>0</v>
      </c>
      <c r="AI562">
        <f>vlookup("906-961000-110",B:AZ,column(ah1),0)*e562</f>
        <v>0</v>
      </c>
      <c r="AJ562">
        <f>vlookup("906-961000-110",B:AZ,column(ai1),0)*e562</f>
        <v>0</v>
      </c>
      <c r="AK562">
        <f>vlookup("906-961000-110",B:AZ,column(aj1),0)*e562</f>
        <v>0</v>
      </c>
      <c r="AL562">
        <f>vlookup("906-961000-110",B:AZ,column(ak1),0)*e562</f>
        <v>0</v>
      </c>
      <c r="AM562">
        <f>vlookup("906-961000-110",B:AZ,column(al1),0)*e562</f>
        <v>0</v>
      </c>
      <c r="AN562">
        <f>vlookup("906-961000-110",B:AZ,column(am1),0)*e562</f>
        <v>0</v>
      </c>
      <c r="AO562">
        <f>vlookup("906-961000-110",B:AZ,column(an1),0)*e562</f>
        <v>0</v>
      </c>
    </row>
    <row r="563" spans="1:41">
      <c r="A563" t="s">
        <v>22</v>
      </c>
      <c r="B563" t="s">
        <v>570</v>
      </c>
      <c r="C563" t="s">
        <v>571</v>
      </c>
      <c r="E563">
        <v>2</v>
      </c>
      <c r="F563" t="s">
        <v>13</v>
      </c>
      <c r="I563" t="s">
        <v>15</v>
      </c>
      <c r="J563">
        <f>vlookup("906-961000-110",B:AZ,column(i1),0)*e563</f>
        <v>0</v>
      </c>
      <c r="K563">
        <f>vlookup("906-961000-110",B:AZ,column(j1),0)*e563</f>
        <v>0</v>
      </c>
      <c r="L563">
        <f>vlookup("906-961000-110",B:AZ,column(k1),0)*e563</f>
        <v>0</v>
      </c>
      <c r="M563">
        <f>vlookup("906-961000-110",B:AZ,column(l1),0)*e563</f>
        <v>0</v>
      </c>
      <c r="N563">
        <f>vlookup("906-961000-110",B:AZ,column(m1),0)*e563</f>
        <v>0</v>
      </c>
      <c r="O563">
        <f>vlookup("906-961000-110",B:AZ,column(n1),0)*e563</f>
        <v>0</v>
      </c>
      <c r="P563">
        <f>vlookup("906-961000-110",B:AZ,column(o1),0)*e563</f>
        <v>0</v>
      </c>
      <c r="Q563">
        <f>vlookup("906-961000-110",B:AZ,column(p1),0)*e563</f>
        <v>0</v>
      </c>
      <c r="R563">
        <f>vlookup("906-961000-110",B:AZ,column(q1),0)*e563</f>
        <v>0</v>
      </c>
      <c r="S563">
        <f>vlookup("906-961000-110",B:AZ,column(r1),0)*e563</f>
        <v>0</v>
      </c>
      <c r="T563">
        <f>vlookup("906-961000-110",B:AZ,column(s1),0)*e563</f>
        <v>0</v>
      </c>
      <c r="U563">
        <f>vlookup("906-961000-110",B:AZ,column(t1),0)*e563</f>
        <v>0</v>
      </c>
      <c r="V563">
        <f>vlookup("906-961000-110",B:AZ,column(u1),0)*e563</f>
        <v>0</v>
      </c>
      <c r="W563">
        <f>vlookup("906-961000-110",B:AZ,column(v1),0)*e563</f>
        <v>0</v>
      </c>
      <c r="X563">
        <f>vlookup("906-961000-110",B:AZ,column(w1),0)*e563</f>
        <v>0</v>
      </c>
      <c r="Y563">
        <f>vlookup("906-961000-110",B:AZ,column(x1),0)*e563</f>
        <v>0</v>
      </c>
      <c r="Z563">
        <f>vlookup("906-961000-110",B:AZ,column(y1),0)*e563</f>
        <v>0</v>
      </c>
      <c r="AA563">
        <f>vlookup("906-961000-110",B:AZ,column(z1),0)*e563</f>
        <v>0</v>
      </c>
      <c r="AB563">
        <f>vlookup("906-961000-110",B:AZ,column(aa1),0)*e563</f>
        <v>0</v>
      </c>
      <c r="AC563">
        <f>vlookup("906-961000-110",B:AZ,column(ab1),0)*e563</f>
        <v>0</v>
      </c>
      <c r="AD563">
        <f>vlookup("906-961000-110",B:AZ,column(ac1),0)*e563</f>
        <v>0</v>
      </c>
      <c r="AE563">
        <f>vlookup("906-961000-110",B:AZ,column(ad1),0)*e563</f>
        <v>0</v>
      </c>
      <c r="AF563">
        <f>vlookup("906-961000-110",B:AZ,column(ae1),0)*e563</f>
        <v>0</v>
      </c>
      <c r="AG563">
        <f>vlookup("906-961000-110",B:AZ,column(af1),0)*e563</f>
        <v>0</v>
      </c>
      <c r="AH563">
        <f>vlookup("906-961000-110",B:AZ,column(ag1),0)*e563</f>
        <v>0</v>
      </c>
      <c r="AI563">
        <f>vlookup("906-961000-110",B:AZ,column(ah1),0)*e563</f>
        <v>0</v>
      </c>
      <c r="AJ563">
        <f>vlookup("906-961000-110",B:AZ,column(ai1),0)*e563</f>
        <v>0</v>
      </c>
      <c r="AK563">
        <f>vlookup("906-961000-110",B:AZ,column(aj1),0)*e563</f>
        <v>0</v>
      </c>
      <c r="AL563">
        <f>vlookup("906-961000-110",B:AZ,column(ak1),0)*e563</f>
        <v>0</v>
      </c>
      <c r="AM563">
        <f>vlookup("906-961000-110",B:AZ,column(al1),0)*e563</f>
        <v>0</v>
      </c>
      <c r="AN563">
        <f>vlookup("906-961000-110",B:AZ,column(am1),0)*e563</f>
        <v>0</v>
      </c>
      <c r="AO563">
        <f>vlookup("906-961000-110",B:AZ,column(an1),0)*e563</f>
        <v>0</v>
      </c>
    </row>
    <row r="564" spans="1:41">
      <c r="A564" t="s">
        <v>22</v>
      </c>
      <c r="B564" t="s">
        <v>594</v>
      </c>
      <c r="C564" t="s">
        <v>595</v>
      </c>
      <c r="E564">
        <v>1</v>
      </c>
      <c r="F564" t="s">
        <v>13</v>
      </c>
      <c r="I564" t="s">
        <v>15</v>
      </c>
      <c r="J564">
        <f>vlookup("906-961000-110",B:AZ,column(i1),0)*e564</f>
        <v>0</v>
      </c>
      <c r="K564">
        <f>vlookup("906-961000-110",B:AZ,column(j1),0)*e564</f>
        <v>0</v>
      </c>
      <c r="L564">
        <f>vlookup("906-961000-110",B:AZ,column(k1),0)*e564</f>
        <v>0</v>
      </c>
      <c r="M564">
        <f>vlookup("906-961000-110",B:AZ,column(l1),0)*e564</f>
        <v>0</v>
      </c>
      <c r="N564">
        <f>vlookup("906-961000-110",B:AZ,column(m1),0)*e564</f>
        <v>0</v>
      </c>
      <c r="O564">
        <f>vlookup("906-961000-110",B:AZ,column(n1),0)*e564</f>
        <v>0</v>
      </c>
      <c r="P564">
        <f>vlookup("906-961000-110",B:AZ,column(o1),0)*e564</f>
        <v>0</v>
      </c>
      <c r="Q564">
        <f>vlookup("906-961000-110",B:AZ,column(p1),0)*e564</f>
        <v>0</v>
      </c>
      <c r="R564">
        <f>vlookup("906-961000-110",B:AZ,column(q1),0)*e564</f>
        <v>0</v>
      </c>
      <c r="S564">
        <f>vlookup("906-961000-110",B:AZ,column(r1),0)*e564</f>
        <v>0</v>
      </c>
      <c r="T564">
        <f>vlookup("906-961000-110",B:AZ,column(s1),0)*e564</f>
        <v>0</v>
      </c>
      <c r="U564">
        <f>vlookup("906-961000-110",B:AZ,column(t1),0)*e564</f>
        <v>0</v>
      </c>
      <c r="V564">
        <f>vlookup("906-961000-110",B:AZ,column(u1),0)*e564</f>
        <v>0</v>
      </c>
      <c r="W564">
        <f>vlookup("906-961000-110",B:AZ,column(v1),0)*e564</f>
        <v>0</v>
      </c>
      <c r="X564">
        <f>vlookup("906-961000-110",B:AZ,column(w1),0)*e564</f>
        <v>0</v>
      </c>
      <c r="Y564">
        <f>vlookup("906-961000-110",B:AZ,column(x1),0)*e564</f>
        <v>0</v>
      </c>
      <c r="Z564">
        <f>vlookup("906-961000-110",B:AZ,column(y1),0)*e564</f>
        <v>0</v>
      </c>
      <c r="AA564">
        <f>vlookup("906-961000-110",B:AZ,column(z1),0)*e564</f>
        <v>0</v>
      </c>
      <c r="AB564">
        <f>vlookup("906-961000-110",B:AZ,column(aa1),0)*e564</f>
        <v>0</v>
      </c>
      <c r="AC564">
        <f>vlookup("906-961000-110",B:AZ,column(ab1),0)*e564</f>
        <v>0</v>
      </c>
      <c r="AD564">
        <f>vlookup("906-961000-110",B:AZ,column(ac1),0)*e564</f>
        <v>0</v>
      </c>
      <c r="AE564">
        <f>vlookup("906-961000-110",B:AZ,column(ad1),0)*e564</f>
        <v>0</v>
      </c>
      <c r="AF564">
        <f>vlookup("906-961000-110",B:AZ,column(ae1),0)*e564</f>
        <v>0</v>
      </c>
      <c r="AG564">
        <f>vlookup("906-961000-110",B:AZ,column(af1),0)*e564</f>
        <v>0</v>
      </c>
      <c r="AH564">
        <f>vlookup("906-961000-110",B:AZ,column(ag1),0)*e564</f>
        <v>0</v>
      </c>
      <c r="AI564">
        <f>vlookup("906-961000-110",B:AZ,column(ah1),0)*e564</f>
        <v>0</v>
      </c>
      <c r="AJ564">
        <f>vlookup("906-961000-110",B:AZ,column(ai1),0)*e564</f>
        <v>0</v>
      </c>
      <c r="AK564">
        <f>vlookup("906-961000-110",B:AZ,column(aj1),0)*e564</f>
        <v>0</v>
      </c>
      <c r="AL564">
        <f>vlookup("906-961000-110",B:AZ,column(ak1),0)*e564</f>
        <v>0</v>
      </c>
      <c r="AM564">
        <f>vlookup("906-961000-110",B:AZ,column(al1),0)*e564</f>
        <v>0</v>
      </c>
      <c r="AN564">
        <f>vlookup("906-961000-110",B:AZ,column(am1),0)*e564</f>
        <v>0</v>
      </c>
      <c r="AO564">
        <f>vlookup("906-961000-110",B:AZ,column(an1),0)*e564</f>
        <v>0</v>
      </c>
    </row>
    <row r="565" spans="1:41">
      <c r="A565" t="s">
        <v>22</v>
      </c>
      <c r="B565" t="s">
        <v>596</v>
      </c>
      <c r="C565" t="s">
        <v>597</v>
      </c>
      <c r="E565">
        <v>2</v>
      </c>
      <c r="F565" t="s">
        <v>13</v>
      </c>
      <c r="I565" t="s">
        <v>15</v>
      </c>
      <c r="J565">
        <f>vlookup("906-961000-110",B:AZ,column(i1),0)*e565</f>
        <v>0</v>
      </c>
      <c r="K565">
        <f>vlookup("906-961000-110",B:AZ,column(j1),0)*e565</f>
        <v>0</v>
      </c>
      <c r="L565">
        <f>vlookup("906-961000-110",B:AZ,column(k1),0)*e565</f>
        <v>0</v>
      </c>
      <c r="M565">
        <f>vlookup("906-961000-110",B:AZ,column(l1),0)*e565</f>
        <v>0</v>
      </c>
      <c r="N565">
        <f>vlookup("906-961000-110",B:AZ,column(m1),0)*e565</f>
        <v>0</v>
      </c>
      <c r="O565">
        <f>vlookup("906-961000-110",B:AZ,column(n1),0)*e565</f>
        <v>0</v>
      </c>
      <c r="P565">
        <f>vlookup("906-961000-110",B:AZ,column(o1),0)*e565</f>
        <v>0</v>
      </c>
      <c r="Q565">
        <f>vlookup("906-961000-110",B:AZ,column(p1),0)*e565</f>
        <v>0</v>
      </c>
      <c r="R565">
        <f>vlookup("906-961000-110",B:AZ,column(q1),0)*e565</f>
        <v>0</v>
      </c>
      <c r="S565">
        <f>vlookup("906-961000-110",B:AZ,column(r1),0)*e565</f>
        <v>0</v>
      </c>
      <c r="T565">
        <f>vlookup("906-961000-110",B:AZ,column(s1),0)*e565</f>
        <v>0</v>
      </c>
      <c r="U565">
        <f>vlookup("906-961000-110",B:AZ,column(t1),0)*e565</f>
        <v>0</v>
      </c>
      <c r="V565">
        <f>vlookup("906-961000-110",B:AZ,column(u1),0)*e565</f>
        <v>0</v>
      </c>
      <c r="W565">
        <f>vlookup("906-961000-110",B:AZ,column(v1),0)*e565</f>
        <v>0</v>
      </c>
      <c r="X565">
        <f>vlookup("906-961000-110",B:AZ,column(w1),0)*e565</f>
        <v>0</v>
      </c>
      <c r="Y565">
        <f>vlookup("906-961000-110",B:AZ,column(x1),0)*e565</f>
        <v>0</v>
      </c>
      <c r="Z565">
        <f>vlookup("906-961000-110",B:AZ,column(y1),0)*e565</f>
        <v>0</v>
      </c>
      <c r="AA565">
        <f>vlookup("906-961000-110",B:AZ,column(z1),0)*e565</f>
        <v>0</v>
      </c>
      <c r="AB565">
        <f>vlookup("906-961000-110",B:AZ,column(aa1),0)*e565</f>
        <v>0</v>
      </c>
      <c r="AC565">
        <f>vlookup("906-961000-110",B:AZ,column(ab1),0)*e565</f>
        <v>0</v>
      </c>
      <c r="AD565">
        <f>vlookup("906-961000-110",B:AZ,column(ac1),0)*e565</f>
        <v>0</v>
      </c>
      <c r="AE565">
        <f>vlookup("906-961000-110",B:AZ,column(ad1),0)*e565</f>
        <v>0</v>
      </c>
      <c r="AF565">
        <f>vlookup("906-961000-110",B:AZ,column(ae1),0)*e565</f>
        <v>0</v>
      </c>
      <c r="AG565">
        <f>vlookup("906-961000-110",B:AZ,column(af1),0)*e565</f>
        <v>0</v>
      </c>
      <c r="AH565">
        <f>vlookup("906-961000-110",B:AZ,column(ag1),0)*e565</f>
        <v>0</v>
      </c>
      <c r="AI565">
        <f>vlookup("906-961000-110",B:AZ,column(ah1),0)*e565</f>
        <v>0</v>
      </c>
      <c r="AJ565">
        <f>vlookup("906-961000-110",B:AZ,column(ai1),0)*e565</f>
        <v>0</v>
      </c>
      <c r="AK565">
        <f>vlookup("906-961000-110",B:AZ,column(aj1),0)*e565</f>
        <v>0</v>
      </c>
      <c r="AL565">
        <f>vlookup("906-961000-110",B:AZ,column(ak1),0)*e565</f>
        <v>0</v>
      </c>
      <c r="AM565">
        <f>vlookup("906-961000-110",B:AZ,column(al1),0)*e565</f>
        <v>0</v>
      </c>
      <c r="AN565">
        <f>vlookup("906-961000-110",B:AZ,column(am1),0)*e565</f>
        <v>0</v>
      </c>
      <c r="AO565">
        <f>vlookup("906-961000-110",B:AZ,column(an1),0)*e565</f>
        <v>0</v>
      </c>
    </row>
    <row r="566" spans="1:41">
      <c r="A566" t="s">
        <v>22</v>
      </c>
      <c r="B566" t="s">
        <v>598</v>
      </c>
      <c r="C566" t="s">
        <v>599</v>
      </c>
      <c r="E566">
        <v>1</v>
      </c>
      <c r="F566" t="s">
        <v>13</v>
      </c>
      <c r="I566" t="s">
        <v>15</v>
      </c>
      <c r="J566">
        <f>vlookup("906-961000-110",B:AZ,column(i1),0)*e566</f>
        <v>0</v>
      </c>
      <c r="K566">
        <f>vlookup("906-961000-110",B:AZ,column(j1),0)*e566</f>
        <v>0</v>
      </c>
      <c r="L566">
        <f>vlookup("906-961000-110",B:AZ,column(k1),0)*e566</f>
        <v>0</v>
      </c>
      <c r="M566">
        <f>vlookup("906-961000-110",B:AZ,column(l1),0)*e566</f>
        <v>0</v>
      </c>
      <c r="N566">
        <f>vlookup("906-961000-110",B:AZ,column(m1),0)*e566</f>
        <v>0</v>
      </c>
      <c r="O566">
        <f>vlookup("906-961000-110",B:AZ,column(n1),0)*e566</f>
        <v>0</v>
      </c>
      <c r="P566">
        <f>vlookup("906-961000-110",B:AZ,column(o1),0)*e566</f>
        <v>0</v>
      </c>
      <c r="Q566">
        <f>vlookup("906-961000-110",B:AZ,column(p1),0)*e566</f>
        <v>0</v>
      </c>
      <c r="R566">
        <f>vlookup("906-961000-110",B:AZ,column(q1),0)*e566</f>
        <v>0</v>
      </c>
      <c r="S566">
        <f>vlookup("906-961000-110",B:AZ,column(r1),0)*e566</f>
        <v>0</v>
      </c>
      <c r="T566">
        <f>vlookup("906-961000-110",B:AZ,column(s1),0)*e566</f>
        <v>0</v>
      </c>
      <c r="U566">
        <f>vlookup("906-961000-110",B:AZ,column(t1),0)*e566</f>
        <v>0</v>
      </c>
      <c r="V566">
        <f>vlookup("906-961000-110",B:AZ,column(u1),0)*e566</f>
        <v>0</v>
      </c>
      <c r="W566">
        <f>vlookup("906-961000-110",B:AZ,column(v1),0)*e566</f>
        <v>0</v>
      </c>
      <c r="X566">
        <f>vlookup("906-961000-110",B:AZ,column(w1),0)*e566</f>
        <v>0</v>
      </c>
      <c r="Y566">
        <f>vlookup("906-961000-110",B:AZ,column(x1),0)*e566</f>
        <v>0</v>
      </c>
      <c r="Z566">
        <f>vlookup("906-961000-110",B:AZ,column(y1),0)*e566</f>
        <v>0</v>
      </c>
      <c r="AA566">
        <f>vlookup("906-961000-110",B:AZ,column(z1),0)*e566</f>
        <v>0</v>
      </c>
      <c r="AB566">
        <f>vlookup("906-961000-110",B:AZ,column(aa1),0)*e566</f>
        <v>0</v>
      </c>
      <c r="AC566">
        <f>vlookup("906-961000-110",B:AZ,column(ab1),0)*e566</f>
        <v>0</v>
      </c>
      <c r="AD566">
        <f>vlookup("906-961000-110",B:AZ,column(ac1),0)*e566</f>
        <v>0</v>
      </c>
      <c r="AE566">
        <f>vlookup("906-961000-110",B:AZ,column(ad1),0)*e566</f>
        <v>0</v>
      </c>
      <c r="AF566">
        <f>vlookup("906-961000-110",B:AZ,column(ae1),0)*e566</f>
        <v>0</v>
      </c>
      <c r="AG566">
        <f>vlookup("906-961000-110",B:AZ,column(af1),0)*e566</f>
        <v>0</v>
      </c>
      <c r="AH566">
        <f>vlookup("906-961000-110",B:AZ,column(ag1),0)*e566</f>
        <v>0</v>
      </c>
      <c r="AI566">
        <f>vlookup("906-961000-110",B:AZ,column(ah1),0)*e566</f>
        <v>0</v>
      </c>
      <c r="AJ566">
        <f>vlookup("906-961000-110",B:AZ,column(ai1),0)*e566</f>
        <v>0</v>
      </c>
      <c r="AK566">
        <f>vlookup("906-961000-110",B:AZ,column(aj1),0)*e566</f>
        <v>0</v>
      </c>
      <c r="AL566">
        <f>vlookup("906-961000-110",B:AZ,column(ak1),0)*e566</f>
        <v>0</v>
      </c>
      <c r="AM566">
        <f>vlookup("906-961000-110",B:AZ,column(al1),0)*e566</f>
        <v>0</v>
      </c>
      <c r="AN566">
        <f>vlookup("906-961000-110",B:AZ,column(am1),0)*e566</f>
        <v>0</v>
      </c>
      <c r="AO566">
        <f>vlookup("906-961000-110",B:AZ,column(an1),0)*e566</f>
        <v>0</v>
      </c>
    </row>
    <row r="567" spans="1:41">
      <c r="A567" t="s">
        <v>10</v>
      </c>
      <c r="B567" t="s">
        <v>600</v>
      </c>
      <c r="C567" t="s">
        <v>601</v>
      </c>
      <c r="E567">
        <v>1</v>
      </c>
      <c r="F567" t="s">
        <v>13</v>
      </c>
      <c r="I567" t="s">
        <v>14</v>
      </c>
      <c r="AO567">
        <f>sum(j567:an567)</f>
        <v>0</v>
      </c>
    </row>
    <row r="568" spans="1:41">
      <c r="I568" t="s">
        <v>15</v>
      </c>
      <c r="J568">
        <f>vlookup("906-424348-110",Out!B:AZ,column(i1),0)</f>
        <v>0</v>
      </c>
      <c r="K568">
        <f>vlookup("906-424348-110",Out!B:AZ,column(j1),0)</f>
        <v>0</v>
      </c>
      <c r="L568">
        <f>vlookup("906-424348-110",Out!B:AZ,column(k1),0)</f>
        <v>0</v>
      </c>
      <c r="M568">
        <f>vlookup("906-424348-110",Out!B:AZ,column(l1),0)</f>
        <v>0</v>
      </c>
      <c r="N568">
        <f>vlookup("906-424348-110",Out!B:AZ,column(m1),0)</f>
        <v>0</v>
      </c>
      <c r="O568">
        <f>vlookup("906-424348-110",Out!B:AZ,column(n1),0)</f>
        <v>0</v>
      </c>
      <c r="P568">
        <f>vlookup("906-424348-110",Out!B:AZ,column(o1),0)</f>
        <v>0</v>
      </c>
      <c r="Q568">
        <f>vlookup("906-424348-110",Out!B:AZ,column(p1),0)</f>
        <v>0</v>
      </c>
      <c r="R568">
        <f>vlookup("906-424348-110",Out!B:AZ,column(q1),0)</f>
        <v>0</v>
      </c>
      <c r="S568">
        <f>vlookup("906-424348-110",Out!B:AZ,column(r1),0)</f>
        <v>0</v>
      </c>
      <c r="T568">
        <f>vlookup("906-424348-110",Out!B:AZ,column(s1),0)</f>
        <v>0</v>
      </c>
      <c r="U568">
        <f>vlookup("906-424348-110",Out!B:AZ,column(t1),0)</f>
        <v>0</v>
      </c>
      <c r="V568">
        <f>vlookup("906-424348-110",Out!B:AZ,column(u1),0)</f>
        <v>0</v>
      </c>
      <c r="W568">
        <f>vlookup("906-424348-110",Out!B:AZ,column(v1),0)</f>
        <v>0</v>
      </c>
      <c r="X568">
        <f>vlookup("906-424348-110",Out!B:AZ,column(w1),0)</f>
        <v>0</v>
      </c>
      <c r="Y568">
        <f>vlookup("906-424348-110",Out!B:AZ,column(x1),0)</f>
        <v>0</v>
      </c>
      <c r="Z568">
        <f>vlookup("906-424348-110",Out!B:AZ,column(y1),0)</f>
        <v>0</v>
      </c>
      <c r="AA568">
        <f>vlookup("906-424348-110",Out!B:AZ,column(z1),0)</f>
        <v>0</v>
      </c>
      <c r="AB568">
        <f>vlookup("906-424348-110",Out!B:AZ,column(aa1),0)</f>
        <v>0</v>
      </c>
      <c r="AC568">
        <f>vlookup("906-424348-110",Out!B:AZ,column(ab1),0)</f>
        <v>0</v>
      </c>
      <c r="AD568">
        <f>vlookup("906-424348-110",Out!B:AZ,column(ac1),0)</f>
        <v>0</v>
      </c>
      <c r="AE568">
        <f>vlookup("906-424348-110",Out!B:AZ,column(ad1),0)</f>
        <v>0</v>
      </c>
      <c r="AF568">
        <f>vlookup("906-424348-110",Out!B:AZ,column(ae1),0)</f>
        <v>0</v>
      </c>
      <c r="AG568">
        <f>vlookup("906-424348-110",Out!B:AZ,column(af1),0)</f>
        <v>0</v>
      </c>
      <c r="AH568">
        <f>vlookup("906-424348-110",Out!B:AZ,column(ag1),0)</f>
        <v>0</v>
      </c>
      <c r="AI568">
        <f>vlookup("906-424348-110",Out!B:AZ,column(ah1),0)</f>
        <v>0</v>
      </c>
      <c r="AJ568">
        <f>vlookup("906-424348-110",Out!B:AZ,column(ai1),0)</f>
        <v>0</v>
      </c>
      <c r="AK568">
        <f>vlookup("906-424348-110",Out!B:AZ,column(aj1),0)</f>
        <v>0</v>
      </c>
      <c r="AL568">
        <f>vlookup("906-424348-110",Out!B:AZ,column(ak1),0)</f>
        <v>0</v>
      </c>
      <c r="AM568">
        <f>vlookup("906-424348-110",Out!B:AZ,column(al1),0)</f>
        <v>0</v>
      </c>
      <c r="AN568">
        <f>vlookup("906-424348-110",Out!B:AZ,column(am1),0)</f>
        <v>0</v>
      </c>
      <c r="AO568">
        <f>vlookup("906-424348-110",Out!B:AZ,column(an1),0)</f>
        <v>0</v>
      </c>
    </row>
    <row r="569" spans="1:41">
      <c r="H569" t="s">
        <v>16</v>
      </c>
      <c r="J569">
        <f>indirect(address(569,9))+indirect(address(567,10))-indirect(address(568,10))</f>
        <v>0</v>
      </c>
      <c r="K569">
        <f>indirect(address(569,10))+indirect(address(567,11))-indirect(address(568,11))</f>
        <v>0</v>
      </c>
      <c r="L569">
        <f>indirect(address(569,11))+indirect(address(567,12))-indirect(address(568,12))</f>
        <v>0</v>
      </c>
      <c r="M569">
        <f>indirect(address(569,12))+indirect(address(567,13))-indirect(address(568,13))</f>
        <v>0</v>
      </c>
      <c r="N569">
        <f>indirect(address(569,13))+indirect(address(567,14))-indirect(address(568,14))</f>
        <v>0</v>
      </c>
      <c r="O569">
        <f>indirect(address(569,14))+indirect(address(567,15))-indirect(address(568,15))</f>
        <v>0</v>
      </c>
      <c r="P569">
        <f>indirect(address(569,15))+indirect(address(567,16))-indirect(address(568,16))</f>
        <v>0</v>
      </c>
      <c r="Q569">
        <f>indirect(address(569,16))+indirect(address(567,17))-indirect(address(568,17))</f>
        <v>0</v>
      </c>
      <c r="R569">
        <f>indirect(address(569,17))+indirect(address(567,18))-indirect(address(568,18))</f>
        <v>0</v>
      </c>
      <c r="S569">
        <f>indirect(address(569,18))+indirect(address(567,19))-indirect(address(568,19))</f>
        <v>0</v>
      </c>
      <c r="T569">
        <f>indirect(address(569,19))+indirect(address(567,20))-indirect(address(568,20))</f>
        <v>0</v>
      </c>
      <c r="U569">
        <f>indirect(address(569,20))+indirect(address(567,21))-indirect(address(568,21))</f>
        <v>0</v>
      </c>
      <c r="V569">
        <f>indirect(address(569,21))+indirect(address(567,22))-indirect(address(568,22))</f>
        <v>0</v>
      </c>
      <c r="W569">
        <f>indirect(address(569,22))+indirect(address(567,23))-indirect(address(568,23))</f>
        <v>0</v>
      </c>
      <c r="X569">
        <f>indirect(address(569,23))+indirect(address(567,24))-indirect(address(568,24))</f>
        <v>0</v>
      </c>
      <c r="Y569">
        <f>indirect(address(569,24))+indirect(address(567,25))-indirect(address(568,25))</f>
        <v>0</v>
      </c>
      <c r="Z569">
        <f>indirect(address(569,25))+indirect(address(567,26))-indirect(address(568,26))</f>
        <v>0</v>
      </c>
      <c r="AA569">
        <f>indirect(address(569,26))+indirect(address(567,27))-indirect(address(568,27))</f>
        <v>0</v>
      </c>
      <c r="AB569">
        <f>indirect(address(569,27))+indirect(address(567,28))-indirect(address(568,28))</f>
        <v>0</v>
      </c>
      <c r="AC569">
        <f>indirect(address(569,28))+indirect(address(567,29))-indirect(address(568,29))</f>
        <v>0</v>
      </c>
      <c r="AD569">
        <f>indirect(address(569,29))+indirect(address(567,30))-indirect(address(568,30))</f>
        <v>0</v>
      </c>
      <c r="AE569">
        <f>indirect(address(569,30))+indirect(address(567,31))-indirect(address(568,31))</f>
        <v>0</v>
      </c>
      <c r="AF569">
        <f>indirect(address(569,31))+indirect(address(567,32))-indirect(address(568,32))</f>
        <v>0</v>
      </c>
      <c r="AG569">
        <f>indirect(address(569,32))+indirect(address(567,33))-indirect(address(568,33))</f>
        <v>0</v>
      </c>
      <c r="AH569">
        <f>indirect(address(569,33))+indirect(address(567,34))-indirect(address(568,34))</f>
        <v>0</v>
      </c>
      <c r="AI569">
        <f>indirect(address(569,34))+indirect(address(567,35))-indirect(address(568,35))</f>
        <v>0</v>
      </c>
      <c r="AJ569">
        <f>indirect(address(569,35))+indirect(address(567,36))-indirect(address(568,36))</f>
        <v>0</v>
      </c>
      <c r="AK569">
        <f>indirect(address(569,36))+indirect(address(567,37))-indirect(address(568,37))</f>
        <v>0</v>
      </c>
      <c r="AL569">
        <f>indirect(address(569,37))+indirect(address(567,38))-indirect(address(568,38))</f>
        <v>0</v>
      </c>
      <c r="AM569">
        <f>indirect(address(569,38))+indirect(address(567,39))-indirect(address(568,39))</f>
        <v>0</v>
      </c>
      <c r="AN569">
        <f>indirect(address(569,39))+indirect(address(567,40))-indirect(address(568,40))</f>
        <v>0</v>
      </c>
      <c r="AO569">
        <f>indirect(address(569,40))</f>
        <v>0</v>
      </c>
    </row>
    <row r="570" spans="1:41">
      <c r="A570" t="s">
        <v>17</v>
      </c>
      <c r="B570" t="s">
        <v>602</v>
      </c>
      <c r="C570" t="s">
        <v>505</v>
      </c>
      <c r="E570">
        <v>1</v>
      </c>
      <c r="F570" t="s">
        <v>13</v>
      </c>
      <c r="I570" t="s">
        <v>15</v>
      </c>
      <c r="J570">
        <f>vlookup("906-424348-110",B:AZ,column(i1),0)*e570</f>
        <v>0</v>
      </c>
      <c r="K570">
        <f>vlookup("906-424348-110",B:AZ,column(j1),0)*e570</f>
        <v>0</v>
      </c>
      <c r="L570">
        <f>vlookup("906-424348-110",B:AZ,column(k1),0)*e570</f>
        <v>0</v>
      </c>
      <c r="M570">
        <f>vlookup("906-424348-110",B:AZ,column(l1),0)*e570</f>
        <v>0</v>
      </c>
      <c r="N570">
        <f>vlookup("906-424348-110",B:AZ,column(m1),0)*e570</f>
        <v>0</v>
      </c>
      <c r="O570">
        <f>vlookup("906-424348-110",B:AZ,column(n1),0)*e570</f>
        <v>0</v>
      </c>
      <c r="P570">
        <f>vlookup("906-424348-110",B:AZ,column(o1),0)*e570</f>
        <v>0</v>
      </c>
      <c r="Q570">
        <f>vlookup("906-424348-110",B:AZ,column(p1),0)*e570</f>
        <v>0</v>
      </c>
      <c r="R570">
        <f>vlookup("906-424348-110",B:AZ,column(q1),0)*e570</f>
        <v>0</v>
      </c>
      <c r="S570">
        <f>vlookup("906-424348-110",B:AZ,column(r1),0)*e570</f>
        <v>0</v>
      </c>
      <c r="T570">
        <f>vlookup("906-424348-110",B:AZ,column(s1),0)*e570</f>
        <v>0</v>
      </c>
      <c r="U570">
        <f>vlookup("906-424348-110",B:AZ,column(t1),0)*e570</f>
        <v>0</v>
      </c>
      <c r="V570">
        <f>vlookup("906-424348-110",B:AZ,column(u1),0)*e570</f>
        <v>0</v>
      </c>
      <c r="W570">
        <f>vlookup("906-424348-110",B:AZ,column(v1),0)*e570</f>
        <v>0</v>
      </c>
      <c r="X570">
        <f>vlookup("906-424348-110",B:AZ,column(w1),0)*e570</f>
        <v>0</v>
      </c>
      <c r="Y570">
        <f>vlookup("906-424348-110",B:AZ,column(x1),0)*e570</f>
        <v>0</v>
      </c>
      <c r="Z570">
        <f>vlookup("906-424348-110",B:AZ,column(y1),0)*e570</f>
        <v>0</v>
      </c>
      <c r="AA570">
        <f>vlookup("906-424348-110",B:AZ,column(z1),0)*e570</f>
        <v>0</v>
      </c>
      <c r="AB570">
        <f>vlookup("906-424348-110",B:AZ,column(aa1),0)*e570</f>
        <v>0</v>
      </c>
      <c r="AC570">
        <f>vlookup("906-424348-110",B:AZ,column(ab1),0)*e570</f>
        <v>0</v>
      </c>
      <c r="AD570">
        <f>vlookup("906-424348-110",B:AZ,column(ac1),0)*e570</f>
        <v>0</v>
      </c>
      <c r="AE570">
        <f>vlookup("906-424348-110",B:AZ,column(ad1),0)*e570</f>
        <v>0</v>
      </c>
      <c r="AF570">
        <f>vlookup("906-424348-110",B:AZ,column(ae1),0)*e570</f>
        <v>0</v>
      </c>
      <c r="AG570">
        <f>vlookup("906-424348-110",B:AZ,column(af1),0)*e570</f>
        <v>0</v>
      </c>
      <c r="AH570">
        <f>vlookup("906-424348-110",B:AZ,column(ag1),0)*e570</f>
        <v>0</v>
      </c>
      <c r="AI570">
        <f>vlookup("906-424348-110",B:AZ,column(ah1),0)*e570</f>
        <v>0</v>
      </c>
      <c r="AJ570">
        <f>vlookup("906-424348-110",B:AZ,column(ai1),0)*e570</f>
        <v>0</v>
      </c>
      <c r="AK570">
        <f>vlookup("906-424348-110",B:AZ,column(aj1),0)*e570</f>
        <v>0</v>
      </c>
      <c r="AL570">
        <f>vlookup("906-424348-110",B:AZ,column(ak1),0)*e570</f>
        <v>0</v>
      </c>
      <c r="AM570">
        <f>vlookup("906-424348-110",B:AZ,column(al1),0)*e570</f>
        <v>0</v>
      </c>
      <c r="AN570">
        <f>vlookup("906-424348-110",B:AZ,column(am1),0)*e570</f>
        <v>0</v>
      </c>
      <c r="AO570">
        <f>vlookup("906-424348-110",B:AZ,column(an1),0)*e570</f>
        <v>0</v>
      </c>
    </row>
    <row r="571" spans="1:41">
      <c r="A571" t="s">
        <v>17</v>
      </c>
      <c r="B571" t="s">
        <v>603</v>
      </c>
      <c r="C571" t="s">
        <v>604</v>
      </c>
      <c r="E571">
        <v>1</v>
      </c>
      <c r="F571" t="s">
        <v>13</v>
      </c>
      <c r="I571" t="s">
        <v>15</v>
      </c>
      <c r="J571">
        <f>vlookup("906-424348-110",B:AZ,column(i1),0)*e571</f>
        <v>0</v>
      </c>
      <c r="K571">
        <f>vlookup("906-424348-110",B:AZ,column(j1),0)*e571</f>
        <v>0</v>
      </c>
      <c r="L571">
        <f>vlookup("906-424348-110",B:AZ,column(k1),0)*e571</f>
        <v>0</v>
      </c>
      <c r="M571">
        <f>vlookup("906-424348-110",B:AZ,column(l1),0)*e571</f>
        <v>0</v>
      </c>
      <c r="N571">
        <f>vlookup("906-424348-110",B:AZ,column(m1),0)*e571</f>
        <v>0</v>
      </c>
      <c r="O571">
        <f>vlookup("906-424348-110",B:AZ,column(n1),0)*e571</f>
        <v>0</v>
      </c>
      <c r="P571">
        <f>vlookup("906-424348-110",B:AZ,column(o1),0)*e571</f>
        <v>0</v>
      </c>
      <c r="Q571">
        <f>vlookup("906-424348-110",B:AZ,column(p1),0)*e571</f>
        <v>0</v>
      </c>
      <c r="R571">
        <f>vlookup("906-424348-110",B:AZ,column(q1),0)*e571</f>
        <v>0</v>
      </c>
      <c r="S571">
        <f>vlookup("906-424348-110",B:AZ,column(r1),0)*e571</f>
        <v>0</v>
      </c>
      <c r="T571">
        <f>vlookup("906-424348-110",B:AZ,column(s1),0)*e571</f>
        <v>0</v>
      </c>
      <c r="U571">
        <f>vlookup("906-424348-110",B:AZ,column(t1),0)*e571</f>
        <v>0</v>
      </c>
      <c r="V571">
        <f>vlookup("906-424348-110",B:AZ,column(u1),0)*e571</f>
        <v>0</v>
      </c>
      <c r="W571">
        <f>vlookup("906-424348-110",B:AZ,column(v1),0)*e571</f>
        <v>0</v>
      </c>
      <c r="X571">
        <f>vlookup("906-424348-110",B:AZ,column(w1),0)*e571</f>
        <v>0</v>
      </c>
      <c r="Y571">
        <f>vlookup("906-424348-110",B:AZ,column(x1),0)*e571</f>
        <v>0</v>
      </c>
      <c r="Z571">
        <f>vlookup("906-424348-110",B:AZ,column(y1),0)*e571</f>
        <v>0</v>
      </c>
      <c r="AA571">
        <f>vlookup("906-424348-110",B:AZ,column(z1),0)*e571</f>
        <v>0</v>
      </c>
      <c r="AB571">
        <f>vlookup("906-424348-110",B:AZ,column(aa1),0)*e571</f>
        <v>0</v>
      </c>
      <c r="AC571">
        <f>vlookup("906-424348-110",B:AZ,column(ab1),0)*e571</f>
        <v>0</v>
      </c>
      <c r="AD571">
        <f>vlookup("906-424348-110",B:AZ,column(ac1),0)*e571</f>
        <v>0</v>
      </c>
      <c r="AE571">
        <f>vlookup("906-424348-110",B:AZ,column(ad1),0)*e571</f>
        <v>0</v>
      </c>
      <c r="AF571">
        <f>vlookup("906-424348-110",B:AZ,column(ae1),0)*e571</f>
        <v>0</v>
      </c>
      <c r="AG571">
        <f>vlookup("906-424348-110",B:AZ,column(af1),0)*e571</f>
        <v>0</v>
      </c>
      <c r="AH571">
        <f>vlookup("906-424348-110",B:AZ,column(ag1),0)*e571</f>
        <v>0</v>
      </c>
      <c r="AI571">
        <f>vlookup("906-424348-110",B:AZ,column(ah1),0)*e571</f>
        <v>0</v>
      </c>
      <c r="AJ571">
        <f>vlookup("906-424348-110",B:AZ,column(ai1),0)*e571</f>
        <v>0</v>
      </c>
      <c r="AK571">
        <f>vlookup("906-424348-110",B:AZ,column(aj1),0)*e571</f>
        <v>0</v>
      </c>
      <c r="AL571">
        <f>vlookup("906-424348-110",B:AZ,column(ak1),0)*e571</f>
        <v>0</v>
      </c>
      <c r="AM571">
        <f>vlookup("906-424348-110",B:AZ,column(al1),0)*e571</f>
        <v>0</v>
      </c>
      <c r="AN571">
        <f>vlookup("906-424348-110",B:AZ,column(am1),0)*e571</f>
        <v>0</v>
      </c>
      <c r="AO571">
        <f>vlookup("906-424348-110",B:AZ,column(an1),0)*e571</f>
        <v>0</v>
      </c>
    </row>
    <row r="572" spans="1:41">
      <c r="A572" t="s">
        <v>22</v>
      </c>
      <c r="B572" t="s">
        <v>512</v>
      </c>
      <c r="C572" t="s">
        <v>513</v>
      </c>
      <c r="E572">
        <v>1</v>
      </c>
      <c r="F572" t="s">
        <v>13</v>
      </c>
      <c r="I572" t="s">
        <v>15</v>
      </c>
      <c r="J572">
        <f>vlookup("906-424348-110",B:AZ,column(i1),0)*e572</f>
        <v>0</v>
      </c>
      <c r="K572">
        <f>vlookup("906-424348-110",B:AZ,column(j1),0)*e572</f>
        <v>0</v>
      </c>
      <c r="L572">
        <f>vlookup("906-424348-110",B:AZ,column(k1),0)*e572</f>
        <v>0</v>
      </c>
      <c r="M572">
        <f>vlookup("906-424348-110",B:AZ,column(l1),0)*e572</f>
        <v>0</v>
      </c>
      <c r="N572">
        <f>vlookup("906-424348-110",B:AZ,column(m1),0)*e572</f>
        <v>0</v>
      </c>
      <c r="O572">
        <f>vlookup("906-424348-110",B:AZ,column(n1),0)*e572</f>
        <v>0</v>
      </c>
      <c r="P572">
        <f>vlookup("906-424348-110",B:AZ,column(o1),0)*e572</f>
        <v>0</v>
      </c>
      <c r="Q572">
        <f>vlookup("906-424348-110",B:AZ,column(p1),0)*e572</f>
        <v>0</v>
      </c>
      <c r="R572">
        <f>vlookup("906-424348-110",B:AZ,column(q1),0)*e572</f>
        <v>0</v>
      </c>
      <c r="S572">
        <f>vlookup("906-424348-110",B:AZ,column(r1),0)*e572</f>
        <v>0</v>
      </c>
      <c r="T572">
        <f>vlookup("906-424348-110",B:AZ,column(s1),0)*e572</f>
        <v>0</v>
      </c>
      <c r="U572">
        <f>vlookup("906-424348-110",B:AZ,column(t1),0)*e572</f>
        <v>0</v>
      </c>
      <c r="V572">
        <f>vlookup("906-424348-110",B:AZ,column(u1),0)*e572</f>
        <v>0</v>
      </c>
      <c r="W572">
        <f>vlookup("906-424348-110",B:AZ,column(v1),0)*e572</f>
        <v>0</v>
      </c>
      <c r="X572">
        <f>vlookup("906-424348-110",B:AZ,column(w1),0)*e572</f>
        <v>0</v>
      </c>
      <c r="Y572">
        <f>vlookup("906-424348-110",B:AZ,column(x1),0)*e572</f>
        <v>0</v>
      </c>
      <c r="Z572">
        <f>vlookup("906-424348-110",B:AZ,column(y1),0)*e572</f>
        <v>0</v>
      </c>
      <c r="AA572">
        <f>vlookup("906-424348-110",B:AZ,column(z1),0)*e572</f>
        <v>0</v>
      </c>
      <c r="AB572">
        <f>vlookup("906-424348-110",B:AZ,column(aa1),0)*e572</f>
        <v>0</v>
      </c>
      <c r="AC572">
        <f>vlookup("906-424348-110",B:AZ,column(ab1),0)*e572</f>
        <v>0</v>
      </c>
      <c r="AD572">
        <f>vlookup("906-424348-110",B:AZ,column(ac1),0)*e572</f>
        <v>0</v>
      </c>
      <c r="AE572">
        <f>vlookup("906-424348-110",B:AZ,column(ad1),0)*e572</f>
        <v>0</v>
      </c>
      <c r="AF572">
        <f>vlookup("906-424348-110",B:AZ,column(ae1),0)*e572</f>
        <v>0</v>
      </c>
      <c r="AG572">
        <f>vlookup("906-424348-110",B:AZ,column(af1),0)*e572</f>
        <v>0</v>
      </c>
      <c r="AH572">
        <f>vlookup("906-424348-110",B:AZ,column(ag1),0)*e572</f>
        <v>0</v>
      </c>
      <c r="AI572">
        <f>vlookup("906-424348-110",B:AZ,column(ah1),0)*e572</f>
        <v>0</v>
      </c>
      <c r="AJ572">
        <f>vlookup("906-424348-110",B:AZ,column(ai1),0)*e572</f>
        <v>0</v>
      </c>
      <c r="AK572">
        <f>vlookup("906-424348-110",B:AZ,column(aj1),0)*e572</f>
        <v>0</v>
      </c>
      <c r="AL572">
        <f>vlookup("906-424348-110",B:AZ,column(ak1),0)*e572</f>
        <v>0</v>
      </c>
      <c r="AM572">
        <f>vlookup("906-424348-110",B:AZ,column(al1),0)*e572</f>
        <v>0</v>
      </c>
      <c r="AN572">
        <f>vlookup("906-424348-110",B:AZ,column(am1),0)*e572</f>
        <v>0</v>
      </c>
      <c r="AO572">
        <f>vlookup("906-424348-110",B:AZ,column(an1),0)*e572</f>
        <v>0</v>
      </c>
    </row>
    <row r="573" spans="1:41">
      <c r="A573" t="s">
        <v>22</v>
      </c>
      <c r="B573" t="s">
        <v>605</v>
      </c>
      <c r="C573" t="s">
        <v>606</v>
      </c>
      <c r="E573">
        <v>1</v>
      </c>
      <c r="F573" t="s">
        <v>13</v>
      </c>
      <c r="I573" t="s">
        <v>15</v>
      </c>
      <c r="J573">
        <f>vlookup("906-424348-110",B:AZ,column(i1),0)*e573</f>
        <v>0</v>
      </c>
      <c r="K573">
        <f>vlookup("906-424348-110",B:AZ,column(j1),0)*e573</f>
        <v>0</v>
      </c>
      <c r="L573">
        <f>vlookup("906-424348-110",B:AZ,column(k1),0)*e573</f>
        <v>0</v>
      </c>
      <c r="M573">
        <f>vlookup("906-424348-110",B:AZ,column(l1),0)*e573</f>
        <v>0</v>
      </c>
      <c r="N573">
        <f>vlookup("906-424348-110",B:AZ,column(m1),0)*e573</f>
        <v>0</v>
      </c>
      <c r="O573">
        <f>vlookup("906-424348-110",B:AZ,column(n1),0)*e573</f>
        <v>0</v>
      </c>
      <c r="P573">
        <f>vlookup("906-424348-110",B:AZ,column(o1),0)*e573</f>
        <v>0</v>
      </c>
      <c r="Q573">
        <f>vlookup("906-424348-110",B:AZ,column(p1),0)*e573</f>
        <v>0</v>
      </c>
      <c r="R573">
        <f>vlookup("906-424348-110",B:AZ,column(q1),0)*e573</f>
        <v>0</v>
      </c>
      <c r="S573">
        <f>vlookup("906-424348-110",B:AZ,column(r1),0)*e573</f>
        <v>0</v>
      </c>
      <c r="T573">
        <f>vlookup("906-424348-110",B:AZ,column(s1),0)*e573</f>
        <v>0</v>
      </c>
      <c r="U573">
        <f>vlookup("906-424348-110",B:AZ,column(t1),0)*e573</f>
        <v>0</v>
      </c>
      <c r="V573">
        <f>vlookup("906-424348-110",B:AZ,column(u1),0)*e573</f>
        <v>0</v>
      </c>
      <c r="W573">
        <f>vlookup("906-424348-110",B:AZ,column(v1),0)*e573</f>
        <v>0</v>
      </c>
      <c r="X573">
        <f>vlookup("906-424348-110",B:AZ,column(w1),0)*e573</f>
        <v>0</v>
      </c>
      <c r="Y573">
        <f>vlookup("906-424348-110",B:AZ,column(x1),0)*e573</f>
        <v>0</v>
      </c>
      <c r="Z573">
        <f>vlookup("906-424348-110",B:AZ,column(y1),0)*e573</f>
        <v>0</v>
      </c>
      <c r="AA573">
        <f>vlookup("906-424348-110",B:AZ,column(z1),0)*e573</f>
        <v>0</v>
      </c>
      <c r="AB573">
        <f>vlookup("906-424348-110",B:AZ,column(aa1),0)*e573</f>
        <v>0</v>
      </c>
      <c r="AC573">
        <f>vlookup("906-424348-110",B:AZ,column(ab1),0)*e573</f>
        <v>0</v>
      </c>
      <c r="AD573">
        <f>vlookup("906-424348-110",B:AZ,column(ac1),0)*e573</f>
        <v>0</v>
      </c>
      <c r="AE573">
        <f>vlookup("906-424348-110",B:AZ,column(ad1),0)*e573</f>
        <v>0</v>
      </c>
      <c r="AF573">
        <f>vlookup("906-424348-110",B:AZ,column(ae1),0)*e573</f>
        <v>0</v>
      </c>
      <c r="AG573">
        <f>vlookup("906-424348-110",B:AZ,column(af1),0)*e573</f>
        <v>0</v>
      </c>
      <c r="AH573">
        <f>vlookup("906-424348-110",B:AZ,column(ag1),0)*e573</f>
        <v>0</v>
      </c>
      <c r="AI573">
        <f>vlookup("906-424348-110",B:AZ,column(ah1),0)*e573</f>
        <v>0</v>
      </c>
      <c r="AJ573">
        <f>vlookup("906-424348-110",B:AZ,column(ai1),0)*e573</f>
        <v>0</v>
      </c>
      <c r="AK573">
        <f>vlookup("906-424348-110",B:AZ,column(aj1),0)*e573</f>
        <v>0</v>
      </c>
      <c r="AL573">
        <f>vlookup("906-424348-110",B:AZ,column(ak1),0)*e573</f>
        <v>0</v>
      </c>
      <c r="AM573">
        <f>vlookup("906-424348-110",B:AZ,column(al1),0)*e573</f>
        <v>0</v>
      </c>
      <c r="AN573">
        <f>vlookup("906-424348-110",B:AZ,column(am1),0)*e573</f>
        <v>0</v>
      </c>
      <c r="AO573">
        <f>vlookup("906-424348-110",B:AZ,column(an1),0)*e573</f>
        <v>0</v>
      </c>
    </row>
    <row r="574" spans="1:41">
      <c r="A574" t="s">
        <v>22</v>
      </c>
      <c r="B574" t="s">
        <v>508</v>
      </c>
      <c r="C574" t="s">
        <v>509</v>
      </c>
      <c r="E574">
        <v>2</v>
      </c>
      <c r="F574" t="s">
        <v>13</v>
      </c>
      <c r="I574" t="s">
        <v>15</v>
      </c>
      <c r="J574">
        <f>vlookup("906-424348-110",B:AZ,column(i1),0)*e574</f>
        <v>0</v>
      </c>
      <c r="K574">
        <f>vlookup("906-424348-110",B:AZ,column(j1),0)*e574</f>
        <v>0</v>
      </c>
      <c r="L574">
        <f>vlookup("906-424348-110",B:AZ,column(k1),0)*e574</f>
        <v>0</v>
      </c>
      <c r="M574">
        <f>vlookup("906-424348-110",B:AZ,column(l1),0)*e574</f>
        <v>0</v>
      </c>
      <c r="N574">
        <f>vlookup("906-424348-110",B:AZ,column(m1),0)*e574</f>
        <v>0</v>
      </c>
      <c r="O574">
        <f>vlookup("906-424348-110",B:AZ,column(n1),0)*e574</f>
        <v>0</v>
      </c>
      <c r="P574">
        <f>vlookup("906-424348-110",B:AZ,column(o1),0)*e574</f>
        <v>0</v>
      </c>
      <c r="Q574">
        <f>vlookup("906-424348-110",B:AZ,column(p1),0)*e574</f>
        <v>0</v>
      </c>
      <c r="R574">
        <f>vlookup("906-424348-110",B:AZ,column(q1),0)*e574</f>
        <v>0</v>
      </c>
      <c r="S574">
        <f>vlookup("906-424348-110",B:AZ,column(r1),0)*e574</f>
        <v>0</v>
      </c>
      <c r="T574">
        <f>vlookup("906-424348-110",B:AZ,column(s1),0)*e574</f>
        <v>0</v>
      </c>
      <c r="U574">
        <f>vlookup("906-424348-110",B:AZ,column(t1),0)*e574</f>
        <v>0</v>
      </c>
      <c r="V574">
        <f>vlookup("906-424348-110",B:AZ,column(u1),0)*e574</f>
        <v>0</v>
      </c>
      <c r="W574">
        <f>vlookup("906-424348-110",B:AZ,column(v1),0)*e574</f>
        <v>0</v>
      </c>
      <c r="X574">
        <f>vlookup("906-424348-110",B:AZ,column(w1),0)*e574</f>
        <v>0</v>
      </c>
      <c r="Y574">
        <f>vlookup("906-424348-110",B:AZ,column(x1),0)*e574</f>
        <v>0</v>
      </c>
      <c r="Z574">
        <f>vlookup("906-424348-110",B:AZ,column(y1),0)*e574</f>
        <v>0</v>
      </c>
      <c r="AA574">
        <f>vlookup("906-424348-110",B:AZ,column(z1),0)*e574</f>
        <v>0</v>
      </c>
      <c r="AB574">
        <f>vlookup("906-424348-110",B:AZ,column(aa1),0)*e574</f>
        <v>0</v>
      </c>
      <c r="AC574">
        <f>vlookup("906-424348-110",B:AZ,column(ab1),0)*e574</f>
        <v>0</v>
      </c>
      <c r="AD574">
        <f>vlookup("906-424348-110",B:AZ,column(ac1),0)*e574</f>
        <v>0</v>
      </c>
      <c r="AE574">
        <f>vlookup("906-424348-110",B:AZ,column(ad1),0)*e574</f>
        <v>0</v>
      </c>
      <c r="AF574">
        <f>vlookup("906-424348-110",B:AZ,column(ae1),0)*e574</f>
        <v>0</v>
      </c>
      <c r="AG574">
        <f>vlookup("906-424348-110",B:AZ,column(af1),0)*e574</f>
        <v>0</v>
      </c>
      <c r="AH574">
        <f>vlookup("906-424348-110",B:AZ,column(ag1),0)*e574</f>
        <v>0</v>
      </c>
      <c r="AI574">
        <f>vlookup("906-424348-110",B:AZ,column(ah1),0)*e574</f>
        <v>0</v>
      </c>
      <c r="AJ574">
        <f>vlookup("906-424348-110",B:AZ,column(ai1),0)*e574</f>
        <v>0</v>
      </c>
      <c r="AK574">
        <f>vlookup("906-424348-110",B:AZ,column(aj1),0)*e574</f>
        <v>0</v>
      </c>
      <c r="AL574">
        <f>vlookup("906-424348-110",B:AZ,column(ak1),0)*e574</f>
        <v>0</v>
      </c>
      <c r="AM574">
        <f>vlookup("906-424348-110",B:AZ,column(al1),0)*e574</f>
        <v>0</v>
      </c>
      <c r="AN574">
        <f>vlookup("906-424348-110",B:AZ,column(am1),0)*e574</f>
        <v>0</v>
      </c>
      <c r="AO574">
        <f>vlookup("906-424348-110",B:AZ,column(an1),0)*e574</f>
        <v>0</v>
      </c>
    </row>
    <row r="575" spans="1:41">
      <c r="A575" t="s">
        <v>22</v>
      </c>
      <c r="B575" t="s">
        <v>607</v>
      </c>
      <c r="C575" t="s">
        <v>608</v>
      </c>
      <c r="E575">
        <v>2</v>
      </c>
      <c r="F575" t="s">
        <v>13</v>
      </c>
      <c r="I575" t="s">
        <v>15</v>
      </c>
      <c r="J575">
        <f>vlookup("906-424348-110",B:AZ,column(i1),0)*e575</f>
        <v>0</v>
      </c>
      <c r="K575">
        <f>vlookup("906-424348-110",B:AZ,column(j1),0)*e575</f>
        <v>0</v>
      </c>
      <c r="L575">
        <f>vlookup("906-424348-110",B:AZ,column(k1),0)*e575</f>
        <v>0</v>
      </c>
      <c r="M575">
        <f>vlookup("906-424348-110",B:AZ,column(l1),0)*e575</f>
        <v>0</v>
      </c>
      <c r="N575">
        <f>vlookup("906-424348-110",B:AZ,column(m1),0)*e575</f>
        <v>0</v>
      </c>
      <c r="O575">
        <f>vlookup("906-424348-110",B:AZ,column(n1),0)*e575</f>
        <v>0</v>
      </c>
      <c r="P575">
        <f>vlookup("906-424348-110",B:AZ,column(o1),0)*e575</f>
        <v>0</v>
      </c>
      <c r="Q575">
        <f>vlookup("906-424348-110",B:AZ,column(p1),0)*e575</f>
        <v>0</v>
      </c>
      <c r="R575">
        <f>vlookup("906-424348-110",B:AZ,column(q1),0)*e575</f>
        <v>0</v>
      </c>
      <c r="S575">
        <f>vlookup("906-424348-110",B:AZ,column(r1),0)*e575</f>
        <v>0</v>
      </c>
      <c r="T575">
        <f>vlookup("906-424348-110",B:AZ,column(s1),0)*e575</f>
        <v>0</v>
      </c>
      <c r="U575">
        <f>vlookup("906-424348-110",B:AZ,column(t1),0)*e575</f>
        <v>0</v>
      </c>
      <c r="V575">
        <f>vlookup("906-424348-110",B:AZ,column(u1),0)*e575</f>
        <v>0</v>
      </c>
      <c r="W575">
        <f>vlookup("906-424348-110",B:AZ,column(v1),0)*e575</f>
        <v>0</v>
      </c>
      <c r="X575">
        <f>vlookup("906-424348-110",B:AZ,column(w1),0)*e575</f>
        <v>0</v>
      </c>
      <c r="Y575">
        <f>vlookup("906-424348-110",B:AZ,column(x1),0)*e575</f>
        <v>0</v>
      </c>
      <c r="Z575">
        <f>vlookup("906-424348-110",B:AZ,column(y1),0)*e575</f>
        <v>0</v>
      </c>
      <c r="AA575">
        <f>vlookup("906-424348-110",B:AZ,column(z1),0)*e575</f>
        <v>0</v>
      </c>
      <c r="AB575">
        <f>vlookup("906-424348-110",B:AZ,column(aa1),0)*e575</f>
        <v>0</v>
      </c>
      <c r="AC575">
        <f>vlookup("906-424348-110",B:AZ,column(ab1),0)*e575</f>
        <v>0</v>
      </c>
      <c r="AD575">
        <f>vlookup("906-424348-110",B:AZ,column(ac1),0)*e575</f>
        <v>0</v>
      </c>
      <c r="AE575">
        <f>vlookup("906-424348-110",B:AZ,column(ad1),0)*e575</f>
        <v>0</v>
      </c>
      <c r="AF575">
        <f>vlookup("906-424348-110",B:AZ,column(ae1),0)*e575</f>
        <v>0</v>
      </c>
      <c r="AG575">
        <f>vlookup("906-424348-110",B:AZ,column(af1),0)*e575</f>
        <v>0</v>
      </c>
      <c r="AH575">
        <f>vlookup("906-424348-110",B:AZ,column(ag1),0)*e575</f>
        <v>0</v>
      </c>
      <c r="AI575">
        <f>vlookup("906-424348-110",B:AZ,column(ah1),0)*e575</f>
        <v>0</v>
      </c>
      <c r="AJ575">
        <f>vlookup("906-424348-110",B:AZ,column(ai1),0)*e575</f>
        <v>0</v>
      </c>
      <c r="AK575">
        <f>vlookup("906-424348-110",B:AZ,column(aj1),0)*e575</f>
        <v>0</v>
      </c>
      <c r="AL575">
        <f>vlookup("906-424348-110",B:AZ,column(ak1),0)*e575</f>
        <v>0</v>
      </c>
      <c r="AM575">
        <f>vlookup("906-424348-110",B:AZ,column(al1),0)*e575</f>
        <v>0</v>
      </c>
      <c r="AN575">
        <f>vlookup("906-424348-110",B:AZ,column(am1),0)*e575</f>
        <v>0</v>
      </c>
      <c r="AO575">
        <f>vlookup("906-424348-110",B:AZ,column(an1),0)*e575</f>
        <v>0</v>
      </c>
    </row>
    <row r="576" spans="1:41">
      <c r="A576" t="s">
        <v>22</v>
      </c>
      <c r="B576" t="s">
        <v>609</v>
      </c>
      <c r="C576" t="s">
        <v>610</v>
      </c>
      <c r="E576">
        <v>1</v>
      </c>
      <c r="F576" t="s">
        <v>13</v>
      </c>
      <c r="I576" t="s">
        <v>15</v>
      </c>
      <c r="J576">
        <f>vlookup("906-424348-110",B:AZ,column(i1),0)*e576</f>
        <v>0</v>
      </c>
      <c r="K576">
        <f>vlookup("906-424348-110",B:AZ,column(j1),0)*e576</f>
        <v>0</v>
      </c>
      <c r="L576">
        <f>vlookup("906-424348-110",B:AZ,column(k1),0)*e576</f>
        <v>0</v>
      </c>
      <c r="M576">
        <f>vlookup("906-424348-110",B:AZ,column(l1),0)*e576</f>
        <v>0</v>
      </c>
      <c r="N576">
        <f>vlookup("906-424348-110",B:AZ,column(m1),0)*e576</f>
        <v>0</v>
      </c>
      <c r="O576">
        <f>vlookup("906-424348-110",B:AZ,column(n1),0)*e576</f>
        <v>0</v>
      </c>
      <c r="P576">
        <f>vlookup("906-424348-110",B:AZ,column(o1),0)*e576</f>
        <v>0</v>
      </c>
      <c r="Q576">
        <f>vlookup("906-424348-110",B:AZ,column(p1),0)*e576</f>
        <v>0</v>
      </c>
      <c r="R576">
        <f>vlookup("906-424348-110",B:AZ,column(q1),0)*e576</f>
        <v>0</v>
      </c>
      <c r="S576">
        <f>vlookup("906-424348-110",B:AZ,column(r1),0)*e576</f>
        <v>0</v>
      </c>
      <c r="T576">
        <f>vlookup("906-424348-110",B:AZ,column(s1),0)*e576</f>
        <v>0</v>
      </c>
      <c r="U576">
        <f>vlookup("906-424348-110",B:AZ,column(t1),0)*e576</f>
        <v>0</v>
      </c>
      <c r="V576">
        <f>vlookup("906-424348-110",B:AZ,column(u1),0)*e576</f>
        <v>0</v>
      </c>
      <c r="W576">
        <f>vlookup("906-424348-110",B:AZ,column(v1),0)*e576</f>
        <v>0</v>
      </c>
      <c r="X576">
        <f>vlookup("906-424348-110",B:AZ,column(w1),0)*e576</f>
        <v>0</v>
      </c>
      <c r="Y576">
        <f>vlookup("906-424348-110",B:AZ,column(x1),0)*e576</f>
        <v>0</v>
      </c>
      <c r="Z576">
        <f>vlookup("906-424348-110",B:AZ,column(y1),0)*e576</f>
        <v>0</v>
      </c>
      <c r="AA576">
        <f>vlookup("906-424348-110",B:AZ,column(z1),0)*e576</f>
        <v>0</v>
      </c>
      <c r="AB576">
        <f>vlookup("906-424348-110",B:AZ,column(aa1),0)*e576</f>
        <v>0</v>
      </c>
      <c r="AC576">
        <f>vlookup("906-424348-110",B:AZ,column(ab1),0)*e576</f>
        <v>0</v>
      </c>
      <c r="AD576">
        <f>vlookup("906-424348-110",B:AZ,column(ac1),0)*e576</f>
        <v>0</v>
      </c>
      <c r="AE576">
        <f>vlookup("906-424348-110",B:AZ,column(ad1),0)*e576</f>
        <v>0</v>
      </c>
      <c r="AF576">
        <f>vlookup("906-424348-110",B:AZ,column(ae1),0)*e576</f>
        <v>0</v>
      </c>
      <c r="AG576">
        <f>vlookup("906-424348-110",B:AZ,column(af1),0)*e576</f>
        <v>0</v>
      </c>
      <c r="AH576">
        <f>vlookup("906-424348-110",B:AZ,column(ag1),0)*e576</f>
        <v>0</v>
      </c>
      <c r="AI576">
        <f>vlookup("906-424348-110",B:AZ,column(ah1),0)*e576</f>
        <v>0</v>
      </c>
      <c r="AJ576">
        <f>vlookup("906-424348-110",B:AZ,column(ai1),0)*e576</f>
        <v>0</v>
      </c>
      <c r="AK576">
        <f>vlookup("906-424348-110",B:AZ,column(aj1),0)*e576</f>
        <v>0</v>
      </c>
      <c r="AL576">
        <f>vlookup("906-424348-110",B:AZ,column(ak1),0)*e576</f>
        <v>0</v>
      </c>
      <c r="AM576">
        <f>vlookup("906-424348-110",B:AZ,column(al1),0)*e576</f>
        <v>0</v>
      </c>
      <c r="AN576">
        <f>vlookup("906-424348-110",B:AZ,column(am1),0)*e576</f>
        <v>0</v>
      </c>
      <c r="AO576">
        <f>vlookup("906-424348-110",B:AZ,column(an1),0)*e576</f>
        <v>0</v>
      </c>
    </row>
    <row r="577" spans="1:41">
      <c r="A577" t="s">
        <v>22</v>
      </c>
      <c r="B577" t="s">
        <v>611</v>
      </c>
      <c r="C577" t="s">
        <v>612</v>
      </c>
      <c r="E577">
        <v>1</v>
      </c>
      <c r="F577" t="s">
        <v>13</v>
      </c>
      <c r="I577" t="s">
        <v>15</v>
      </c>
      <c r="J577">
        <f>vlookup("906-424348-110",B:AZ,column(i1),0)*e577</f>
        <v>0</v>
      </c>
      <c r="K577">
        <f>vlookup("906-424348-110",B:AZ,column(j1),0)*e577</f>
        <v>0</v>
      </c>
      <c r="L577">
        <f>vlookup("906-424348-110",B:AZ,column(k1),0)*e577</f>
        <v>0</v>
      </c>
      <c r="M577">
        <f>vlookup("906-424348-110",B:AZ,column(l1),0)*e577</f>
        <v>0</v>
      </c>
      <c r="N577">
        <f>vlookup("906-424348-110",B:AZ,column(m1),0)*e577</f>
        <v>0</v>
      </c>
      <c r="O577">
        <f>vlookup("906-424348-110",B:AZ,column(n1),0)*e577</f>
        <v>0</v>
      </c>
      <c r="P577">
        <f>vlookup("906-424348-110",B:AZ,column(o1),0)*e577</f>
        <v>0</v>
      </c>
      <c r="Q577">
        <f>vlookup("906-424348-110",B:AZ,column(p1),0)*e577</f>
        <v>0</v>
      </c>
      <c r="R577">
        <f>vlookup("906-424348-110",B:AZ,column(q1),0)*e577</f>
        <v>0</v>
      </c>
      <c r="S577">
        <f>vlookup("906-424348-110",B:AZ,column(r1),0)*e577</f>
        <v>0</v>
      </c>
      <c r="T577">
        <f>vlookup("906-424348-110",B:AZ,column(s1),0)*e577</f>
        <v>0</v>
      </c>
      <c r="U577">
        <f>vlookup("906-424348-110",B:AZ,column(t1),0)*e577</f>
        <v>0</v>
      </c>
      <c r="V577">
        <f>vlookup("906-424348-110",B:AZ,column(u1),0)*e577</f>
        <v>0</v>
      </c>
      <c r="W577">
        <f>vlookup("906-424348-110",B:AZ,column(v1),0)*e577</f>
        <v>0</v>
      </c>
      <c r="X577">
        <f>vlookup("906-424348-110",B:AZ,column(w1),0)*e577</f>
        <v>0</v>
      </c>
      <c r="Y577">
        <f>vlookup("906-424348-110",B:AZ,column(x1),0)*e577</f>
        <v>0</v>
      </c>
      <c r="Z577">
        <f>vlookup("906-424348-110",B:AZ,column(y1),0)*e577</f>
        <v>0</v>
      </c>
      <c r="AA577">
        <f>vlookup("906-424348-110",B:AZ,column(z1),0)*e577</f>
        <v>0</v>
      </c>
      <c r="AB577">
        <f>vlookup("906-424348-110",B:AZ,column(aa1),0)*e577</f>
        <v>0</v>
      </c>
      <c r="AC577">
        <f>vlookup("906-424348-110",B:AZ,column(ab1),0)*e577</f>
        <v>0</v>
      </c>
      <c r="AD577">
        <f>vlookup("906-424348-110",B:AZ,column(ac1),0)*e577</f>
        <v>0</v>
      </c>
      <c r="AE577">
        <f>vlookup("906-424348-110",B:AZ,column(ad1),0)*e577</f>
        <v>0</v>
      </c>
      <c r="AF577">
        <f>vlookup("906-424348-110",B:AZ,column(ae1),0)*e577</f>
        <v>0</v>
      </c>
      <c r="AG577">
        <f>vlookup("906-424348-110",B:AZ,column(af1),0)*e577</f>
        <v>0</v>
      </c>
      <c r="AH577">
        <f>vlookup("906-424348-110",B:AZ,column(ag1),0)*e577</f>
        <v>0</v>
      </c>
      <c r="AI577">
        <f>vlookup("906-424348-110",B:AZ,column(ah1),0)*e577</f>
        <v>0</v>
      </c>
      <c r="AJ577">
        <f>vlookup("906-424348-110",B:AZ,column(ai1),0)*e577</f>
        <v>0</v>
      </c>
      <c r="AK577">
        <f>vlookup("906-424348-110",B:AZ,column(aj1),0)*e577</f>
        <v>0</v>
      </c>
      <c r="AL577">
        <f>vlookup("906-424348-110",B:AZ,column(ak1),0)*e577</f>
        <v>0</v>
      </c>
      <c r="AM577">
        <f>vlookup("906-424348-110",B:AZ,column(al1),0)*e577</f>
        <v>0</v>
      </c>
      <c r="AN577">
        <f>vlookup("906-424348-110",B:AZ,column(am1),0)*e577</f>
        <v>0</v>
      </c>
      <c r="AO577">
        <f>vlookup("906-424348-110",B:AZ,column(an1),0)*e577</f>
        <v>0</v>
      </c>
    </row>
    <row r="578" spans="1:41">
      <c r="A578" t="s">
        <v>22</v>
      </c>
      <c r="B578" t="s">
        <v>613</v>
      </c>
      <c r="C578" t="s">
        <v>614</v>
      </c>
      <c r="E578">
        <v>1</v>
      </c>
      <c r="F578" t="s">
        <v>13</v>
      </c>
      <c r="I578" t="s">
        <v>15</v>
      </c>
      <c r="J578">
        <f>vlookup("906-424348-110",B:AZ,column(i1),0)*e578</f>
        <v>0</v>
      </c>
      <c r="K578">
        <f>vlookup("906-424348-110",B:AZ,column(j1),0)*e578</f>
        <v>0</v>
      </c>
      <c r="L578">
        <f>vlookup("906-424348-110",B:AZ,column(k1),0)*e578</f>
        <v>0</v>
      </c>
      <c r="M578">
        <f>vlookup("906-424348-110",B:AZ,column(l1),0)*e578</f>
        <v>0</v>
      </c>
      <c r="N578">
        <f>vlookup("906-424348-110",B:AZ,column(m1),0)*e578</f>
        <v>0</v>
      </c>
      <c r="O578">
        <f>vlookup("906-424348-110",B:AZ,column(n1),0)*e578</f>
        <v>0</v>
      </c>
      <c r="P578">
        <f>vlookup("906-424348-110",B:AZ,column(o1),0)*e578</f>
        <v>0</v>
      </c>
      <c r="Q578">
        <f>vlookup("906-424348-110",B:AZ,column(p1),0)*e578</f>
        <v>0</v>
      </c>
      <c r="R578">
        <f>vlookup("906-424348-110",B:AZ,column(q1),0)*e578</f>
        <v>0</v>
      </c>
      <c r="S578">
        <f>vlookup("906-424348-110",B:AZ,column(r1),0)*e578</f>
        <v>0</v>
      </c>
      <c r="T578">
        <f>vlookup("906-424348-110",B:AZ,column(s1),0)*e578</f>
        <v>0</v>
      </c>
      <c r="U578">
        <f>vlookup("906-424348-110",B:AZ,column(t1),0)*e578</f>
        <v>0</v>
      </c>
      <c r="V578">
        <f>vlookup("906-424348-110",B:AZ,column(u1),0)*e578</f>
        <v>0</v>
      </c>
      <c r="W578">
        <f>vlookup("906-424348-110",B:AZ,column(v1),0)*e578</f>
        <v>0</v>
      </c>
      <c r="X578">
        <f>vlookup("906-424348-110",B:AZ,column(w1),0)*e578</f>
        <v>0</v>
      </c>
      <c r="Y578">
        <f>vlookup("906-424348-110",B:AZ,column(x1),0)*e578</f>
        <v>0</v>
      </c>
      <c r="Z578">
        <f>vlookup("906-424348-110",B:AZ,column(y1),0)*e578</f>
        <v>0</v>
      </c>
      <c r="AA578">
        <f>vlookup("906-424348-110",B:AZ,column(z1),0)*e578</f>
        <v>0</v>
      </c>
      <c r="AB578">
        <f>vlookup("906-424348-110",B:AZ,column(aa1),0)*e578</f>
        <v>0</v>
      </c>
      <c r="AC578">
        <f>vlookup("906-424348-110",B:AZ,column(ab1),0)*e578</f>
        <v>0</v>
      </c>
      <c r="AD578">
        <f>vlookup("906-424348-110",B:AZ,column(ac1),0)*e578</f>
        <v>0</v>
      </c>
      <c r="AE578">
        <f>vlookup("906-424348-110",B:AZ,column(ad1),0)*e578</f>
        <v>0</v>
      </c>
      <c r="AF578">
        <f>vlookup("906-424348-110",B:AZ,column(ae1),0)*e578</f>
        <v>0</v>
      </c>
      <c r="AG578">
        <f>vlookup("906-424348-110",B:AZ,column(af1),0)*e578</f>
        <v>0</v>
      </c>
      <c r="AH578">
        <f>vlookup("906-424348-110",B:AZ,column(ag1),0)*e578</f>
        <v>0</v>
      </c>
      <c r="AI578">
        <f>vlookup("906-424348-110",B:AZ,column(ah1),0)*e578</f>
        <v>0</v>
      </c>
      <c r="AJ578">
        <f>vlookup("906-424348-110",B:AZ,column(ai1),0)*e578</f>
        <v>0</v>
      </c>
      <c r="AK578">
        <f>vlookup("906-424348-110",B:AZ,column(aj1),0)*e578</f>
        <v>0</v>
      </c>
      <c r="AL578">
        <f>vlookup("906-424348-110",B:AZ,column(ak1),0)*e578</f>
        <v>0</v>
      </c>
      <c r="AM578">
        <f>vlookup("906-424348-110",B:AZ,column(al1),0)*e578</f>
        <v>0</v>
      </c>
      <c r="AN578">
        <f>vlookup("906-424348-110",B:AZ,column(am1),0)*e578</f>
        <v>0</v>
      </c>
      <c r="AO578">
        <f>vlookup("906-424348-110",B:AZ,column(an1),0)*e578</f>
        <v>0</v>
      </c>
    </row>
    <row r="579" spans="1:41">
      <c r="A579" t="s">
        <v>22</v>
      </c>
      <c r="B579" t="s">
        <v>615</v>
      </c>
      <c r="C579" t="s">
        <v>616</v>
      </c>
      <c r="E579">
        <v>1</v>
      </c>
      <c r="F579" t="s">
        <v>13</v>
      </c>
      <c r="I579" t="s">
        <v>15</v>
      </c>
      <c r="J579">
        <f>vlookup("906-424348-110",B:AZ,column(i1),0)*e579</f>
        <v>0</v>
      </c>
      <c r="K579">
        <f>vlookup("906-424348-110",B:AZ,column(j1),0)*e579</f>
        <v>0</v>
      </c>
      <c r="L579">
        <f>vlookup("906-424348-110",B:AZ,column(k1),0)*e579</f>
        <v>0</v>
      </c>
      <c r="M579">
        <f>vlookup("906-424348-110",B:AZ,column(l1),0)*e579</f>
        <v>0</v>
      </c>
      <c r="N579">
        <f>vlookup("906-424348-110",B:AZ,column(m1),0)*e579</f>
        <v>0</v>
      </c>
      <c r="O579">
        <f>vlookup("906-424348-110",B:AZ,column(n1),0)*e579</f>
        <v>0</v>
      </c>
      <c r="P579">
        <f>vlookup("906-424348-110",B:AZ,column(o1),0)*e579</f>
        <v>0</v>
      </c>
      <c r="Q579">
        <f>vlookup("906-424348-110",B:AZ,column(p1),0)*e579</f>
        <v>0</v>
      </c>
      <c r="R579">
        <f>vlookup("906-424348-110",B:AZ,column(q1),0)*e579</f>
        <v>0</v>
      </c>
      <c r="S579">
        <f>vlookup("906-424348-110",B:AZ,column(r1),0)*e579</f>
        <v>0</v>
      </c>
      <c r="T579">
        <f>vlookup("906-424348-110",B:AZ,column(s1),0)*e579</f>
        <v>0</v>
      </c>
      <c r="U579">
        <f>vlookup("906-424348-110",B:AZ,column(t1),0)*e579</f>
        <v>0</v>
      </c>
      <c r="V579">
        <f>vlookup("906-424348-110",B:AZ,column(u1),0)*e579</f>
        <v>0</v>
      </c>
      <c r="W579">
        <f>vlookup("906-424348-110",B:AZ,column(v1),0)*e579</f>
        <v>0</v>
      </c>
      <c r="X579">
        <f>vlookup("906-424348-110",B:AZ,column(w1),0)*e579</f>
        <v>0</v>
      </c>
      <c r="Y579">
        <f>vlookup("906-424348-110",B:AZ,column(x1),0)*e579</f>
        <v>0</v>
      </c>
      <c r="Z579">
        <f>vlookup("906-424348-110",B:AZ,column(y1),0)*e579</f>
        <v>0</v>
      </c>
      <c r="AA579">
        <f>vlookup("906-424348-110",B:AZ,column(z1),0)*e579</f>
        <v>0</v>
      </c>
      <c r="AB579">
        <f>vlookup("906-424348-110",B:AZ,column(aa1),0)*e579</f>
        <v>0</v>
      </c>
      <c r="AC579">
        <f>vlookup("906-424348-110",B:AZ,column(ab1),0)*e579</f>
        <v>0</v>
      </c>
      <c r="AD579">
        <f>vlookup("906-424348-110",B:AZ,column(ac1),0)*e579</f>
        <v>0</v>
      </c>
      <c r="AE579">
        <f>vlookup("906-424348-110",B:AZ,column(ad1),0)*e579</f>
        <v>0</v>
      </c>
      <c r="AF579">
        <f>vlookup("906-424348-110",B:AZ,column(ae1),0)*e579</f>
        <v>0</v>
      </c>
      <c r="AG579">
        <f>vlookup("906-424348-110",B:AZ,column(af1),0)*e579</f>
        <v>0</v>
      </c>
      <c r="AH579">
        <f>vlookup("906-424348-110",B:AZ,column(ag1),0)*e579</f>
        <v>0</v>
      </c>
      <c r="AI579">
        <f>vlookup("906-424348-110",B:AZ,column(ah1),0)*e579</f>
        <v>0</v>
      </c>
      <c r="AJ579">
        <f>vlookup("906-424348-110",B:AZ,column(ai1),0)*e579</f>
        <v>0</v>
      </c>
      <c r="AK579">
        <f>vlookup("906-424348-110",B:AZ,column(aj1),0)*e579</f>
        <v>0</v>
      </c>
      <c r="AL579">
        <f>vlookup("906-424348-110",B:AZ,column(ak1),0)*e579</f>
        <v>0</v>
      </c>
      <c r="AM579">
        <f>vlookup("906-424348-110",B:AZ,column(al1),0)*e579</f>
        <v>0</v>
      </c>
      <c r="AN579">
        <f>vlookup("906-424348-110",B:AZ,column(am1),0)*e579</f>
        <v>0</v>
      </c>
      <c r="AO579">
        <f>vlookup("906-424348-110",B:AZ,column(an1),0)*e579</f>
        <v>0</v>
      </c>
    </row>
    <row r="580" spans="1:41">
      <c r="A580" t="s">
        <v>10</v>
      </c>
      <c r="B580" t="s">
        <v>617</v>
      </c>
      <c r="C580" t="s">
        <v>601</v>
      </c>
      <c r="E580">
        <v>1</v>
      </c>
      <c r="F580" t="s">
        <v>13</v>
      </c>
      <c r="I580" t="s">
        <v>14</v>
      </c>
      <c r="AO580">
        <f>sum(j580:an580)</f>
        <v>0</v>
      </c>
    </row>
    <row r="581" spans="1:41">
      <c r="I581" t="s">
        <v>15</v>
      </c>
      <c r="J581">
        <f>vlookup("906-423348-110",Out!B:AZ,column(i1),0)</f>
        <v>0</v>
      </c>
      <c r="K581">
        <f>vlookup("906-423348-110",Out!B:AZ,column(j1),0)</f>
        <v>0</v>
      </c>
      <c r="L581">
        <f>vlookup("906-423348-110",Out!B:AZ,column(k1),0)</f>
        <v>0</v>
      </c>
      <c r="M581">
        <f>vlookup("906-423348-110",Out!B:AZ,column(l1),0)</f>
        <v>0</v>
      </c>
      <c r="N581">
        <f>vlookup("906-423348-110",Out!B:AZ,column(m1),0)</f>
        <v>0</v>
      </c>
      <c r="O581">
        <f>vlookup("906-423348-110",Out!B:AZ,column(n1),0)</f>
        <v>0</v>
      </c>
      <c r="P581">
        <f>vlookup("906-423348-110",Out!B:AZ,column(o1),0)</f>
        <v>0</v>
      </c>
      <c r="Q581">
        <f>vlookup("906-423348-110",Out!B:AZ,column(p1),0)</f>
        <v>0</v>
      </c>
      <c r="R581">
        <f>vlookup("906-423348-110",Out!B:AZ,column(q1),0)</f>
        <v>0</v>
      </c>
      <c r="S581">
        <f>vlookup("906-423348-110",Out!B:AZ,column(r1),0)</f>
        <v>0</v>
      </c>
      <c r="T581">
        <f>vlookup("906-423348-110",Out!B:AZ,column(s1),0)</f>
        <v>0</v>
      </c>
      <c r="U581">
        <f>vlookup("906-423348-110",Out!B:AZ,column(t1),0)</f>
        <v>0</v>
      </c>
      <c r="V581">
        <f>vlookup("906-423348-110",Out!B:AZ,column(u1),0)</f>
        <v>0</v>
      </c>
      <c r="W581">
        <f>vlookup("906-423348-110",Out!B:AZ,column(v1),0)</f>
        <v>0</v>
      </c>
      <c r="X581">
        <f>vlookup("906-423348-110",Out!B:AZ,column(w1),0)</f>
        <v>0</v>
      </c>
      <c r="Y581">
        <f>vlookup("906-423348-110",Out!B:AZ,column(x1),0)</f>
        <v>0</v>
      </c>
      <c r="Z581">
        <f>vlookup("906-423348-110",Out!B:AZ,column(y1),0)</f>
        <v>0</v>
      </c>
      <c r="AA581">
        <f>vlookup("906-423348-110",Out!B:AZ,column(z1),0)</f>
        <v>0</v>
      </c>
      <c r="AB581">
        <f>vlookup("906-423348-110",Out!B:AZ,column(aa1),0)</f>
        <v>0</v>
      </c>
      <c r="AC581">
        <f>vlookup("906-423348-110",Out!B:AZ,column(ab1),0)</f>
        <v>0</v>
      </c>
      <c r="AD581">
        <f>vlookup("906-423348-110",Out!B:AZ,column(ac1),0)</f>
        <v>0</v>
      </c>
      <c r="AE581">
        <f>vlookup("906-423348-110",Out!B:AZ,column(ad1),0)</f>
        <v>0</v>
      </c>
      <c r="AF581">
        <f>vlookup("906-423348-110",Out!B:AZ,column(ae1),0)</f>
        <v>0</v>
      </c>
      <c r="AG581">
        <f>vlookup("906-423348-110",Out!B:AZ,column(af1),0)</f>
        <v>0</v>
      </c>
      <c r="AH581">
        <f>vlookup("906-423348-110",Out!B:AZ,column(ag1),0)</f>
        <v>0</v>
      </c>
      <c r="AI581">
        <f>vlookup("906-423348-110",Out!B:AZ,column(ah1),0)</f>
        <v>0</v>
      </c>
      <c r="AJ581">
        <f>vlookup("906-423348-110",Out!B:AZ,column(ai1),0)</f>
        <v>0</v>
      </c>
      <c r="AK581">
        <f>vlookup("906-423348-110",Out!B:AZ,column(aj1),0)</f>
        <v>0</v>
      </c>
      <c r="AL581">
        <f>vlookup("906-423348-110",Out!B:AZ,column(ak1),0)</f>
        <v>0</v>
      </c>
      <c r="AM581">
        <f>vlookup("906-423348-110",Out!B:AZ,column(al1),0)</f>
        <v>0</v>
      </c>
      <c r="AN581">
        <f>vlookup("906-423348-110",Out!B:AZ,column(am1),0)</f>
        <v>0</v>
      </c>
      <c r="AO581">
        <f>vlookup("906-423348-110",Out!B:AZ,column(an1),0)</f>
        <v>0</v>
      </c>
    </row>
    <row r="582" spans="1:41">
      <c r="H582" t="s">
        <v>16</v>
      </c>
      <c r="J582">
        <f>indirect(address(582,9))+indirect(address(580,10))-indirect(address(581,10))</f>
        <v>0</v>
      </c>
      <c r="K582">
        <f>indirect(address(582,10))+indirect(address(580,11))-indirect(address(581,11))</f>
        <v>0</v>
      </c>
      <c r="L582">
        <f>indirect(address(582,11))+indirect(address(580,12))-indirect(address(581,12))</f>
        <v>0</v>
      </c>
      <c r="M582">
        <f>indirect(address(582,12))+indirect(address(580,13))-indirect(address(581,13))</f>
        <v>0</v>
      </c>
      <c r="N582">
        <f>indirect(address(582,13))+indirect(address(580,14))-indirect(address(581,14))</f>
        <v>0</v>
      </c>
      <c r="O582">
        <f>indirect(address(582,14))+indirect(address(580,15))-indirect(address(581,15))</f>
        <v>0</v>
      </c>
      <c r="P582">
        <f>indirect(address(582,15))+indirect(address(580,16))-indirect(address(581,16))</f>
        <v>0</v>
      </c>
      <c r="Q582">
        <f>indirect(address(582,16))+indirect(address(580,17))-indirect(address(581,17))</f>
        <v>0</v>
      </c>
      <c r="R582">
        <f>indirect(address(582,17))+indirect(address(580,18))-indirect(address(581,18))</f>
        <v>0</v>
      </c>
      <c r="S582">
        <f>indirect(address(582,18))+indirect(address(580,19))-indirect(address(581,19))</f>
        <v>0</v>
      </c>
      <c r="T582">
        <f>indirect(address(582,19))+indirect(address(580,20))-indirect(address(581,20))</f>
        <v>0</v>
      </c>
      <c r="U582">
        <f>indirect(address(582,20))+indirect(address(580,21))-indirect(address(581,21))</f>
        <v>0</v>
      </c>
      <c r="V582">
        <f>indirect(address(582,21))+indirect(address(580,22))-indirect(address(581,22))</f>
        <v>0</v>
      </c>
      <c r="W582">
        <f>indirect(address(582,22))+indirect(address(580,23))-indirect(address(581,23))</f>
        <v>0</v>
      </c>
      <c r="X582">
        <f>indirect(address(582,23))+indirect(address(580,24))-indirect(address(581,24))</f>
        <v>0</v>
      </c>
      <c r="Y582">
        <f>indirect(address(582,24))+indirect(address(580,25))-indirect(address(581,25))</f>
        <v>0</v>
      </c>
      <c r="Z582">
        <f>indirect(address(582,25))+indirect(address(580,26))-indirect(address(581,26))</f>
        <v>0</v>
      </c>
      <c r="AA582">
        <f>indirect(address(582,26))+indirect(address(580,27))-indirect(address(581,27))</f>
        <v>0</v>
      </c>
      <c r="AB582">
        <f>indirect(address(582,27))+indirect(address(580,28))-indirect(address(581,28))</f>
        <v>0</v>
      </c>
      <c r="AC582">
        <f>indirect(address(582,28))+indirect(address(580,29))-indirect(address(581,29))</f>
        <v>0</v>
      </c>
      <c r="AD582">
        <f>indirect(address(582,29))+indirect(address(580,30))-indirect(address(581,30))</f>
        <v>0</v>
      </c>
      <c r="AE582">
        <f>indirect(address(582,30))+indirect(address(580,31))-indirect(address(581,31))</f>
        <v>0</v>
      </c>
      <c r="AF582">
        <f>indirect(address(582,31))+indirect(address(580,32))-indirect(address(581,32))</f>
        <v>0</v>
      </c>
      <c r="AG582">
        <f>indirect(address(582,32))+indirect(address(580,33))-indirect(address(581,33))</f>
        <v>0</v>
      </c>
      <c r="AH582">
        <f>indirect(address(582,33))+indirect(address(580,34))-indirect(address(581,34))</f>
        <v>0</v>
      </c>
      <c r="AI582">
        <f>indirect(address(582,34))+indirect(address(580,35))-indirect(address(581,35))</f>
        <v>0</v>
      </c>
      <c r="AJ582">
        <f>indirect(address(582,35))+indirect(address(580,36))-indirect(address(581,36))</f>
        <v>0</v>
      </c>
      <c r="AK582">
        <f>indirect(address(582,36))+indirect(address(580,37))-indirect(address(581,37))</f>
        <v>0</v>
      </c>
      <c r="AL582">
        <f>indirect(address(582,37))+indirect(address(580,38))-indirect(address(581,38))</f>
        <v>0</v>
      </c>
      <c r="AM582">
        <f>indirect(address(582,38))+indirect(address(580,39))-indirect(address(581,39))</f>
        <v>0</v>
      </c>
      <c r="AN582">
        <f>indirect(address(582,39))+indirect(address(580,40))-indirect(address(581,40))</f>
        <v>0</v>
      </c>
      <c r="AO582">
        <f>indirect(address(582,40))</f>
        <v>0</v>
      </c>
    </row>
    <row r="583" spans="1:41">
      <c r="A583" t="s">
        <v>17</v>
      </c>
      <c r="B583" t="s">
        <v>618</v>
      </c>
      <c r="C583" t="s">
        <v>505</v>
      </c>
      <c r="E583">
        <v>1</v>
      </c>
      <c r="F583" t="s">
        <v>13</v>
      </c>
      <c r="I583" t="s">
        <v>15</v>
      </c>
      <c r="J583">
        <f>vlookup("906-423348-110",B:AZ,column(i1),0)*e583</f>
        <v>0</v>
      </c>
      <c r="K583">
        <f>vlookup("906-423348-110",B:AZ,column(j1),0)*e583</f>
        <v>0</v>
      </c>
      <c r="L583">
        <f>vlookup("906-423348-110",B:AZ,column(k1),0)*e583</f>
        <v>0</v>
      </c>
      <c r="M583">
        <f>vlookup("906-423348-110",B:AZ,column(l1),0)*e583</f>
        <v>0</v>
      </c>
      <c r="N583">
        <f>vlookup("906-423348-110",B:AZ,column(m1),0)*e583</f>
        <v>0</v>
      </c>
      <c r="O583">
        <f>vlookup("906-423348-110",B:AZ,column(n1),0)*e583</f>
        <v>0</v>
      </c>
      <c r="P583">
        <f>vlookup("906-423348-110",B:AZ,column(o1),0)*e583</f>
        <v>0</v>
      </c>
      <c r="Q583">
        <f>vlookup("906-423348-110",B:AZ,column(p1),0)*e583</f>
        <v>0</v>
      </c>
      <c r="R583">
        <f>vlookup("906-423348-110",B:AZ,column(q1),0)*e583</f>
        <v>0</v>
      </c>
      <c r="S583">
        <f>vlookup("906-423348-110",B:AZ,column(r1),0)*e583</f>
        <v>0</v>
      </c>
      <c r="T583">
        <f>vlookup("906-423348-110",B:AZ,column(s1),0)*e583</f>
        <v>0</v>
      </c>
      <c r="U583">
        <f>vlookup("906-423348-110",B:AZ,column(t1),0)*e583</f>
        <v>0</v>
      </c>
      <c r="V583">
        <f>vlookup("906-423348-110",B:AZ,column(u1),0)*e583</f>
        <v>0</v>
      </c>
      <c r="W583">
        <f>vlookup("906-423348-110",B:AZ,column(v1),0)*e583</f>
        <v>0</v>
      </c>
      <c r="X583">
        <f>vlookup("906-423348-110",B:AZ,column(w1),0)*e583</f>
        <v>0</v>
      </c>
      <c r="Y583">
        <f>vlookup("906-423348-110",B:AZ,column(x1),0)*e583</f>
        <v>0</v>
      </c>
      <c r="Z583">
        <f>vlookup("906-423348-110",B:AZ,column(y1),0)*e583</f>
        <v>0</v>
      </c>
      <c r="AA583">
        <f>vlookup("906-423348-110",B:AZ,column(z1),0)*e583</f>
        <v>0</v>
      </c>
      <c r="AB583">
        <f>vlookup("906-423348-110",B:AZ,column(aa1),0)*e583</f>
        <v>0</v>
      </c>
      <c r="AC583">
        <f>vlookup("906-423348-110",B:AZ,column(ab1),0)*e583</f>
        <v>0</v>
      </c>
      <c r="AD583">
        <f>vlookup("906-423348-110",B:AZ,column(ac1),0)*e583</f>
        <v>0</v>
      </c>
      <c r="AE583">
        <f>vlookup("906-423348-110",B:AZ,column(ad1),0)*e583</f>
        <v>0</v>
      </c>
      <c r="AF583">
        <f>vlookup("906-423348-110",B:AZ,column(ae1),0)*e583</f>
        <v>0</v>
      </c>
      <c r="AG583">
        <f>vlookup("906-423348-110",B:AZ,column(af1),0)*e583</f>
        <v>0</v>
      </c>
      <c r="AH583">
        <f>vlookup("906-423348-110",B:AZ,column(ag1),0)*e583</f>
        <v>0</v>
      </c>
      <c r="AI583">
        <f>vlookup("906-423348-110",B:AZ,column(ah1),0)*e583</f>
        <v>0</v>
      </c>
      <c r="AJ583">
        <f>vlookup("906-423348-110",B:AZ,column(ai1),0)*e583</f>
        <v>0</v>
      </c>
      <c r="AK583">
        <f>vlookup("906-423348-110",B:AZ,column(aj1),0)*e583</f>
        <v>0</v>
      </c>
      <c r="AL583">
        <f>vlookup("906-423348-110",B:AZ,column(ak1),0)*e583</f>
        <v>0</v>
      </c>
      <c r="AM583">
        <f>vlookup("906-423348-110",B:AZ,column(al1),0)*e583</f>
        <v>0</v>
      </c>
      <c r="AN583">
        <f>vlookup("906-423348-110",B:AZ,column(am1),0)*e583</f>
        <v>0</v>
      </c>
      <c r="AO583">
        <f>vlookup("906-423348-110",B:AZ,column(an1),0)*e583</f>
        <v>0</v>
      </c>
    </row>
    <row r="584" spans="1:41">
      <c r="A584" t="s">
        <v>17</v>
      </c>
      <c r="B584" t="s">
        <v>619</v>
      </c>
      <c r="C584" t="s">
        <v>604</v>
      </c>
      <c r="E584">
        <v>1</v>
      </c>
      <c r="F584" t="s">
        <v>13</v>
      </c>
      <c r="I584" t="s">
        <v>15</v>
      </c>
      <c r="J584">
        <f>vlookup("906-423348-110",B:AZ,column(i1),0)*e584</f>
        <v>0</v>
      </c>
      <c r="K584">
        <f>vlookup("906-423348-110",B:AZ,column(j1),0)*e584</f>
        <v>0</v>
      </c>
      <c r="L584">
        <f>vlookup("906-423348-110",B:AZ,column(k1),0)*e584</f>
        <v>0</v>
      </c>
      <c r="M584">
        <f>vlookup("906-423348-110",B:AZ,column(l1),0)*e584</f>
        <v>0</v>
      </c>
      <c r="N584">
        <f>vlookup("906-423348-110",B:AZ,column(m1),0)*e584</f>
        <v>0</v>
      </c>
      <c r="O584">
        <f>vlookup("906-423348-110",B:AZ,column(n1),0)*e584</f>
        <v>0</v>
      </c>
      <c r="P584">
        <f>vlookup("906-423348-110",B:AZ,column(o1),0)*e584</f>
        <v>0</v>
      </c>
      <c r="Q584">
        <f>vlookup("906-423348-110",B:AZ,column(p1),0)*e584</f>
        <v>0</v>
      </c>
      <c r="R584">
        <f>vlookup("906-423348-110",B:AZ,column(q1),0)*e584</f>
        <v>0</v>
      </c>
      <c r="S584">
        <f>vlookup("906-423348-110",B:AZ,column(r1),0)*e584</f>
        <v>0</v>
      </c>
      <c r="T584">
        <f>vlookup("906-423348-110",B:AZ,column(s1),0)*e584</f>
        <v>0</v>
      </c>
      <c r="U584">
        <f>vlookup("906-423348-110",B:AZ,column(t1),0)*e584</f>
        <v>0</v>
      </c>
      <c r="V584">
        <f>vlookup("906-423348-110",B:AZ,column(u1),0)*e584</f>
        <v>0</v>
      </c>
      <c r="W584">
        <f>vlookup("906-423348-110",B:AZ,column(v1),0)*e584</f>
        <v>0</v>
      </c>
      <c r="X584">
        <f>vlookup("906-423348-110",B:AZ,column(w1),0)*e584</f>
        <v>0</v>
      </c>
      <c r="Y584">
        <f>vlookup("906-423348-110",B:AZ,column(x1),0)*e584</f>
        <v>0</v>
      </c>
      <c r="Z584">
        <f>vlookup("906-423348-110",B:AZ,column(y1),0)*e584</f>
        <v>0</v>
      </c>
      <c r="AA584">
        <f>vlookup("906-423348-110",B:AZ,column(z1),0)*e584</f>
        <v>0</v>
      </c>
      <c r="AB584">
        <f>vlookup("906-423348-110",B:AZ,column(aa1),0)*e584</f>
        <v>0</v>
      </c>
      <c r="AC584">
        <f>vlookup("906-423348-110",B:AZ,column(ab1),0)*e584</f>
        <v>0</v>
      </c>
      <c r="AD584">
        <f>vlookup("906-423348-110",B:AZ,column(ac1),0)*e584</f>
        <v>0</v>
      </c>
      <c r="AE584">
        <f>vlookup("906-423348-110",B:AZ,column(ad1),0)*e584</f>
        <v>0</v>
      </c>
      <c r="AF584">
        <f>vlookup("906-423348-110",B:AZ,column(ae1),0)*e584</f>
        <v>0</v>
      </c>
      <c r="AG584">
        <f>vlookup("906-423348-110",B:AZ,column(af1),0)*e584</f>
        <v>0</v>
      </c>
      <c r="AH584">
        <f>vlookup("906-423348-110",B:AZ,column(ag1),0)*e584</f>
        <v>0</v>
      </c>
      <c r="AI584">
        <f>vlookup("906-423348-110",B:AZ,column(ah1),0)*e584</f>
        <v>0</v>
      </c>
      <c r="AJ584">
        <f>vlookup("906-423348-110",B:AZ,column(ai1),0)*e584</f>
        <v>0</v>
      </c>
      <c r="AK584">
        <f>vlookup("906-423348-110",B:AZ,column(aj1),0)*e584</f>
        <v>0</v>
      </c>
      <c r="AL584">
        <f>vlookup("906-423348-110",B:AZ,column(ak1),0)*e584</f>
        <v>0</v>
      </c>
      <c r="AM584">
        <f>vlookup("906-423348-110",B:AZ,column(al1),0)*e584</f>
        <v>0</v>
      </c>
      <c r="AN584">
        <f>vlookup("906-423348-110",B:AZ,column(am1),0)*e584</f>
        <v>0</v>
      </c>
      <c r="AO584">
        <f>vlookup("906-423348-110",B:AZ,column(an1),0)*e584</f>
        <v>0</v>
      </c>
    </row>
    <row r="585" spans="1:41">
      <c r="A585" t="s">
        <v>22</v>
      </c>
      <c r="B585" t="s">
        <v>512</v>
      </c>
      <c r="C585" t="s">
        <v>513</v>
      </c>
      <c r="E585">
        <v>1</v>
      </c>
      <c r="F585" t="s">
        <v>13</v>
      </c>
      <c r="I585" t="s">
        <v>15</v>
      </c>
      <c r="J585">
        <f>vlookup("906-423348-110",B:AZ,column(i1),0)*e585</f>
        <v>0</v>
      </c>
      <c r="K585">
        <f>vlookup("906-423348-110",B:AZ,column(j1),0)*e585</f>
        <v>0</v>
      </c>
      <c r="L585">
        <f>vlookup("906-423348-110",B:AZ,column(k1),0)*e585</f>
        <v>0</v>
      </c>
      <c r="M585">
        <f>vlookup("906-423348-110",B:AZ,column(l1),0)*e585</f>
        <v>0</v>
      </c>
      <c r="N585">
        <f>vlookup("906-423348-110",B:AZ,column(m1),0)*e585</f>
        <v>0</v>
      </c>
      <c r="O585">
        <f>vlookup("906-423348-110",B:AZ,column(n1),0)*e585</f>
        <v>0</v>
      </c>
      <c r="P585">
        <f>vlookup("906-423348-110",B:AZ,column(o1),0)*e585</f>
        <v>0</v>
      </c>
      <c r="Q585">
        <f>vlookup("906-423348-110",B:AZ,column(p1),0)*e585</f>
        <v>0</v>
      </c>
      <c r="R585">
        <f>vlookup("906-423348-110",B:AZ,column(q1),0)*e585</f>
        <v>0</v>
      </c>
      <c r="S585">
        <f>vlookup("906-423348-110",B:AZ,column(r1),0)*e585</f>
        <v>0</v>
      </c>
      <c r="T585">
        <f>vlookup("906-423348-110",B:AZ,column(s1),0)*e585</f>
        <v>0</v>
      </c>
      <c r="U585">
        <f>vlookup("906-423348-110",B:AZ,column(t1),0)*e585</f>
        <v>0</v>
      </c>
      <c r="V585">
        <f>vlookup("906-423348-110",B:AZ,column(u1),0)*e585</f>
        <v>0</v>
      </c>
      <c r="W585">
        <f>vlookup("906-423348-110",B:AZ,column(v1),0)*e585</f>
        <v>0</v>
      </c>
      <c r="X585">
        <f>vlookup("906-423348-110",B:AZ,column(w1),0)*e585</f>
        <v>0</v>
      </c>
      <c r="Y585">
        <f>vlookup("906-423348-110",B:AZ,column(x1),0)*e585</f>
        <v>0</v>
      </c>
      <c r="Z585">
        <f>vlookup("906-423348-110",B:AZ,column(y1),0)*e585</f>
        <v>0</v>
      </c>
      <c r="AA585">
        <f>vlookup("906-423348-110",B:AZ,column(z1),0)*e585</f>
        <v>0</v>
      </c>
      <c r="AB585">
        <f>vlookup("906-423348-110",B:AZ,column(aa1),0)*e585</f>
        <v>0</v>
      </c>
      <c r="AC585">
        <f>vlookup("906-423348-110",B:AZ,column(ab1),0)*e585</f>
        <v>0</v>
      </c>
      <c r="AD585">
        <f>vlookup("906-423348-110",B:AZ,column(ac1),0)*e585</f>
        <v>0</v>
      </c>
      <c r="AE585">
        <f>vlookup("906-423348-110",B:AZ,column(ad1),0)*e585</f>
        <v>0</v>
      </c>
      <c r="AF585">
        <f>vlookup("906-423348-110",B:AZ,column(ae1),0)*e585</f>
        <v>0</v>
      </c>
      <c r="AG585">
        <f>vlookup("906-423348-110",B:AZ,column(af1),0)*e585</f>
        <v>0</v>
      </c>
      <c r="AH585">
        <f>vlookup("906-423348-110",B:AZ,column(ag1),0)*e585</f>
        <v>0</v>
      </c>
      <c r="AI585">
        <f>vlookup("906-423348-110",B:AZ,column(ah1),0)*e585</f>
        <v>0</v>
      </c>
      <c r="AJ585">
        <f>vlookup("906-423348-110",B:AZ,column(ai1),0)*e585</f>
        <v>0</v>
      </c>
      <c r="AK585">
        <f>vlookup("906-423348-110",B:AZ,column(aj1),0)*e585</f>
        <v>0</v>
      </c>
      <c r="AL585">
        <f>vlookup("906-423348-110",B:AZ,column(ak1),0)*e585</f>
        <v>0</v>
      </c>
      <c r="AM585">
        <f>vlookup("906-423348-110",B:AZ,column(al1),0)*e585</f>
        <v>0</v>
      </c>
      <c r="AN585">
        <f>vlookup("906-423348-110",B:AZ,column(am1),0)*e585</f>
        <v>0</v>
      </c>
      <c r="AO585">
        <f>vlookup("906-423348-110",B:AZ,column(an1),0)*e585</f>
        <v>0</v>
      </c>
    </row>
    <row r="586" spans="1:41">
      <c r="A586" t="s">
        <v>22</v>
      </c>
      <c r="B586" t="s">
        <v>620</v>
      </c>
      <c r="C586" t="s">
        <v>621</v>
      </c>
      <c r="E586">
        <v>1</v>
      </c>
      <c r="F586" t="s">
        <v>13</v>
      </c>
      <c r="I586" t="s">
        <v>15</v>
      </c>
      <c r="J586">
        <f>vlookup("906-423348-110",B:AZ,column(i1),0)*e586</f>
        <v>0</v>
      </c>
      <c r="K586">
        <f>vlookup("906-423348-110",B:AZ,column(j1),0)*e586</f>
        <v>0</v>
      </c>
      <c r="L586">
        <f>vlookup("906-423348-110",B:AZ,column(k1),0)*e586</f>
        <v>0</v>
      </c>
      <c r="M586">
        <f>vlookup("906-423348-110",B:AZ,column(l1),0)*e586</f>
        <v>0</v>
      </c>
      <c r="N586">
        <f>vlookup("906-423348-110",B:AZ,column(m1),0)*e586</f>
        <v>0</v>
      </c>
      <c r="O586">
        <f>vlookup("906-423348-110",B:AZ,column(n1),0)*e586</f>
        <v>0</v>
      </c>
      <c r="P586">
        <f>vlookup("906-423348-110",B:AZ,column(o1),0)*e586</f>
        <v>0</v>
      </c>
      <c r="Q586">
        <f>vlookup("906-423348-110",B:AZ,column(p1),0)*e586</f>
        <v>0</v>
      </c>
      <c r="R586">
        <f>vlookup("906-423348-110",B:AZ,column(q1),0)*e586</f>
        <v>0</v>
      </c>
      <c r="S586">
        <f>vlookup("906-423348-110",B:AZ,column(r1),0)*e586</f>
        <v>0</v>
      </c>
      <c r="T586">
        <f>vlookup("906-423348-110",B:AZ,column(s1),0)*e586</f>
        <v>0</v>
      </c>
      <c r="U586">
        <f>vlookup("906-423348-110",B:AZ,column(t1),0)*e586</f>
        <v>0</v>
      </c>
      <c r="V586">
        <f>vlookup("906-423348-110",B:AZ,column(u1),0)*e586</f>
        <v>0</v>
      </c>
      <c r="W586">
        <f>vlookup("906-423348-110",B:AZ,column(v1),0)*e586</f>
        <v>0</v>
      </c>
      <c r="X586">
        <f>vlookup("906-423348-110",B:AZ,column(w1),0)*e586</f>
        <v>0</v>
      </c>
      <c r="Y586">
        <f>vlookup("906-423348-110",B:AZ,column(x1),0)*e586</f>
        <v>0</v>
      </c>
      <c r="Z586">
        <f>vlookup("906-423348-110",B:AZ,column(y1),0)*e586</f>
        <v>0</v>
      </c>
      <c r="AA586">
        <f>vlookup("906-423348-110",B:AZ,column(z1),0)*e586</f>
        <v>0</v>
      </c>
      <c r="AB586">
        <f>vlookup("906-423348-110",B:AZ,column(aa1),0)*e586</f>
        <v>0</v>
      </c>
      <c r="AC586">
        <f>vlookup("906-423348-110",B:AZ,column(ab1),0)*e586</f>
        <v>0</v>
      </c>
      <c r="AD586">
        <f>vlookup("906-423348-110",B:AZ,column(ac1),0)*e586</f>
        <v>0</v>
      </c>
      <c r="AE586">
        <f>vlookup("906-423348-110",B:AZ,column(ad1),0)*e586</f>
        <v>0</v>
      </c>
      <c r="AF586">
        <f>vlookup("906-423348-110",B:AZ,column(ae1),0)*e586</f>
        <v>0</v>
      </c>
      <c r="AG586">
        <f>vlookup("906-423348-110",B:AZ,column(af1),0)*e586</f>
        <v>0</v>
      </c>
      <c r="AH586">
        <f>vlookup("906-423348-110",B:AZ,column(ag1),0)*e586</f>
        <v>0</v>
      </c>
      <c r="AI586">
        <f>vlookup("906-423348-110",B:AZ,column(ah1),0)*e586</f>
        <v>0</v>
      </c>
      <c r="AJ586">
        <f>vlookup("906-423348-110",B:AZ,column(ai1),0)*e586</f>
        <v>0</v>
      </c>
      <c r="AK586">
        <f>vlookup("906-423348-110",B:AZ,column(aj1),0)*e586</f>
        <v>0</v>
      </c>
      <c r="AL586">
        <f>vlookup("906-423348-110",B:AZ,column(ak1),0)*e586</f>
        <v>0</v>
      </c>
      <c r="AM586">
        <f>vlookup("906-423348-110",B:AZ,column(al1),0)*e586</f>
        <v>0</v>
      </c>
      <c r="AN586">
        <f>vlookup("906-423348-110",B:AZ,column(am1),0)*e586</f>
        <v>0</v>
      </c>
      <c r="AO586">
        <f>vlookup("906-423348-110",B:AZ,column(an1),0)*e586</f>
        <v>0</v>
      </c>
    </row>
    <row r="587" spans="1:41">
      <c r="A587" t="s">
        <v>22</v>
      </c>
      <c r="B587" t="s">
        <v>607</v>
      </c>
      <c r="C587" t="s">
        <v>622</v>
      </c>
      <c r="E587">
        <v>2</v>
      </c>
      <c r="F587" t="s">
        <v>13</v>
      </c>
      <c r="I587" t="s">
        <v>15</v>
      </c>
      <c r="J587">
        <f>vlookup("906-423348-110",B:AZ,column(i1),0)*e587</f>
        <v>0</v>
      </c>
      <c r="K587">
        <f>vlookup("906-423348-110",B:AZ,column(j1),0)*e587</f>
        <v>0</v>
      </c>
      <c r="L587">
        <f>vlookup("906-423348-110",B:AZ,column(k1),0)*e587</f>
        <v>0</v>
      </c>
      <c r="M587">
        <f>vlookup("906-423348-110",B:AZ,column(l1),0)*e587</f>
        <v>0</v>
      </c>
      <c r="N587">
        <f>vlookup("906-423348-110",B:AZ,column(m1),0)*e587</f>
        <v>0</v>
      </c>
      <c r="O587">
        <f>vlookup("906-423348-110",B:AZ,column(n1),0)*e587</f>
        <v>0</v>
      </c>
      <c r="P587">
        <f>vlookup("906-423348-110",B:AZ,column(o1),0)*e587</f>
        <v>0</v>
      </c>
      <c r="Q587">
        <f>vlookup("906-423348-110",B:AZ,column(p1),0)*e587</f>
        <v>0</v>
      </c>
      <c r="R587">
        <f>vlookup("906-423348-110",B:AZ,column(q1),0)*e587</f>
        <v>0</v>
      </c>
      <c r="S587">
        <f>vlookup("906-423348-110",B:AZ,column(r1),0)*e587</f>
        <v>0</v>
      </c>
      <c r="T587">
        <f>vlookup("906-423348-110",B:AZ,column(s1),0)*e587</f>
        <v>0</v>
      </c>
      <c r="U587">
        <f>vlookup("906-423348-110",B:AZ,column(t1),0)*e587</f>
        <v>0</v>
      </c>
      <c r="V587">
        <f>vlookup("906-423348-110",B:AZ,column(u1),0)*e587</f>
        <v>0</v>
      </c>
      <c r="W587">
        <f>vlookup("906-423348-110",B:AZ,column(v1),0)*e587</f>
        <v>0</v>
      </c>
      <c r="X587">
        <f>vlookup("906-423348-110",B:AZ,column(w1),0)*e587</f>
        <v>0</v>
      </c>
      <c r="Y587">
        <f>vlookup("906-423348-110",B:AZ,column(x1),0)*e587</f>
        <v>0</v>
      </c>
      <c r="Z587">
        <f>vlookup("906-423348-110",B:AZ,column(y1),0)*e587</f>
        <v>0</v>
      </c>
      <c r="AA587">
        <f>vlookup("906-423348-110",B:AZ,column(z1),0)*e587</f>
        <v>0</v>
      </c>
      <c r="AB587">
        <f>vlookup("906-423348-110",B:AZ,column(aa1),0)*e587</f>
        <v>0</v>
      </c>
      <c r="AC587">
        <f>vlookup("906-423348-110",B:AZ,column(ab1),0)*e587</f>
        <v>0</v>
      </c>
      <c r="AD587">
        <f>vlookup("906-423348-110",B:AZ,column(ac1),0)*e587</f>
        <v>0</v>
      </c>
      <c r="AE587">
        <f>vlookup("906-423348-110",B:AZ,column(ad1),0)*e587</f>
        <v>0</v>
      </c>
      <c r="AF587">
        <f>vlookup("906-423348-110",B:AZ,column(ae1),0)*e587</f>
        <v>0</v>
      </c>
      <c r="AG587">
        <f>vlookup("906-423348-110",B:AZ,column(af1),0)*e587</f>
        <v>0</v>
      </c>
      <c r="AH587">
        <f>vlookup("906-423348-110",B:AZ,column(ag1),0)*e587</f>
        <v>0</v>
      </c>
      <c r="AI587">
        <f>vlookup("906-423348-110",B:AZ,column(ah1),0)*e587</f>
        <v>0</v>
      </c>
      <c r="AJ587">
        <f>vlookup("906-423348-110",B:AZ,column(ai1),0)*e587</f>
        <v>0</v>
      </c>
      <c r="AK587">
        <f>vlookup("906-423348-110",B:AZ,column(aj1),0)*e587</f>
        <v>0</v>
      </c>
      <c r="AL587">
        <f>vlookup("906-423348-110",B:AZ,column(ak1),0)*e587</f>
        <v>0</v>
      </c>
      <c r="AM587">
        <f>vlookup("906-423348-110",B:AZ,column(al1),0)*e587</f>
        <v>0</v>
      </c>
      <c r="AN587">
        <f>vlookup("906-423348-110",B:AZ,column(am1),0)*e587</f>
        <v>0</v>
      </c>
      <c r="AO587">
        <f>vlookup("906-423348-110",B:AZ,column(an1),0)*e587</f>
        <v>0</v>
      </c>
    </row>
    <row r="588" spans="1:41">
      <c r="A588" t="s">
        <v>22</v>
      </c>
      <c r="B588" t="s">
        <v>609</v>
      </c>
      <c r="C588" t="s">
        <v>623</v>
      </c>
      <c r="E588">
        <v>1</v>
      </c>
      <c r="F588" t="s">
        <v>13</v>
      </c>
      <c r="I588" t="s">
        <v>15</v>
      </c>
      <c r="J588">
        <f>vlookup("906-423348-110",B:AZ,column(i1),0)*e588</f>
        <v>0</v>
      </c>
      <c r="K588">
        <f>vlookup("906-423348-110",B:AZ,column(j1),0)*e588</f>
        <v>0</v>
      </c>
      <c r="L588">
        <f>vlookup("906-423348-110",B:AZ,column(k1),0)*e588</f>
        <v>0</v>
      </c>
      <c r="M588">
        <f>vlookup("906-423348-110",B:AZ,column(l1),0)*e588</f>
        <v>0</v>
      </c>
      <c r="N588">
        <f>vlookup("906-423348-110",B:AZ,column(m1),0)*e588</f>
        <v>0</v>
      </c>
      <c r="O588">
        <f>vlookup("906-423348-110",B:AZ,column(n1),0)*e588</f>
        <v>0</v>
      </c>
      <c r="P588">
        <f>vlookup("906-423348-110",B:AZ,column(o1),0)*e588</f>
        <v>0</v>
      </c>
      <c r="Q588">
        <f>vlookup("906-423348-110",B:AZ,column(p1),0)*e588</f>
        <v>0</v>
      </c>
      <c r="R588">
        <f>vlookup("906-423348-110",B:AZ,column(q1),0)*e588</f>
        <v>0</v>
      </c>
      <c r="S588">
        <f>vlookup("906-423348-110",B:AZ,column(r1),0)*e588</f>
        <v>0</v>
      </c>
      <c r="T588">
        <f>vlookup("906-423348-110",B:AZ,column(s1),0)*e588</f>
        <v>0</v>
      </c>
      <c r="U588">
        <f>vlookup("906-423348-110",B:AZ,column(t1),0)*e588</f>
        <v>0</v>
      </c>
      <c r="V588">
        <f>vlookup("906-423348-110",B:AZ,column(u1),0)*e588</f>
        <v>0</v>
      </c>
      <c r="W588">
        <f>vlookup("906-423348-110",B:AZ,column(v1),0)*e588</f>
        <v>0</v>
      </c>
      <c r="X588">
        <f>vlookup("906-423348-110",B:AZ,column(w1),0)*e588</f>
        <v>0</v>
      </c>
      <c r="Y588">
        <f>vlookup("906-423348-110",B:AZ,column(x1),0)*e588</f>
        <v>0</v>
      </c>
      <c r="Z588">
        <f>vlookup("906-423348-110",B:AZ,column(y1),0)*e588</f>
        <v>0</v>
      </c>
      <c r="AA588">
        <f>vlookup("906-423348-110",B:AZ,column(z1),0)*e588</f>
        <v>0</v>
      </c>
      <c r="AB588">
        <f>vlookup("906-423348-110",B:AZ,column(aa1),0)*e588</f>
        <v>0</v>
      </c>
      <c r="AC588">
        <f>vlookup("906-423348-110",B:AZ,column(ab1),0)*e588</f>
        <v>0</v>
      </c>
      <c r="AD588">
        <f>vlookup("906-423348-110",B:AZ,column(ac1),0)*e588</f>
        <v>0</v>
      </c>
      <c r="AE588">
        <f>vlookup("906-423348-110",B:AZ,column(ad1),0)*e588</f>
        <v>0</v>
      </c>
      <c r="AF588">
        <f>vlookup("906-423348-110",B:AZ,column(ae1),0)*e588</f>
        <v>0</v>
      </c>
      <c r="AG588">
        <f>vlookup("906-423348-110",B:AZ,column(af1),0)*e588</f>
        <v>0</v>
      </c>
      <c r="AH588">
        <f>vlookup("906-423348-110",B:AZ,column(ag1),0)*e588</f>
        <v>0</v>
      </c>
      <c r="AI588">
        <f>vlookup("906-423348-110",B:AZ,column(ah1),0)*e588</f>
        <v>0</v>
      </c>
      <c r="AJ588">
        <f>vlookup("906-423348-110",B:AZ,column(ai1),0)*e588</f>
        <v>0</v>
      </c>
      <c r="AK588">
        <f>vlookup("906-423348-110",B:AZ,column(aj1),0)*e588</f>
        <v>0</v>
      </c>
      <c r="AL588">
        <f>vlookup("906-423348-110",B:AZ,column(ak1),0)*e588</f>
        <v>0</v>
      </c>
      <c r="AM588">
        <f>vlookup("906-423348-110",B:AZ,column(al1),0)*e588</f>
        <v>0</v>
      </c>
      <c r="AN588">
        <f>vlookup("906-423348-110",B:AZ,column(am1),0)*e588</f>
        <v>0</v>
      </c>
      <c r="AO588">
        <f>vlookup("906-423348-110",B:AZ,column(an1),0)*e588</f>
        <v>0</v>
      </c>
    </row>
    <row r="589" spans="1:41">
      <c r="A589" t="s">
        <v>22</v>
      </c>
      <c r="B589" t="s">
        <v>611</v>
      </c>
      <c r="C589" t="s">
        <v>624</v>
      </c>
      <c r="E589">
        <v>1</v>
      </c>
      <c r="F589" t="s">
        <v>13</v>
      </c>
      <c r="I589" t="s">
        <v>15</v>
      </c>
      <c r="J589">
        <f>vlookup("906-423348-110",B:AZ,column(i1),0)*e589</f>
        <v>0</v>
      </c>
      <c r="K589">
        <f>vlookup("906-423348-110",B:AZ,column(j1),0)*e589</f>
        <v>0</v>
      </c>
      <c r="L589">
        <f>vlookup("906-423348-110",B:AZ,column(k1),0)*e589</f>
        <v>0</v>
      </c>
      <c r="M589">
        <f>vlookup("906-423348-110",B:AZ,column(l1),0)*e589</f>
        <v>0</v>
      </c>
      <c r="N589">
        <f>vlookup("906-423348-110",B:AZ,column(m1),0)*e589</f>
        <v>0</v>
      </c>
      <c r="O589">
        <f>vlookup("906-423348-110",B:AZ,column(n1),0)*e589</f>
        <v>0</v>
      </c>
      <c r="P589">
        <f>vlookup("906-423348-110",B:AZ,column(o1),0)*e589</f>
        <v>0</v>
      </c>
      <c r="Q589">
        <f>vlookup("906-423348-110",B:AZ,column(p1),0)*e589</f>
        <v>0</v>
      </c>
      <c r="R589">
        <f>vlookup("906-423348-110",B:AZ,column(q1),0)*e589</f>
        <v>0</v>
      </c>
      <c r="S589">
        <f>vlookup("906-423348-110",B:AZ,column(r1),0)*e589</f>
        <v>0</v>
      </c>
      <c r="T589">
        <f>vlookup("906-423348-110",B:AZ,column(s1),0)*e589</f>
        <v>0</v>
      </c>
      <c r="U589">
        <f>vlookup("906-423348-110",B:AZ,column(t1),0)*e589</f>
        <v>0</v>
      </c>
      <c r="V589">
        <f>vlookup("906-423348-110",B:AZ,column(u1),0)*e589</f>
        <v>0</v>
      </c>
      <c r="W589">
        <f>vlookup("906-423348-110",B:AZ,column(v1),0)*e589</f>
        <v>0</v>
      </c>
      <c r="X589">
        <f>vlookup("906-423348-110",B:AZ,column(w1),0)*e589</f>
        <v>0</v>
      </c>
      <c r="Y589">
        <f>vlookup("906-423348-110",B:AZ,column(x1),0)*e589</f>
        <v>0</v>
      </c>
      <c r="Z589">
        <f>vlookup("906-423348-110",B:AZ,column(y1),0)*e589</f>
        <v>0</v>
      </c>
      <c r="AA589">
        <f>vlookup("906-423348-110",B:AZ,column(z1),0)*e589</f>
        <v>0</v>
      </c>
      <c r="AB589">
        <f>vlookup("906-423348-110",B:AZ,column(aa1),0)*e589</f>
        <v>0</v>
      </c>
      <c r="AC589">
        <f>vlookup("906-423348-110",B:AZ,column(ab1),0)*e589</f>
        <v>0</v>
      </c>
      <c r="AD589">
        <f>vlookup("906-423348-110",B:AZ,column(ac1),0)*e589</f>
        <v>0</v>
      </c>
      <c r="AE589">
        <f>vlookup("906-423348-110",B:AZ,column(ad1),0)*e589</f>
        <v>0</v>
      </c>
      <c r="AF589">
        <f>vlookup("906-423348-110",B:AZ,column(ae1),0)*e589</f>
        <v>0</v>
      </c>
      <c r="AG589">
        <f>vlookup("906-423348-110",B:AZ,column(af1),0)*e589</f>
        <v>0</v>
      </c>
      <c r="AH589">
        <f>vlookup("906-423348-110",B:AZ,column(ag1),0)*e589</f>
        <v>0</v>
      </c>
      <c r="AI589">
        <f>vlookup("906-423348-110",B:AZ,column(ah1),0)*e589</f>
        <v>0</v>
      </c>
      <c r="AJ589">
        <f>vlookup("906-423348-110",B:AZ,column(ai1),0)*e589</f>
        <v>0</v>
      </c>
      <c r="AK589">
        <f>vlookup("906-423348-110",B:AZ,column(aj1),0)*e589</f>
        <v>0</v>
      </c>
      <c r="AL589">
        <f>vlookup("906-423348-110",B:AZ,column(ak1),0)*e589</f>
        <v>0</v>
      </c>
      <c r="AM589">
        <f>vlookup("906-423348-110",B:AZ,column(al1),0)*e589</f>
        <v>0</v>
      </c>
      <c r="AN589">
        <f>vlookup("906-423348-110",B:AZ,column(am1),0)*e589</f>
        <v>0</v>
      </c>
      <c r="AO589">
        <f>vlookup("906-423348-110",B:AZ,column(an1),0)*e589</f>
        <v>0</v>
      </c>
    </row>
    <row r="590" spans="1:41">
      <c r="A590" t="s">
        <v>22</v>
      </c>
      <c r="B590" t="s">
        <v>625</v>
      </c>
      <c r="C590" t="s">
        <v>626</v>
      </c>
      <c r="E590">
        <v>1</v>
      </c>
      <c r="F590" t="s">
        <v>13</v>
      </c>
      <c r="I590" t="s">
        <v>15</v>
      </c>
      <c r="J590">
        <f>vlookup("906-423348-110",B:AZ,column(i1),0)*e590</f>
        <v>0</v>
      </c>
      <c r="K590">
        <f>vlookup("906-423348-110",B:AZ,column(j1),0)*e590</f>
        <v>0</v>
      </c>
      <c r="L590">
        <f>vlookup("906-423348-110",B:AZ,column(k1),0)*e590</f>
        <v>0</v>
      </c>
      <c r="M590">
        <f>vlookup("906-423348-110",B:AZ,column(l1),0)*e590</f>
        <v>0</v>
      </c>
      <c r="N590">
        <f>vlookup("906-423348-110",B:AZ,column(m1),0)*e590</f>
        <v>0</v>
      </c>
      <c r="O590">
        <f>vlookup("906-423348-110",B:AZ,column(n1),0)*e590</f>
        <v>0</v>
      </c>
      <c r="P590">
        <f>vlookup("906-423348-110",B:AZ,column(o1),0)*e590</f>
        <v>0</v>
      </c>
      <c r="Q590">
        <f>vlookup("906-423348-110",B:AZ,column(p1),0)*e590</f>
        <v>0</v>
      </c>
      <c r="R590">
        <f>vlookup("906-423348-110",B:AZ,column(q1),0)*e590</f>
        <v>0</v>
      </c>
      <c r="S590">
        <f>vlookup("906-423348-110",B:AZ,column(r1),0)*e590</f>
        <v>0</v>
      </c>
      <c r="T590">
        <f>vlookup("906-423348-110",B:AZ,column(s1),0)*e590</f>
        <v>0</v>
      </c>
      <c r="U590">
        <f>vlookup("906-423348-110",B:AZ,column(t1),0)*e590</f>
        <v>0</v>
      </c>
      <c r="V590">
        <f>vlookup("906-423348-110",B:AZ,column(u1),0)*e590</f>
        <v>0</v>
      </c>
      <c r="W590">
        <f>vlookup("906-423348-110",B:AZ,column(v1),0)*e590</f>
        <v>0</v>
      </c>
      <c r="X590">
        <f>vlookup("906-423348-110",B:AZ,column(w1),0)*e590</f>
        <v>0</v>
      </c>
      <c r="Y590">
        <f>vlookup("906-423348-110",B:AZ,column(x1),0)*e590</f>
        <v>0</v>
      </c>
      <c r="Z590">
        <f>vlookup("906-423348-110",B:AZ,column(y1),0)*e590</f>
        <v>0</v>
      </c>
      <c r="AA590">
        <f>vlookup("906-423348-110",B:AZ,column(z1),0)*e590</f>
        <v>0</v>
      </c>
      <c r="AB590">
        <f>vlookup("906-423348-110",B:AZ,column(aa1),0)*e590</f>
        <v>0</v>
      </c>
      <c r="AC590">
        <f>vlookup("906-423348-110",B:AZ,column(ab1),0)*e590</f>
        <v>0</v>
      </c>
      <c r="AD590">
        <f>vlookup("906-423348-110",B:AZ,column(ac1),0)*e590</f>
        <v>0</v>
      </c>
      <c r="AE590">
        <f>vlookup("906-423348-110",B:AZ,column(ad1),0)*e590</f>
        <v>0</v>
      </c>
      <c r="AF590">
        <f>vlookup("906-423348-110",B:AZ,column(ae1),0)*e590</f>
        <v>0</v>
      </c>
      <c r="AG590">
        <f>vlookup("906-423348-110",B:AZ,column(af1),0)*e590</f>
        <v>0</v>
      </c>
      <c r="AH590">
        <f>vlookup("906-423348-110",B:AZ,column(ag1),0)*e590</f>
        <v>0</v>
      </c>
      <c r="AI590">
        <f>vlookup("906-423348-110",B:AZ,column(ah1),0)*e590</f>
        <v>0</v>
      </c>
      <c r="AJ590">
        <f>vlookup("906-423348-110",B:AZ,column(ai1),0)*e590</f>
        <v>0</v>
      </c>
      <c r="AK590">
        <f>vlookup("906-423348-110",B:AZ,column(aj1),0)*e590</f>
        <v>0</v>
      </c>
      <c r="AL590">
        <f>vlookup("906-423348-110",B:AZ,column(ak1),0)*e590</f>
        <v>0</v>
      </c>
      <c r="AM590">
        <f>vlookup("906-423348-110",B:AZ,column(al1),0)*e590</f>
        <v>0</v>
      </c>
      <c r="AN590">
        <f>vlookup("906-423348-110",B:AZ,column(am1),0)*e590</f>
        <v>0</v>
      </c>
      <c r="AO590">
        <f>vlookup("906-423348-110",B:AZ,column(an1),0)*e590</f>
        <v>0</v>
      </c>
    </row>
    <row r="591" spans="1:41">
      <c r="A591" t="s">
        <v>22</v>
      </c>
      <c r="B591" t="s">
        <v>615</v>
      </c>
      <c r="C591" t="s">
        <v>616</v>
      </c>
      <c r="E591">
        <v>1</v>
      </c>
      <c r="F591" t="s">
        <v>13</v>
      </c>
      <c r="I591" t="s">
        <v>15</v>
      </c>
      <c r="J591">
        <f>vlookup("906-423348-110",B:AZ,column(i1),0)*e591</f>
        <v>0</v>
      </c>
      <c r="K591">
        <f>vlookup("906-423348-110",B:AZ,column(j1),0)*e591</f>
        <v>0</v>
      </c>
      <c r="L591">
        <f>vlookup("906-423348-110",B:AZ,column(k1),0)*e591</f>
        <v>0</v>
      </c>
      <c r="M591">
        <f>vlookup("906-423348-110",B:AZ,column(l1),0)*e591</f>
        <v>0</v>
      </c>
      <c r="N591">
        <f>vlookup("906-423348-110",B:AZ,column(m1),0)*e591</f>
        <v>0</v>
      </c>
      <c r="O591">
        <f>vlookup("906-423348-110",B:AZ,column(n1),0)*e591</f>
        <v>0</v>
      </c>
      <c r="P591">
        <f>vlookup("906-423348-110",B:AZ,column(o1),0)*e591</f>
        <v>0</v>
      </c>
      <c r="Q591">
        <f>vlookup("906-423348-110",B:AZ,column(p1),0)*e591</f>
        <v>0</v>
      </c>
      <c r="R591">
        <f>vlookup("906-423348-110",B:AZ,column(q1),0)*e591</f>
        <v>0</v>
      </c>
      <c r="S591">
        <f>vlookup("906-423348-110",B:AZ,column(r1),0)*e591</f>
        <v>0</v>
      </c>
      <c r="T591">
        <f>vlookup("906-423348-110",B:AZ,column(s1),0)*e591</f>
        <v>0</v>
      </c>
      <c r="U591">
        <f>vlookup("906-423348-110",B:AZ,column(t1),0)*e591</f>
        <v>0</v>
      </c>
      <c r="V591">
        <f>vlookup("906-423348-110",B:AZ,column(u1),0)*e591</f>
        <v>0</v>
      </c>
      <c r="W591">
        <f>vlookup("906-423348-110",B:AZ,column(v1),0)*e591</f>
        <v>0</v>
      </c>
      <c r="X591">
        <f>vlookup("906-423348-110",B:AZ,column(w1),0)*e591</f>
        <v>0</v>
      </c>
      <c r="Y591">
        <f>vlookup("906-423348-110",B:AZ,column(x1),0)*e591</f>
        <v>0</v>
      </c>
      <c r="Z591">
        <f>vlookup("906-423348-110",B:AZ,column(y1),0)*e591</f>
        <v>0</v>
      </c>
      <c r="AA591">
        <f>vlookup("906-423348-110",B:AZ,column(z1),0)*e591</f>
        <v>0</v>
      </c>
      <c r="AB591">
        <f>vlookup("906-423348-110",B:AZ,column(aa1),0)*e591</f>
        <v>0</v>
      </c>
      <c r="AC591">
        <f>vlookup("906-423348-110",B:AZ,column(ab1),0)*e591</f>
        <v>0</v>
      </c>
      <c r="AD591">
        <f>vlookup("906-423348-110",B:AZ,column(ac1),0)*e591</f>
        <v>0</v>
      </c>
      <c r="AE591">
        <f>vlookup("906-423348-110",B:AZ,column(ad1),0)*e591</f>
        <v>0</v>
      </c>
      <c r="AF591">
        <f>vlookup("906-423348-110",B:AZ,column(ae1),0)*e591</f>
        <v>0</v>
      </c>
      <c r="AG591">
        <f>vlookup("906-423348-110",B:AZ,column(af1),0)*e591</f>
        <v>0</v>
      </c>
      <c r="AH591">
        <f>vlookup("906-423348-110",B:AZ,column(ag1),0)*e591</f>
        <v>0</v>
      </c>
      <c r="AI591">
        <f>vlookup("906-423348-110",B:AZ,column(ah1),0)*e591</f>
        <v>0</v>
      </c>
      <c r="AJ591">
        <f>vlookup("906-423348-110",B:AZ,column(ai1),0)*e591</f>
        <v>0</v>
      </c>
      <c r="AK591">
        <f>vlookup("906-423348-110",B:AZ,column(aj1),0)*e591</f>
        <v>0</v>
      </c>
      <c r="AL591">
        <f>vlookup("906-423348-110",B:AZ,column(ak1),0)*e591</f>
        <v>0</v>
      </c>
      <c r="AM591">
        <f>vlookup("906-423348-110",B:AZ,column(al1),0)*e591</f>
        <v>0</v>
      </c>
      <c r="AN591">
        <f>vlookup("906-423348-110",B:AZ,column(am1),0)*e591</f>
        <v>0</v>
      </c>
      <c r="AO591">
        <f>vlookup("906-423348-110",B:AZ,column(an1),0)*e591</f>
        <v>0</v>
      </c>
    </row>
    <row r="592" spans="1:41">
      <c r="A592" t="s">
        <v>22</v>
      </c>
      <c r="B592" t="s">
        <v>508</v>
      </c>
      <c r="C592" t="s">
        <v>627</v>
      </c>
      <c r="E592">
        <v>2</v>
      </c>
      <c r="F592" t="s">
        <v>13</v>
      </c>
      <c r="I592" t="s">
        <v>15</v>
      </c>
      <c r="J592">
        <f>vlookup("906-423348-110",B:AZ,column(i1),0)*e592</f>
        <v>0</v>
      </c>
      <c r="K592">
        <f>vlookup("906-423348-110",B:AZ,column(j1),0)*e592</f>
        <v>0</v>
      </c>
      <c r="L592">
        <f>vlookup("906-423348-110",B:AZ,column(k1),0)*e592</f>
        <v>0</v>
      </c>
      <c r="M592">
        <f>vlookup("906-423348-110",B:AZ,column(l1),0)*e592</f>
        <v>0</v>
      </c>
      <c r="N592">
        <f>vlookup("906-423348-110",B:AZ,column(m1),0)*e592</f>
        <v>0</v>
      </c>
      <c r="O592">
        <f>vlookup("906-423348-110",B:AZ,column(n1),0)*e592</f>
        <v>0</v>
      </c>
      <c r="P592">
        <f>vlookup("906-423348-110",B:AZ,column(o1),0)*e592</f>
        <v>0</v>
      </c>
      <c r="Q592">
        <f>vlookup("906-423348-110",B:AZ,column(p1),0)*e592</f>
        <v>0</v>
      </c>
      <c r="R592">
        <f>vlookup("906-423348-110",B:AZ,column(q1),0)*e592</f>
        <v>0</v>
      </c>
      <c r="S592">
        <f>vlookup("906-423348-110",B:AZ,column(r1),0)*e592</f>
        <v>0</v>
      </c>
      <c r="T592">
        <f>vlookup("906-423348-110",B:AZ,column(s1),0)*e592</f>
        <v>0</v>
      </c>
      <c r="U592">
        <f>vlookup("906-423348-110",B:AZ,column(t1),0)*e592</f>
        <v>0</v>
      </c>
      <c r="V592">
        <f>vlookup("906-423348-110",B:AZ,column(u1),0)*e592</f>
        <v>0</v>
      </c>
      <c r="W592">
        <f>vlookup("906-423348-110",B:AZ,column(v1),0)*e592</f>
        <v>0</v>
      </c>
      <c r="X592">
        <f>vlookup("906-423348-110",B:AZ,column(w1),0)*e592</f>
        <v>0</v>
      </c>
      <c r="Y592">
        <f>vlookup("906-423348-110",B:AZ,column(x1),0)*e592</f>
        <v>0</v>
      </c>
      <c r="Z592">
        <f>vlookup("906-423348-110",B:AZ,column(y1),0)*e592</f>
        <v>0</v>
      </c>
      <c r="AA592">
        <f>vlookup("906-423348-110",B:AZ,column(z1),0)*e592</f>
        <v>0</v>
      </c>
      <c r="AB592">
        <f>vlookup("906-423348-110",B:AZ,column(aa1),0)*e592</f>
        <v>0</v>
      </c>
      <c r="AC592">
        <f>vlookup("906-423348-110",B:AZ,column(ab1),0)*e592</f>
        <v>0</v>
      </c>
      <c r="AD592">
        <f>vlookup("906-423348-110",B:AZ,column(ac1),0)*e592</f>
        <v>0</v>
      </c>
      <c r="AE592">
        <f>vlookup("906-423348-110",B:AZ,column(ad1),0)*e592</f>
        <v>0</v>
      </c>
      <c r="AF592">
        <f>vlookup("906-423348-110",B:AZ,column(ae1),0)*e592</f>
        <v>0</v>
      </c>
      <c r="AG592">
        <f>vlookup("906-423348-110",B:AZ,column(af1),0)*e592</f>
        <v>0</v>
      </c>
      <c r="AH592">
        <f>vlookup("906-423348-110",B:AZ,column(ag1),0)*e592</f>
        <v>0</v>
      </c>
      <c r="AI592">
        <f>vlookup("906-423348-110",B:AZ,column(ah1),0)*e592</f>
        <v>0</v>
      </c>
      <c r="AJ592">
        <f>vlookup("906-423348-110",B:AZ,column(ai1),0)*e592</f>
        <v>0</v>
      </c>
      <c r="AK592">
        <f>vlookup("906-423348-110",B:AZ,column(aj1),0)*e592</f>
        <v>0</v>
      </c>
      <c r="AL592">
        <f>vlookup("906-423348-110",B:AZ,column(ak1),0)*e592</f>
        <v>0</v>
      </c>
      <c r="AM592">
        <f>vlookup("906-423348-110",B:AZ,column(al1),0)*e592</f>
        <v>0</v>
      </c>
      <c r="AN592">
        <f>vlookup("906-423348-110",B:AZ,column(am1),0)*e592</f>
        <v>0</v>
      </c>
      <c r="AO592">
        <f>vlookup("906-423348-110",B:AZ,column(an1),0)*e592</f>
        <v>0</v>
      </c>
    </row>
    <row r="593" spans="1:41">
      <c r="A593" t="s">
        <v>10</v>
      </c>
      <c r="B593" t="s">
        <v>628</v>
      </c>
      <c r="C593" t="s">
        <v>629</v>
      </c>
      <c r="E593">
        <v>1</v>
      </c>
      <c r="F593" t="s">
        <v>13</v>
      </c>
      <c r="I593" t="s">
        <v>14</v>
      </c>
      <c r="AO593">
        <f>sum(j593:an593)</f>
        <v>0</v>
      </c>
    </row>
    <row r="594" spans="1:41">
      <c r="I594" t="s">
        <v>15</v>
      </c>
      <c r="J594">
        <f>vlookup("906-161000-110",Out!B:AZ,column(i1),0)</f>
        <v>0</v>
      </c>
      <c r="K594">
        <f>vlookup("906-161000-110",Out!B:AZ,column(j1),0)</f>
        <v>0</v>
      </c>
      <c r="L594">
        <f>vlookup("906-161000-110",Out!B:AZ,column(k1),0)</f>
        <v>0</v>
      </c>
      <c r="M594">
        <f>vlookup("906-161000-110",Out!B:AZ,column(l1),0)</f>
        <v>0</v>
      </c>
      <c r="N594">
        <f>vlookup("906-161000-110",Out!B:AZ,column(m1),0)</f>
        <v>0</v>
      </c>
      <c r="O594">
        <f>vlookup("906-161000-110",Out!B:AZ,column(n1),0)</f>
        <v>0</v>
      </c>
      <c r="P594">
        <f>vlookup("906-161000-110",Out!B:AZ,column(o1),0)</f>
        <v>0</v>
      </c>
      <c r="Q594">
        <f>vlookup("906-161000-110",Out!B:AZ,column(p1),0)</f>
        <v>0</v>
      </c>
      <c r="R594">
        <f>vlookup("906-161000-110",Out!B:AZ,column(q1),0)</f>
        <v>0</v>
      </c>
      <c r="S594">
        <f>vlookup("906-161000-110",Out!B:AZ,column(r1),0)</f>
        <v>0</v>
      </c>
      <c r="T594">
        <f>vlookup("906-161000-110",Out!B:AZ,column(s1),0)</f>
        <v>0</v>
      </c>
      <c r="U594">
        <f>vlookup("906-161000-110",Out!B:AZ,column(t1),0)</f>
        <v>0</v>
      </c>
      <c r="V594">
        <f>vlookup("906-161000-110",Out!B:AZ,column(u1),0)</f>
        <v>0</v>
      </c>
      <c r="W594">
        <f>vlookup("906-161000-110",Out!B:AZ,column(v1),0)</f>
        <v>0</v>
      </c>
      <c r="X594">
        <f>vlookup("906-161000-110",Out!B:AZ,column(w1),0)</f>
        <v>0</v>
      </c>
      <c r="Y594">
        <f>vlookup("906-161000-110",Out!B:AZ,column(x1),0)</f>
        <v>0</v>
      </c>
      <c r="Z594">
        <f>vlookup("906-161000-110",Out!B:AZ,column(y1),0)</f>
        <v>0</v>
      </c>
      <c r="AA594">
        <f>vlookup("906-161000-110",Out!B:AZ,column(z1),0)</f>
        <v>0</v>
      </c>
      <c r="AB594">
        <f>vlookup("906-161000-110",Out!B:AZ,column(aa1),0)</f>
        <v>0</v>
      </c>
      <c r="AC594">
        <f>vlookup("906-161000-110",Out!B:AZ,column(ab1),0)</f>
        <v>0</v>
      </c>
      <c r="AD594">
        <f>vlookup("906-161000-110",Out!B:AZ,column(ac1),0)</f>
        <v>0</v>
      </c>
      <c r="AE594">
        <f>vlookup("906-161000-110",Out!B:AZ,column(ad1),0)</f>
        <v>0</v>
      </c>
      <c r="AF594">
        <f>vlookup("906-161000-110",Out!B:AZ,column(ae1),0)</f>
        <v>0</v>
      </c>
      <c r="AG594">
        <f>vlookup("906-161000-110",Out!B:AZ,column(af1),0)</f>
        <v>0</v>
      </c>
      <c r="AH594">
        <f>vlookup("906-161000-110",Out!B:AZ,column(ag1),0)</f>
        <v>0</v>
      </c>
      <c r="AI594">
        <f>vlookup("906-161000-110",Out!B:AZ,column(ah1),0)</f>
        <v>0</v>
      </c>
      <c r="AJ594">
        <f>vlookup("906-161000-110",Out!B:AZ,column(ai1),0)</f>
        <v>0</v>
      </c>
      <c r="AK594">
        <f>vlookup("906-161000-110",Out!B:AZ,column(aj1),0)</f>
        <v>0</v>
      </c>
      <c r="AL594">
        <f>vlookup("906-161000-110",Out!B:AZ,column(ak1),0)</f>
        <v>0</v>
      </c>
      <c r="AM594">
        <f>vlookup("906-161000-110",Out!B:AZ,column(al1),0)</f>
        <v>0</v>
      </c>
      <c r="AN594">
        <f>vlookup("906-161000-110",Out!B:AZ,column(am1),0)</f>
        <v>0</v>
      </c>
      <c r="AO594">
        <f>vlookup("906-161000-110",Out!B:AZ,column(an1),0)</f>
        <v>0</v>
      </c>
    </row>
    <row r="595" spans="1:41">
      <c r="H595" t="s">
        <v>16</v>
      </c>
      <c r="J595">
        <f>indirect(address(595,9))+indirect(address(593,10))-indirect(address(594,10))</f>
        <v>0</v>
      </c>
      <c r="K595">
        <f>indirect(address(595,10))+indirect(address(593,11))-indirect(address(594,11))</f>
        <v>0</v>
      </c>
      <c r="L595">
        <f>indirect(address(595,11))+indirect(address(593,12))-indirect(address(594,12))</f>
        <v>0</v>
      </c>
      <c r="M595">
        <f>indirect(address(595,12))+indirect(address(593,13))-indirect(address(594,13))</f>
        <v>0</v>
      </c>
      <c r="N595">
        <f>indirect(address(595,13))+indirect(address(593,14))-indirect(address(594,14))</f>
        <v>0</v>
      </c>
      <c r="O595">
        <f>indirect(address(595,14))+indirect(address(593,15))-indirect(address(594,15))</f>
        <v>0</v>
      </c>
      <c r="P595">
        <f>indirect(address(595,15))+indirect(address(593,16))-indirect(address(594,16))</f>
        <v>0</v>
      </c>
      <c r="Q595">
        <f>indirect(address(595,16))+indirect(address(593,17))-indirect(address(594,17))</f>
        <v>0</v>
      </c>
      <c r="R595">
        <f>indirect(address(595,17))+indirect(address(593,18))-indirect(address(594,18))</f>
        <v>0</v>
      </c>
      <c r="S595">
        <f>indirect(address(595,18))+indirect(address(593,19))-indirect(address(594,19))</f>
        <v>0</v>
      </c>
      <c r="T595">
        <f>indirect(address(595,19))+indirect(address(593,20))-indirect(address(594,20))</f>
        <v>0</v>
      </c>
      <c r="U595">
        <f>indirect(address(595,20))+indirect(address(593,21))-indirect(address(594,21))</f>
        <v>0</v>
      </c>
      <c r="V595">
        <f>indirect(address(595,21))+indirect(address(593,22))-indirect(address(594,22))</f>
        <v>0</v>
      </c>
      <c r="W595">
        <f>indirect(address(595,22))+indirect(address(593,23))-indirect(address(594,23))</f>
        <v>0</v>
      </c>
      <c r="X595">
        <f>indirect(address(595,23))+indirect(address(593,24))-indirect(address(594,24))</f>
        <v>0</v>
      </c>
      <c r="Y595">
        <f>indirect(address(595,24))+indirect(address(593,25))-indirect(address(594,25))</f>
        <v>0</v>
      </c>
      <c r="Z595">
        <f>indirect(address(595,25))+indirect(address(593,26))-indirect(address(594,26))</f>
        <v>0</v>
      </c>
      <c r="AA595">
        <f>indirect(address(595,26))+indirect(address(593,27))-indirect(address(594,27))</f>
        <v>0</v>
      </c>
      <c r="AB595">
        <f>indirect(address(595,27))+indirect(address(593,28))-indirect(address(594,28))</f>
        <v>0</v>
      </c>
      <c r="AC595">
        <f>indirect(address(595,28))+indirect(address(593,29))-indirect(address(594,29))</f>
        <v>0</v>
      </c>
      <c r="AD595">
        <f>indirect(address(595,29))+indirect(address(593,30))-indirect(address(594,30))</f>
        <v>0</v>
      </c>
      <c r="AE595">
        <f>indirect(address(595,30))+indirect(address(593,31))-indirect(address(594,31))</f>
        <v>0</v>
      </c>
      <c r="AF595">
        <f>indirect(address(595,31))+indirect(address(593,32))-indirect(address(594,32))</f>
        <v>0</v>
      </c>
      <c r="AG595">
        <f>indirect(address(595,32))+indirect(address(593,33))-indirect(address(594,33))</f>
        <v>0</v>
      </c>
      <c r="AH595">
        <f>indirect(address(595,33))+indirect(address(593,34))-indirect(address(594,34))</f>
        <v>0</v>
      </c>
      <c r="AI595">
        <f>indirect(address(595,34))+indirect(address(593,35))-indirect(address(594,35))</f>
        <v>0</v>
      </c>
      <c r="AJ595">
        <f>indirect(address(595,35))+indirect(address(593,36))-indirect(address(594,36))</f>
        <v>0</v>
      </c>
      <c r="AK595">
        <f>indirect(address(595,36))+indirect(address(593,37))-indirect(address(594,37))</f>
        <v>0</v>
      </c>
      <c r="AL595">
        <f>indirect(address(595,37))+indirect(address(593,38))-indirect(address(594,38))</f>
        <v>0</v>
      </c>
      <c r="AM595">
        <f>indirect(address(595,38))+indirect(address(593,39))-indirect(address(594,39))</f>
        <v>0</v>
      </c>
      <c r="AN595">
        <f>indirect(address(595,39))+indirect(address(593,40))-indirect(address(594,40))</f>
        <v>0</v>
      </c>
      <c r="AO595">
        <f>indirect(address(595,40))</f>
        <v>0</v>
      </c>
    </row>
    <row r="596" spans="1:41">
      <c r="A596" t="s">
        <v>17</v>
      </c>
      <c r="B596" t="s">
        <v>630</v>
      </c>
      <c r="C596" t="s">
        <v>631</v>
      </c>
      <c r="E596">
        <v>1</v>
      </c>
      <c r="F596" t="s">
        <v>13</v>
      </c>
      <c r="I596" t="s">
        <v>15</v>
      </c>
      <c r="J596">
        <f>vlookup("906-161000-110",B:AZ,column(i1),0)*e596</f>
        <v>0</v>
      </c>
      <c r="K596">
        <f>vlookup("906-161000-110",B:AZ,column(j1),0)*e596</f>
        <v>0</v>
      </c>
      <c r="L596">
        <f>vlookup("906-161000-110",B:AZ,column(k1),0)*e596</f>
        <v>0</v>
      </c>
      <c r="M596">
        <f>vlookup("906-161000-110",B:AZ,column(l1),0)*e596</f>
        <v>0</v>
      </c>
      <c r="N596">
        <f>vlookup("906-161000-110",B:AZ,column(m1),0)*e596</f>
        <v>0</v>
      </c>
      <c r="O596">
        <f>vlookup("906-161000-110",B:AZ,column(n1),0)*e596</f>
        <v>0</v>
      </c>
      <c r="P596">
        <f>vlookup("906-161000-110",B:AZ,column(o1),0)*e596</f>
        <v>0</v>
      </c>
      <c r="Q596">
        <f>vlookup("906-161000-110",B:AZ,column(p1),0)*e596</f>
        <v>0</v>
      </c>
      <c r="R596">
        <f>vlookup("906-161000-110",B:AZ,column(q1),0)*e596</f>
        <v>0</v>
      </c>
      <c r="S596">
        <f>vlookup("906-161000-110",B:AZ,column(r1),0)*e596</f>
        <v>0</v>
      </c>
      <c r="T596">
        <f>vlookup("906-161000-110",B:AZ,column(s1),0)*e596</f>
        <v>0</v>
      </c>
      <c r="U596">
        <f>vlookup("906-161000-110",B:AZ,column(t1),0)*e596</f>
        <v>0</v>
      </c>
      <c r="V596">
        <f>vlookup("906-161000-110",B:AZ,column(u1),0)*e596</f>
        <v>0</v>
      </c>
      <c r="W596">
        <f>vlookup("906-161000-110",B:AZ,column(v1),0)*e596</f>
        <v>0</v>
      </c>
      <c r="X596">
        <f>vlookup("906-161000-110",B:AZ,column(w1),0)*e596</f>
        <v>0</v>
      </c>
      <c r="Y596">
        <f>vlookup("906-161000-110",B:AZ,column(x1),0)*e596</f>
        <v>0</v>
      </c>
      <c r="Z596">
        <f>vlookup("906-161000-110",B:AZ,column(y1),0)*e596</f>
        <v>0</v>
      </c>
      <c r="AA596">
        <f>vlookup("906-161000-110",B:AZ,column(z1),0)*e596</f>
        <v>0</v>
      </c>
      <c r="AB596">
        <f>vlookup("906-161000-110",B:AZ,column(aa1),0)*e596</f>
        <v>0</v>
      </c>
      <c r="AC596">
        <f>vlookup("906-161000-110",B:AZ,column(ab1),0)*e596</f>
        <v>0</v>
      </c>
      <c r="AD596">
        <f>vlookup("906-161000-110",B:AZ,column(ac1),0)*e596</f>
        <v>0</v>
      </c>
      <c r="AE596">
        <f>vlookup("906-161000-110",B:AZ,column(ad1),0)*e596</f>
        <v>0</v>
      </c>
      <c r="AF596">
        <f>vlookup("906-161000-110",B:AZ,column(ae1),0)*e596</f>
        <v>0</v>
      </c>
      <c r="AG596">
        <f>vlookup("906-161000-110",B:AZ,column(af1),0)*e596</f>
        <v>0</v>
      </c>
      <c r="AH596">
        <f>vlookup("906-161000-110",B:AZ,column(ag1),0)*e596</f>
        <v>0</v>
      </c>
      <c r="AI596">
        <f>vlookup("906-161000-110",B:AZ,column(ah1),0)*e596</f>
        <v>0</v>
      </c>
      <c r="AJ596">
        <f>vlookup("906-161000-110",B:AZ,column(ai1),0)*e596</f>
        <v>0</v>
      </c>
      <c r="AK596">
        <f>vlookup("906-161000-110",B:AZ,column(aj1),0)*e596</f>
        <v>0</v>
      </c>
      <c r="AL596">
        <f>vlookup("906-161000-110",B:AZ,column(ak1),0)*e596</f>
        <v>0</v>
      </c>
      <c r="AM596">
        <f>vlookup("906-161000-110",B:AZ,column(al1),0)*e596</f>
        <v>0</v>
      </c>
      <c r="AN596">
        <f>vlookup("906-161000-110",B:AZ,column(am1),0)*e596</f>
        <v>0</v>
      </c>
      <c r="AO596">
        <f>vlookup("906-161000-110",B:AZ,column(an1),0)*e596</f>
        <v>0</v>
      </c>
    </row>
    <row r="597" spans="1:41">
      <c r="A597" t="s">
        <v>22</v>
      </c>
      <c r="B597" t="s">
        <v>512</v>
      </c>
      <c r="C597" t="s">
        <v>632</v>
      </c>
      <c r="E597">
        <v>1</v>
      </c>
      <c r="F597" t="s">
        <v>13</v>
      </c>
      <c r="I597" t="s">
        <v>15</v>
      </c>
      <c r="J597">
        <f>vlookup("906-161000-110",B:AZ,column(i1),0)*e597</f>
        <v>0</v>
      </c>
      <c r="K597">
        <f>vlookup("906-161000-110",B:AZ,column(j1),0)*e597</f>
        <v>0</v>
      </c>
      <c r="L597">
        <f>vlookup("906-161000-110",B:AZ,column(k1),0)*e597</f>
        <v>0</v>
      </c>
      <c r="M597">
        <f>vlookup("906-161000-110",B:AZ,column(l1),0)*e597</f>
        <v>0</v>
      </c>
      <c r="N597">
        <f>vlookup("906-161000-110",B:AZ,column(m1),0)*e597</f>
        <v>0</v>
      </c>
      <c r="O597">
        <f>vlookup("906-161000-110",B:AZ,column(n1),0)*e597</f>
        <v>0</v>
      </c>
      <c r="P597">
        <f>vlookup("906-161000-110",B:AZ,column(o1),0)*e597</f>
        <v>0</v>
      </c>
      <c r="Q597">
        <f>vlookup("906-161000-110",B:AZ,column(p1),0)*e597</f>
        <v>0</v>
      </c>
      <c r="R597">
        <f>vlookup("906-161000-110",B:AZ,column(q1),0)*e597</f>
        <v>0</v>
      </c>
      <c r="S597">
        <f>vlookup("906-161000-110",B:AZ,column(r1),0)*e597</f>
        <v>0</v>
      </c>
      <c r="T597">
        <f>vlookup("906-161000-110",B:AZ,column(s1),0)*e597</f>
        <v>0</v>
      </c>
      <c r="U597">
        <f>vlookup("906-161000-110",B:AZ,column(t1),0)*e597</f>
        <v>0</v>
      </c>
      <c r="V597">
        <f>vlookup("906-161000-110",B:AZ,column(u1),0)*e597</f>
        <v>0</v>
      </c>
      <c r="W597">
        <f>vlookup("906-161000-110",B:AZ,column(v1),0)*e597</f>
        <v>0</v>
      </c>
      <c r="X597">
        <f>vlookup("906-161000-110",B:AZ,column(w1),0)*e597</f>
        <v>0</v>
      </c>
      <c r="Y597">
        <f>vlookup("906-161000-110",B:AZ,column(x1),0)*e597</f>
        <v>0</v>
      </c>
      <c r="Z597">
        <f>vlookup("906-161000-110",B:AZ,column(y1),0)*e597</f>
        <v>0</v>
      </c>
      <c r="AA597">
        <f>vlookup("906-161000-110",B:AZ,column(z1),0)*e597</f>
        <v>0</v>
      </c>
      <c r="AB597">
        <f>vlookup("906-161000-110",B:AZ,column(aa1),0)*e597</f>
        <v>0</v>
      </c>
      <c r="AC597">
        <f>vlookup("906-161000-110",B:AZ,column(ab1),0)*e597</f>
        <v>0</v>
      </c>
      <c r="AD597">
        <f>vlookup("906-161000-110",B:AZ,column(ac1),0)*e597</f>
        <v>0</v>
      </c>
      <c r="AE597">
        <f>vlookup("906-161000-110",B:AZ,column(ad1),0)*e597</f>
        <v>0</v>
      </c>
      <c r="AF597">
        <f>vlookup("906-161000-110",B:AZ,column(ae1),0)*e597</f>
        <v>0</v>
      </c>
      <c r="AG597">
        <f>vlookup("906-161000-110",B:AZ,column(af1),0)*e597</f>
        <v>0</v>
      </c>
      <c r="AH597">
        <f>vlookup("906-161000-110",B:AZ,column(ag1),0)*e597</f>
        <v>0</v>
      </c>
      <c r="AI597">
        <f>vlookup("906-161000-110",B:AZ,column(ah1),0)*e597</f>
        <v>0</v>
      </c>
      <c r="AJ597">
        <f>vlookup("906-161000-110",B:AZ,column(ai1),0)*e597</f>
        <v>0</v>
      </c>
      <c r="AK597">
        <f>vlookup("906-161000-110",B:AZ,column(aj1),0)*e597</f>
        <v>0</v>
      </c>
      <c r="AL597">
        <f>vlookup("906-161000-110",B:AZ,column(ak1),0)*e597</f>
        <v>0</v>
      </c>
      <c r="AM597">
        <f>vlookup("906-161000-110",B:AZ,column(al1),0)*e597</f>
        <v>0</v>
      </c>
      <c r="AN597">
        <f>vlookup("906-161000-110",B:AZ,column(am1),0)*e597</f>
        <v>0</v>
      </c>
      <c r="AO597">
        <f>vlookup("906-161000-110",B:AZ,column(an1),0)*e597</f>
        <v>0</v>
      </c>
    </row>
    <row r="598" spans="1:41">
      <c r="A598" t="s">
        <v>22</v>
      </c>
      <c r="B598" t="s">
        <v>633</v>
      </c>
      <c r="C598" t="s">
        <v>634</v>
      </c>
      <c r="E598">
        <v>1</v>
      </c>
      <c r="F598" t="s">
        <v>13</v>
      </c>
      <c r="I598" t="s">
        <v>15</v>
      </c>
      <c r="J598">
        <f>vlookup("906-161000-110",B:AZ,column(i1),0)*e598</f>
        <v>0</v>
      </c>
      <c r="K598">
        <f>vlookup("906-161000-110",B:AZ,column(j1),0)*e598</f>
        <v>0</v>
      </c>
      <c r="L598">
        <f>vlookup("906-161000-110",B:AZ,column(k1),0)*e598</f>
        <v>0</v>
      </c>
      <c r="M598">
        <f>vlookup("906-161000-110",B:AZ,column(l1),0)*e598</f>
        <v>0</v>
      </c>
      <c r="N598">
        <f>vlookup("906-161000-110",B:AZ,column(m1),0)*e598</f>
        <v>0</v>
      </c>
      <c r="O598">
        <f>vlookup("906-161000-110",B:AZ,column(n1),0)*e598</f>
        <v>0</v>
      </c>
      <c r="P598">
        <f>vlookup("906-161000-110",B:AZ,column(o1),0)*e598</f>
        <v>0</v>
      </c>
      <c r="Q598">
        <f>vlookup("906-161000-110",B:AZ,column(p1),0)*e598</f>
        <v>0</v>
      </c>
      <c r="R598">
        <f>vlookup("906-161000-110",B:AZ,column(q1),0)*e598</f>
        <v>0</v>
      </c>
      <c r="S598">
        <f>vlookup("906-161000-110",B:AZ,column(r1),0)*e598</f>
        <v>0</v>
      </c>
      <c r="T598">
        <f>vlookup("906-161000-110",B:AZ,column(s1),0)*e598</f>
        <v>0</v>
      </c>
      <c r="U598">
        <f>vlookup("906-161000-110",B:AZ,column(t1),0)*e598</f>
        <v>0</v>
      </c>
      <c r="V598">
        <f>vlookup("906-161000-110",B:AZ,column(u1),0)*e598</f>
        <v>0</v>
      </c>
      <c r="W598">
        <f>vlookup("906-161000-110",B:AZ,column(v1),0)*e598</f>
        <v>0</v>
      </c>
      <c r="X598">
        <f>vlookup("906-161000-110",B:AZ,column(w1),0)*e598</f>
        <v>0</v>
      </c>
      <c r="Y598">
        <f>vlookup("906-161000-110",B:AZ,column(x1),0)*e598</f>
        <v>0</v>
      </c>
      <c r="Z598">
        <f>vlookup("906-161000-110",B:AZ,column(y1),0)*e598</f>
        <v>0</v>
      </c>
      <c r="AA598">
        <f>vlookup("906-161000-110",B:AZ,column(z1),0)*e598</f>
        <v>0</v>
      </c>
      <c r="AB598">
        <f>vlookup("906-161000-110",B:AZ,column(aa1),0)*e598</f>
        <v>0</v>
      </c>
      <c r="AC598">
        <f>vlookup("906-161000-110",B:AZ,column(ab1),0)*e598</f>
        <v>0</v>
      </c>
      <c r="AD598">
        <f>vlookup("906-161000-110",B:AZ,column(ac1),0)*e598</f>
        <v>0</v>
      </c>
      <c r="AE598">
        <f>vlookup("906-161000-110",B:AZ,column(ad1),0)*e598</f>
        <v>0</v>
      </c>
      <c r="AF598">
        <f>vlookup("906-161000-110",B:AZ,column(ae1),0)*e598</f>
        <v>0</v>
      </c>
      <c r="AG598">
        <f>vlookup("906-161000-110",B:AZ,column(af1),0)*e598</f>
        <v>0</v>
      </c>
      <c r="AH598">
        <f>vlookup("906-161000-110",B:AZ,column(ag1),0)*e598</f>
        <v>0</v>
      </c>
      <c r="AI598">
        <f>vlookup("906-161000-110",B:AZ,column(ah1),0)*e598</f>
        <v>0</v>
      </c>
      <c r="AJ598">
        <f>vlookup("906-161000-110",B:AZ,column(ai1),0)*e598</f>
        <v>0</v>
      </c>
      <c r="AK598">
        <f>vlookup("906-161000-110",B:AZ,column(aj1),0)*e598</f>
        <v>0</v>
      </c>
      <c r="AL598">
        <f>vlookup("906-161000-110",B:AZ,column(ak1),0)*e598</f>
        <v>0</v>
      </c>
      <c r="AM598">
        <f>vlookup("906-161000-110",B:AZ,column(al1),0)*e598</f>
        <v>0</v>
      </c>
      <c r="AN598">
        <f>vlookup("906-161000-110",B:AZ,column(am1),0)*e598</f>
        <v>0</v>
      </c>
      <c r="AO598">
        <f>vlookup("906-161000-110",B:AZ,column(an1),0)*e598</f>
        <v>0</v>
      </c>
    </row>
    <row r="599" spans="1:41">
      <c r="A599" t="s">
        <v>10</v>
      </c>
      <c r="B599" t="s">
        <v>635</v>
      </c>
      <c r="C599" t="s">
        <v>636</v>
      </c>
      <c r="E599">
        <v>1</v>
      </c>
      <c r="F599" t="s">
        <v>13</v>
      </c>
      <c r="I599" t="s">
        <v>14</v>
      </c>
      <c r="AO599">
        <f>sum(j599:an599)</f>
        <v>0</v>
      </c>
    </row>
    <row r="600" spans="1:41">
      <c r="I600" t="s">
        <v>15</v>
      </c>
      <c r="J600">
        <f>vlookup("906-222000-100",Out!B:AZ,column(i1),0)</f>
        <v>0</v>
      </c>
      <c r="K600">
        <f>vlookup("906-222000-100",Out!B:AZ,column(j1),0)</f>
        <v>0</v>
      </c>
      <c r="L600">
        <f>vlookup("906-222000-100",Out!B:AZ,column(k1),0)</f>
        <v>0</v>
      </c>
      <c r="M600">
        <f>vlookup("906-222000-100",Out!B:AZ,column(l1),0)</f>
        <v>0</v>
      </c>
      <c r="N600">
        <f>vlookup("906-222000-100",Out!B:AZ,column(m1),0)</f>
        <v>0</v>
      </c>
      <c r="O600">
        <f>vlookup("906-222000-100",Out!B:AZ,column(n1),0)</f>
        <v>0</v>
      </c>
      <c r="P600">
        <f>vlookup("906-222000-100",Out!B:AZ,column(o1),0)</f>
        <v>0</v>
      </c>
      <c r="Q600">
        <f>vlookup("906-222000-100",Out!B:AZ,column(p1),0)</f>
        <v>0</v>
      </c>
      <c r="R600">
        <f>vlookup("906-222000-100",Out!B:AZ,column(q1),0)</f>
        <v>0</v>
      </c>
      <c r="S600">
        <f>vlookup("906-222000-100",Out!B:AZ,column(r1),0)</f>
        <v>0</v>
      </c>
      <c r="T600">
        <f>vlookup("906-222000-100",Out!B:AZ,column(s1),0)</f>
        <v>0</v>
      </c>
      <c r="U600">
        <f>vlookup("906-222000-100",Out!B:AZ,column(t1),0)</f>
        <v>0</v>
      </c>
      <c r="V600">
        <f>vlookup("906-222000-100",Out!B:AZ,column(u1),0)</f>
        <v>0</v>
      </c>
      <c r="W600">
        <f>vlookup("906-222000-100",Out!B:AZ,column(v1),0)</f>
        <v>0</v>
      </c>
      <c r="X600">
        <f>vlookup("906-222000-100",Out!B:AZ,column(w1),0)</f>
        <v>0</v>
      </c>
      <c r="Y600">
        <f>vlookup("906-222000-100",Out!B:AZ,column(x1),0)</f>
        <v>0</v>
      </c>
      <c r="Z600">
        <f>vlookup("906-222000-100",Out!B:AZ,column(y1),0)</f>
        <v>0</v>
      </c>
      <c r="AA600">
        <f>vlookup("906-222000-100",Out!B:AZ,column(z1),0)</f>
        <v>0</v>
      </c>
      <c r="AB600">
        <f>vlookup("906-222000-100",Out!B:AZ,column(aa1),0)</f>
        <v>0</v>
      </c>
      <c r="AC600">
        <f>vlookup("906-222000-100",Out!B:AZ,column(ab1),0)</f>
        <v>0</v>
      </c>
      <c r="AD600">
        <f>vlookup("906-222000-100",Out!B:AZ,column(ac1),0)</f>
        <v>0</v>
      </c>
      <c r="AE600">
        <f>vlookup("906-222000-100",Out!B:AZ,column(ad1),0)</f>
        <v>0</v>
      </c>
      <c r="AF600">
        <f>vlookup("906-222000-100",Out!B:AZ,column(ae1),0)</f>
        <v>0</v>
      </c>
      <c r="AG600">
        <f>vlookup("906-222000-100",Out!B:AZ,column(af1),0)</f>
        <v>0</v>
      </c>
      <c r="AH600">
        <f>vlookup("906-222000-100",Out!B:AZ,column(ag1),0)</f>
        <v>0</v>
      </c>
      <c r="AI600">
        <f>vlookup("906-222000-100",Out!B:AZ,column(ah1),0)</f>
        <v>0</v>
      </c>
      <c r="AJ600">
        <f>vlookup("906-222000-100",Out!B:AZ,column(ai1),0)</f>
        <v>0</v>
      </c>
      <c r="AK600">
        <f>vlookup("906-222000-100",Out!B:AZ,column(aj1),0)</f>
        <v>0</v>
      </c>
      <c r="AL600">
        <f>vlookup("906-222000-100",Out!B:AZ,column(ak1),0)</f>
        <v>0</v>
      </c>
      <c r="AM600">
        <f>vlookup("906-222000-100",Out!B:AZ,column(al1),0)</f>
        <v>0</v>
      </c>
      <c r="AN600">
        <f>vlookup("906-222000-100",Out!B:AZ,column(am1),0)</f>
        <v>0</v>
      </c>
      <c r="AO600">
        <f>vlookup("906-222000-100",Out!B:AZ,column(an1),0)</f>
        <v>0</v>
      </c>
    </row>
    <row r="601" spans="1:41">
      <c r="H601" t="s">
        <v>16</v>
      </c>
      <c r="J601">
        <f>indirect(address(601,9))+indirect(address(599,10))-indirect(address(600,10))</f>
        <v>0</v>
      </c>
      <c r="K601">
        <f>indirect(address(601,10))+indirect(address(599,11))-indirect(address(600,11))</f>
        <v>0</v>
      </c>
      <c r="L601">
        <f>indirect(address(601,11))+indirect(address(599,12))-indirect(address(600,12))</f>
        <v>0</v>
      </c>
      <c r="M601">
        <f>indirect(address(601,12))+indirect(address(599,13))-indirect(address(600,13))</f>
        <v>0</v>
      </c>
      <c r="N601">
        <f>indirect(address(601,13))+indirect(address(599,14))-indirect(address(600,14))</f>
        <v>0</v>
      </c>
      <c r="O601">
        <f>indirect(address(601,14))+indirect(address(599,15))-indirect(address(600,15))</f>
        <v>0</v>
      </c>
      <c r="P601">
        <f>indirect(address(601,15))+indirect(address(599,16))-indirect(address(600,16))</f>
        <v>0</v>
      </c>
      <c r="Q601">
        <f>indirect(address(601,16))+indirect(address(599,17))-indirect(address(600,17))</f>
        <v>0</v>
      </c>
      <c r="R601">
        <f>indirect(address(601,17))+indirect(address(599,18))-indirect(address(600,18))</f>
        <v>0</v>
      </c>
      <c r="S601">
        <f>indirect(address(601,18))+indirect(address(599,19))-indirect(address(600,19))</f>
        <v>0</v>
      </c>
      <c r="T601">
        <f>indirect(address(601,19))+indirect(address(599,20))-indirect(address(600,20))</f>
        <v>0</v>
      </c>
      <c r="U601">
        <f>indirect(address(601,20))+indirect(address(599,21))-indirect(address(600,21))</f>
        <v>0</v>
      </c>
      <c r="V601">
        <f>indirect(address(601,21))+indirect(address(599,22))-indirect(address(600,22))</f>
        <v>0</v>
      </c>
      <c r="W601">
        <f>indirect(address(601,22))+indirect(address(599,23))-indirect(address(600,23))</f>
        <v>0</v>
      </c>
      <c r="X601">
        <f>indirect(address(601,23))+indirect(address(599,24))-indirect(address(600,24))</f>
        <v>0</v>
      </c>
      <c r="Y601">
        <f>indirect(address(601,24))+indirect(address(599,25))-indirect(address(600,25))</f>
        <v>0</v>
      </c>
      <c r="Z601">
        <f>indirect(address(601,25))+indirect(address(599,26))-indirect(address(600,26))</f>
        <v>0</v>
      </c>
      <c r="AA601">
        <f>indirect(address(601,26))+indirect(address(599,27))-indirect(address(600,27))</f>
        <v>0</v>
      </c>
      <c r="AB601">
        <f>indirect(address(601,27))+indirect(address(599,28))-indirect(address(600,28))</f>
        <v>0</v>
      </c>
      <c r="AC601">
        <f>indirect(address(601,28))+indirect(address(599,29))-indirect(address(600,29))</f>
        <v>0</v>
      </c>
      <c r="AD601">
        <f>indirect(address(601,29))+indirect(address(599,30))-indirect(address(600,30))</f>
        <v>0</v>
      </c>
      <c r="AE601">
        <f>indirect(address(601,30))+indirect(address(599,31))-indirect(address(600,31))</f>
        <v>0</v>
      </c>
      <c r="AF601">
        <f>indirect(address(601,31))+indirect(address(599,32))-indirect(address(600,32))</f>
        <v>0</v>
      </c>
      <c r="AG601">
        <f>indirect(address(601,32))+indirect(address(599,33))-indirect(address(600,33))</f>
        <v>0</v>
      </c>
      <c r="AH601">
        <f>indirect(address(601,33))+indirect(address(599,34))-indirect(address(600,34))</f>
        <v>0</v>
      </c>
      <c r="AI601">
        <f>indirect(address(601,34))+indirect(address(599,35))-indirect(address(600,35))</f>
        <v>0</v>
      </c>
      <c r="AJ601">
        <f>indirect(address(601,35))+indirect(address(599,36))-indirect(address(600,36))</f>
        <v>0</v>
      </c>
      <c r="AK601">
        <f>indirect(address(601,36))+indirect(address(599,37))-indirect(address(600,37))</f>
        <v>0</v>
      </c>
      <c r="AL601">
        <f>indirect(address(601,37))+indirect(address(599,38))-indirect(address(600,38))</f>
        <v>0</v>
      </c>
      <c r="AM601">
        <f>indirect(address(601,38))+indirect(address(599,39))-indirect(address(600,39))</f>
        <v>0</v>
      </c>
      <c r="AN601">
        <f>indirect(address(601,39))+indirect(address(599,40))-indirect(address(600,40))</f>
        <v>0</v>
      </c>
      <c r="AO601">
        <f>indirect(address(601,40))</f>
        <v>0</v>
      </c>
    </row>
    <row r="602" spans="1:41">
      <c r="A602" t="s">
        <v>17</v>
      </c>
      <c r="B602" t="s">
        <v>637</v>
      </c>
      <c r="C602" t="s">
        <v>638</v>
      </c>
      <c r="E602">
        <v>1</v>
      </c>
      <c r="F602" t="s">
        <v>13</v>
      </c>
      <c r="I602" t="s">
        <v>15</v>
      </c>
      <c r="J602">
        <f>vlookup("906-222000-100",B:AZ,column(i1),0)*e602</f>
        <v>0</v>
      </c>
      <c r="K602">
        <f>vlookup("906-222000-100",B:AZ,column(j1),0)*e602</f>
        <v>0</v>
      </c>
      <c r="L602">
        <f>vlookup("906-222000-100",B:AZ,column(k1),0)*e602</f>
        <v>0</v>
      </c>
      <c r="M602">
        <f>vlookup("906-222000-100",B:AZ,column(l1),0)*e602</f>
        <v>0</v>
      </c>
      <c r="N602">
        <f>vlookup("906-222000-100",B:AZ,column(m1),0)*e602</f>
        <v>0</v>
      </c>
      <c r="O602">
        <f>vlookup("906-222000-100",B:AZ,column(n1),0)*e602</f>
        <v>0</v>
      </c>
      <c r="P602">
        <f>vlookup("906-222000-100",B:AZ,column(o1),0)*e602</f>
        <v>0</v>
      </c>
      <c r="Q602">
        <f>vlookup("906-222000-100",B:AZ,column(p1),0)*e602</f>
        <v>0</v>
      </c>
      <c r="R602">
        <f>vlookup("906-222000-100",B:AZ,column(q1),0)*e602</f>
        <v>0</v>
      </c>
      <c r="S602">
        <f>vlookup("906-222000-100",B:AZ,column(r1),0)*e602</f>
        <v>0</v>
      </c>
      <c r="T602">
        <f>vlookup("906-222000-100",B:AZ,column(s1),0)*e602</f>
        <v>0</v>
      </c>
      <c r="U602">
        <f>vlookup("906-222000-100",B:AZ,column(t1),0)*e602</f>
        <v>0</v>
      </c>
      <c r="V602">
        <f>vlookup("906-222000-100",B:AZ,column(u1),0)*e602</f>
        <v>0</v>
      </c>
      <c r="W602">
        <f>vlookup("906-222000-100",B:AZ,column(v1),0)*e602</f>
        <v>0</v>
      </c>
      <c r="X602">
        <f>vlookup("906-222000-100",B:AZ,column(w1),0)*e602</f>
        <v>0</v>
      </c>
      <c r="Y602">
        <f>vlookup("906-222000-100",B:AZ,column(x1),0)*e602</f>
        <v>0</v>
      </c>
      <c r="Z602">
        <f>vlookup("906-222000-100",B:AZ,column(y1),0)*e602</f>
        <v>0</v>
      </c>
      <c r="AA602">
        <f>vlookup("906-222000-100",B:AZ,column(z1),0)*e602</f>
        <v>0</v>
      </c>
      <c r="AB602">
        <f>vlookup("906-222000-100",B:AZ,column(aa1),0)*e602</f>
        <v>0</v>
      </c>
      <c r="AC602">
        <f>vlookup("906-222000-100",B:AZ,column(ab1),0)*e602</f>
        <v>0</v>
      </c>
      <c r="AD602">
        <f>vlookup("906-222000-100",B:AZ,column(ac1),0)*e602</f>
        <v>0</v>
      </c>
      <c r="AE602">
        <f>vlookup("906-222000-100",B:AZ,column(ad1),0)*e602</f>
        <v>0</v>
      </c>
      <c r="AF602">
        <f>vlookup("906-222000-100",B:AZ,column(ae1),0)*e602</f>
        <v>0</v>
      </c>
      <c r="AG602">
        <f>vlookup("906-222000-100",B:AZ,column(af1),0)*e602</f>
        <v>0</v>
      </c>
      <c r="AH602">
        <f>vlookup("906-222000-100",B:AZ,column(ag1),0)*e602</f>
        <v>0</v>
      </c>
      <c r="AI602">
        <f>vlookup("906-222000-100",B:AZ,column(ah1),0)*e602</f>
        <v>0</v>
      </c>
      <c r="AJ602">
        <f>vlookup("906-222000-100",B:AZ,column(ai1),0)*e602</f>
        <v>0</v>
      </c>
      <c r="AK602">
        <f>vlookup("906-222000-100",B:AZ,column(aj1),0)*e602</f>
        <v>0</v>
      </c>
      <c r="AL602">
        <f>vlookup("906-222000-100",B:AZ,column(ak1),0)*e602</f>
        <v>0</v>
      </c>
      <c r="AM602">
        <f>vlookup("906-222000-100",B:AZ,column(al1),0)*e602</f>
        <v>0</v>
      </c>
      <c r="AN602">
        <f>vlookup("906-222000-100",B:AZ,column(am1),0)*e602</f>
        <v>0</v>
      </c>
      <c r="AO602">
        <f>vlookup("906-222000-100",B:AZ,column(an1),0)*e602</f>
        <v>0</v>
      </c>
    </row>
    <row r="603" spans="1:41">
      <c r="A603" t="s">
        <v>22</v>
      </c>
      <c r="B603" t="s">
        <v>639</v>
      </c>
      <c r="C603" t="s">
        <v>640</v>
      </c>
      <c r="E603">
        <v>0.03</v>
      </c>
      <c r="F603" t="s">
        <v>13</v>
      </c>
      <c r="I603" t="s">
        <v>15</v>
      </c>
      <c r="J603">
        <f>vlookup("906-222000-100",B:AZ,column(i1),0)*e603</f>
        <v>0</v>
      </c>
      <c r="K603">
        <f>vlookup("906-222000-100",B:AZ,column(j1),0)*e603</f>
        <v>0</v>
      </c>
      <c r="L603">
        <f>vlookup("906-222000-100",B:AZ,column(k1),0)*e603</f>
        <v>0</v>
      </c>
      <c r="M603">
        <f>vlookup("906-222000-100",B:AZ,column(l1),0)*e603</f>
        <v>0</v>
      </c>
      <c r="N603">
        <f>vlookup("906-222000-100",B:AZ,column(m1),0)*e603</f>
        <v>0</v>
      </c>
      <c r="O603">
        <f>vlookup("906-222000-100",B:AZ,column(n1),0)*e603</f>
        <v>0</v>
      </c>
      <c r="P603">
        <f>vlookup("906-222000-100",B:AZ,column(o1),0)*e603</f>
        <v>0</v>
      </c>
      <c r="Q603">
        <f>vlookup("906-222000-100",B:AZ,column(p1),0)*e603</f>
        <v>0</v>
      </c>
      <c r="R603">
        <f>vlookup("906-222000-100",B:AZ,column(q1),0)*e603</f>
        <v>0</v>
      </c>
      <c r="S603">
        <f>vlookup("906-222000-100",B:AZ,column(r1),0)*e603</f>
        <v>0</v>
      </c>
      <c r="T603">
        <f>vlookup("906-222000-100",B:AZ,column(s1),0)*e603</f>
        <v>0</v>
      </c>
      <c r="U603">
        <f>vlookup("906-222000-100",B:AZ,column(t1),0)*e603</f>
        <v>0</v>
      </c>
      <c r="V603">
        <f>vlookup("906-222000-100",B:AZ,column(u1),0)*e603</f>
        <v>0</v>
      </c>
      <c r="W603">
        <f>vlookup("906-222000-100",B:AZ,column(v1),0)*e603</f>
        <v>0</v>
      </c>
      <c r="X603">
        <f>vlookup("906-222000-100",B:AZ,column(w1),0)*e603</f>
        <v>0</v>
      </c>
      <c r="Y603">
        <f>vlookup("906-222000-100",B:AZ,column(x1),0)*e603</f>
        <v>0</v>
      </c>
      <c r="Z603">
        <f>vlookup("906-222000-100",B:AZ,column(y1),0)*e603</f>
        <v>0</v>
      </c>
      <c r="AA603">
        <f>vlookup("906-222000-100",B:AZ,column(z1),0)*e603</f>
        <v>0</v>
      </c>
      <c r="AB603">
        <f>vlookup("906-222000-100",B:AZ,column(aa1),0)*e603</f>
        <v>0</v>
      </c>
      <c r="AC603">
        <f>vlookup("906-222000-100",B:AZ,column(ab1),0)*e603</f>
        <v>0</v>
      </c>
      <c r="AD603">
        <f>vlookup("906-222000-100",B:AZ,column(ac1),0)*e603</f>
        <v>0</v>
      </c>
      <c r="AE603">
        <f>vlookup("906-222000-100",B:AZ,column(ad1),0)*e603</f>
        <v>0</v>
      </c>
      <c r="AF603">
        <f>vlookup("906-222000-100",B:AZ,column(ae1),0)*e603</f>
        <v>0</v>
      </c>
      <c r="AG603">
        <f>vlookup("906-222000-100",B:AZ,column(af1),0)*e603</f>
        <v>0</v>
      </c>
      <c r="AH603">
        <f>vlookup("906-222000-100",B:AZ,column(ag1),0)*e603</f>
        <v>0</v>
      </c>
      <c r="AI603">
        <f>vlookup("906-222000-100",B:AZ,column(ah1),0)*e603</f>
        <v>0</v>
      </c>
      <c r="AJ603">
        <f>vlookup("906-222000-100",B:AZ,column(ai1),0)*e603</f>
        <v>0</v>
      </c>
      <c r="AK603">
        <f>vlookup("906-222000-100",B:AZ,column(aj1),0)*e603</f>
        <v>0</v>
      </c>
      <c r="AL603">
        <f>vlookup("906-222000-100",B:AZ,column(ak1),0)*e603</f>
        <v>0</v>
      </c>
      <c r="AM603">
        <f>vlookup("906-222000-100",B:AZ,column(al1),0)*e603</f>
        <v>0</v>
      </c>
      <c r="AN603">
        <f>vlookup("906-222000-100",B:AZ,column(am1),0)*e603</f>
        <v>0</v>
      </c>
      <c r="AO603">
        <f>vlookup("906-222000-100",B:AZ,column(an1),0)*e603</f>
        <v>0</v>
      </c>
    </row>
    <row r="604" spans="1:41">
      <c r="A604" t="s">
        <v>22</v>
      </c>
      <c r="B604" t="s">
        <v>641</v>
      </c>
      <c r="C604" t="s">
        <v>642</v>
      </c>
      <c r="E604">
        <v>1</v>
      </c>
      <c r="F604" t="s">
        <v>13</v>
      </c>
      <c r="I604" t="s">
        <v>15</v>
      </c>
      <c r="J604">
        <f>vlookup("906-222000-100",B:AZ,column(i1),0)*e604</f>
        <v>0</v>
      </c>
      <c r="K604">
        <f>vlookup("906-222000-100",B:AZ,column(j1),0)*e604</f>
        <v>0</v>
      </c>
      <c r="L604">
        <f>vlookup("906-222000-100",B:AZ,column(k1),0)*e604</f>
        <v>0</v>
      </c>
      <c r="M604">
        <f>vlookup("906-222000-100",B:AZ,column(l1),0)*e604</f>
        <v>0</v>
      </c>
      <c r="N604">
        <f>vlookup("906-222000-100",B:AZ,column(m1),0)*e604</f>
        <v>0</v>
      </c>
      <c r="O604">
        <f>vlookup("906-222000-100",B:AZ,column(n1),0)*e604</f>
        <v>0</v>
      </c>
      <c r="P604">
        <f>vlookup("906-222000-100",B:AZ,column(o1),0)*e604</f>
        <v>0</v>
      </c>
      <c r="Q604">
        <f>vlookup("906-222000-100",B:AZ,column(p1),0)*e604</f>
        <v>0</v>
      </c>
      <c r="R604">
        <f>vlookup("906-222000-100",B:AZ,column(q1),0)*e604</f>
        <v>0</v>
      </c>
      <c r="S604">
        <f>vlookup("906-222000-100",B:AZ,column(r1),0)*e604</f>
        <v>0</v>
      </c>
      <c r="T604">
        <f>vlookup("906-222000-100",B:AZ,column(s1),0)*e604</f>
        <v>0</v>
      </c>
      <c r="U604">
        <f>vlookup("906-222000-100",B:AZ,column(t1),0)*e604</f>
        <v>0</v>
      </c>
      <c r="V604">
        <f>vlookup("906-222000-100",B:AZ,column(u1),0)*e604</f>
        <v>0</v>
      </c>
      <c r="W604">
        <f>vlookup("906-222000-100",B:AZ,column(v1),0)*e604</f>
        <v>0</v>
      </c>
      <c r="X604">
        <f>vlookup("906-222000-100",B:AZ,column(w1),0)*e604</f>
        <v>0</v>
      </c>
      <c r="Y604">
        <f>vlookup("906-222000-100",B:AZ,column(x1),0)*e604</f>
        <v>0</v>
      </c>
      <c r="Z604">
        <f>vlookup("906-222000-100",B:AZ,column(y1),0)*e604</f>
        <v>0</v>
      </c>
      <c r="AA604">
        <f>vlookup("906-222000-100",B:AZ,column(z1),0)*e604</f>
        <v>0</v>
      </c>
      <c r="AB604">
        <f>vlookup("906-222000-100",B:AZ,column(aa1),0)*e604</f>
        <v>0</v>
      </c>
      <c r="AC604">
        <f>vlookup("906-222000-100",B:AZ,column(ab1),0)*e604</f>
        <v>0</v>
      </c>
      <c r="AD604">
        <f>vlookup("906-222000-100",B:AZ,column(ac1),0)*e604</f>
        <v>0</v>
      </c>
      <c r="AE604">
        <f>vlookup("906-222000-100",B:AZ,column(ad1),0)*e604</f>
        <v>0</v>
      </c>
      <c r="AF604">
        <f>vlookup("906-222000-100",B:AZ,column(ae1),0)*e604</f>
        <v>0</v>
      </c>
      <c r="AG604">
        <f>vlookup("906-222000-100",B:AZ,column(af1),0)*e604</f>
        <v>0</v>
      </c>
      <c r="AH604">
        <f>vlookup("906-222000-100",B:AZ,column(ag1),0)*e604</f>
        <v>0</v>
      </c>
      <c r="AI604">
        <f>vlookup("906-222000-100",B:AZ,column(ah1),0)*e604</f>
        <v>0</v>
      </c>
      <c r="AJ604">
        <f>vlookup("906-222000-100",B:AZ,column(ai1),0)*e604</f>
        <v>0</v>
      </c>
      <c r="AK604">
        <f>vlookup("906-222000-100",B:AZ,column(aj1),0)*e604</f>
        <v>0</v>
      </c>
      <c r="AL604">
        <f>vlookup("906-222000-100",B:AZ,column(ak1),0)*e604</f>
        <v>0</v>
      </c>
      <c r="AM604">
        <f>vlookup("906-222000-100",B:AZ,column(al1),0)*e604</f>
        <v>0</v>
      </c>
      <c r="AN604">
        <f>vlookup("906-222000-100",B:AZ,column(am1),0)*e604</f>
        <v>0</v>
      </c>
      <c r="AO604">
        <f>vlookup("906-222000-100",B:AZ,column(an1),0)*e604</f>
        <v>0</v>
      </c>
    </row>
    <row r="605" spans="1:41">
      <c r="A605" t="s">
        <v>22</v>
      </c>
      <c r="B605" t="s">
        <v>643</v>
      </c>
      <c r="C605" t="s">
        <v>644</v>
      </c>
      <c r="E605">
        <v>1</v>
      </c>
      <c r="F605" t="s">
        <v>13</v>
      </c>
      <c r="I605" t="s">
        <v>15</v>
      </c>
      <c r="J605">
        <f>vlookup("906-222000-100",B:AZ,column(i1),0)*e605</f>
        <v>0</v>
      </c>
      <c r="K605">
        <f>vlookup("906-222000-100",B:AZ,column(j1),0)*e605</f>
        <v>0</v>
      </c>
      <c r="L605">
        <f>vlookup("906-222000-100",B:AZ,column(k1),0)*e605</f>
        <v>0</v>
      </c>
      <c r="M605">
        <f>vlookup("906-222000-100",B:AZ,column(l1),0)*e605</f>
        <v>0</v>
      </c>
      <c r="N605">
        <f>vlookup("906-222000-100",B:AZ,column(m1),0)*e605</f>
        <v>0</v>
      </c>
      <c r="O605">
        <f>vlookup("906-222000-100",B:AZ,column(n1),0)*e605</f>
        <v>0</v>
      </c>
      <c r="P605">
        <f>vlookup("906-222000-100",B:AZ,column(o1),0)*e605</f>
        <v>0</v>
      </c>
      <c r="Q605">
        <f>vlookup("906-222000-100",B:AZ,column(p1),0)*e605</f>
        <v>0</v>
      </c>
      <c r="R605">
        <f>vlookup("906-222000-100",B:AZ,column(q1),0)*e605</f>
        <v>0</v>
      </c>
      <c r="S605">
        <f>vlookup("906-222000-100",B:AZ,column(r1),0)*e605</f>
        <v>0</v>
      </c>
      <c r="T605">
        <f>vlookup("906-222000-100",B:AZ,column(s1),0)*e605</f>
        <v>0</v>
      </c>
      <c r="U605">
        <f>vlookup("906-222000-100",B:AZ,column(t1),0)*e605</f>
        <v>0</v>
      </c>
      <c r="V605">
        <f>vlookup("906-222000-100",B:AZ,column(u1),0)*e605</f>
        <v>0</v>
      </c>
      <c r="W605">
        <f>vlookup("906-222000-100",B:AZ,column(v1),0)*e605</f>
        <v>0</v>
      </c>
      <c r="X605">
        <f>vlookup("906-222000-100",B:AZ,column(w1),0)*e605</f>
        <v>0</v>
      </c>
      <c r="Y605">
        <f>vlookup("906-222000-100",B:AZ,column(x1),0)*e605</f>
        <v>0</v>
      </c>
      <c r="Z605">
        <f>vlookup("906-222000-100",B:AZ,column(y1),0)*e605</f>
        <v>0</v>
      </c>
      <c r="AA605">
        <f>vlookup("906-222000-100",B:AZ,column(z1),0)*e605</f>
        <v>0</v>
      </c>
      <c r="AB605">
        <f>vlookup("906-222000-100",B:AZ,column(aa1),0)*e605</f>
        <v>0</v>
      </c>
      <c r="AC605">
        <f>vlookup("906-222000-100",B:AZ,column(ab1),0)*e605</f>
        <v>0</v>
      </c>
      <c r="AD605">
        <f>vlookup("906-222000-100",B:AZ,column(ac1),0)*e605</f>
        <v>0</v>
      </c>
      <c r="AE605">
        <f>vlookup("906-222000-100",B:AZ,column(ad1),0)*e605</f>
        <v>0</v>
      </c>
      <c r="AF605">
        <f>vlookup("906-222000-100",B:AZ,column(ae1),0)*e605</f>
        <v>0</v>
      </c>
      <c r="AG605">
        <f>vlookup("906-222000-100",B:AZ,column(af1),0)*e605</f>
        <v>0</v>
      </c>
      <c r="AH605">
        <f>vlookup("906-222000-100",B:AZ,column(ag1),0)*e605</f>
        <v>0</v>
      </c>
      <c r="AI605">
        <f>vlookup("906-222000-100",B:AZ,column(ah1),0)*e605</f>
        <v>0</v>
      </c>
      <c r="AJ605">
        <f>vlookup("906-222000-100",B:AZ,column(ai1),0)*e605</f>
        <v>0</v>
      </c>
      <c r="AK605">
        <f>vlookup("906-222000-100",B:AZ,column(aj1),0)*e605</f>
        <v>0</v>
      </c>
      <c r="AL605">
        <f>vlookup("906-222000-100",B:AZ,column(ak1),0)*e605</f>
        <v>0</v>
      </c>
      <c r="AM605">
        <f>vlookup("906-222000-100",B:AZ,column(al1),0)*e605</f>
        <v>0</v>
      </c>
      <c r="AN605">
        <f>vlookup("906-222000-100",B:AZ,column(am1),0)*e605</f>
        <v>0</v>
      </c>
      <c r="AO605">
        <f>vlookup("906-222000-100",B:AZ,column(an1),0)*e605</f>
        <v>0</v>
      </c>
    </row>
    <row r="606" spans="1:41">
      <c r="A606" t="s">
        <v>22</v>
      </c>
      <c r="B606" t="s">
        <v>645</v>
      </c>
      <c r="C606" t="s">
        <v>646</v>
      </c>
      <c r="E606">
        <v>1</v>
      </c>
      <c r="F606" t="s">
        <v>13</v>
      </c>
      <c r="I606" t="s">
        <v>15</v>
      </c>
      <c r="J606">
        <f>vlookup("906-222000-100",B:AZ,column(i1),0)*e606</f>
        <v>0</v>
      </c>
      <c r="K606">
        <f>vlookup("906-222000-100",B:AZ,column(j1),0)*e606</f>
        <v>0</v>
      </c>
      <c r="L606">
        <f>vlookup("906-222000-100",B:AZ,column(k1),0)*e606</f>
        <v>0</v>
      </c>
      <c r="M606">
        <f>vlookup("906-222000-100",B:AZ,column(l1),0)*e606</f>
        <v>0</v>
      </c>
      <c r="N606">
        <f>vlookup("906-222000-100",B:AZ,column(m1),0)*e606</f>
        <v>0</v>
      </c>
      <c r="O606">
        <f>vlookup("906-222000-100",B:AZ,column(n1),0)*e606</f>
        <v>0</v>
      </c>
      <c r="P606">
        <f>vlookup("906-222000-100",B:AZ,column(o1),0)*e606</f>
        <v>0</v>
      </c>
      <c r="Q606">
        <f>vlookup("906-222000-100",B:AZ,column(p1),0)*e606</f>
        <v>0</v>
      </c>
      <c r="R606">
        <f>vlookup("906-222000-100",B:AZ,column(q1),0)*e606</f>
        <v>0</v>
      </c>
      <c r="S606">
        <f>vlookup("906-222000-100",B:AZ,column(r1),0)*e606</f>
        <v>0</v>
      </c>
      <c r="T606">
        <f>vlookup("906-222000-100",B:AZ,column(s1),0)*e606</f>
        <v>0</v>
      </c>
      <c r="U606">
        <f>vlookup("906-222000-100",B:AZ,column(t1),0)*e606</f>
        <v>0</v>
      </c>
      <c r="V606">
        <f>vlookup("906-222000-100",B:AZ,column(u1),0)*e606</f>
        <v>0</v>
      </c>
      <c r="W606">
        <f>vlookup("906-222000-100",B:AZ,column(v1),0)*e606</f>
        <v>0</v>
      </c>
      <c r="X606">
        <f>vlookup("906-222000-100",B:AZ,column(w1),0)*e606</f>
        <v>0</v>
      </c>
      <c r="Y606">
        <f>vlookup("906-222000-100",B:AZ,column(x1),0)*e606</f>
        <v>0</v>
      </c>
      <c r="Z606">
        <f>vlookup("906-222000-100",B:AZ,column(y1),0)*e606</f>
        <v>0</v>
      </c>
      <c r="AA606">
        <f>vlookup("906-222000-100",B:AZ,column(z1),0)*e606</f>
        <v>0</v>
      </c>
      <c r="AB606">
        <f>vlookup("906-222000-100",B:AZ,column(aa1),0)*e606</f>
        <v>0</v>
      </c>
      <c r="AC606">
        <f>vlookup("906-222000-100",B:AZ,column(ab1),0)*e606</f>
        <v>0</v>
      </c>
      <c r="AD606">
        <f>vlookup("906-222000-100",B:AZ,column(ac1),0)*e606</f>
        <v>0</v>
      </c>
      <c r="AE606">
        <f>vlookup("906-222000-100",B:AZ,column(ad1),0)*e606</f>
        <v>0</v>
      </c>
      <c r="AF606">
        <f>vlookup("906-222000-100",B:AZ,column(ae1),0)*e606</f>
        <v>0</v>
      </c>
      <c r="AG606">
        <f>vlookup("906-222000-100",B:AZ,column(af1),0)*e606</f>
        <v>0</v>
      </c>
      <c r="AH606">
        <f>vlookup("906-222000-100",B:AZ,column(ag1),0)*e606</f>
        <v>0</v>
      </c>
      <c r="AI606">
        <f>vlookup("906-222000-100",B:AZ,column(ah1),0)*e606</f>
        <v>0</v>
      </c>
      <c r="AJ606">
        <f>vlookup("906-222000-100",B:AZ,column(ai1),0)*e606</f>
        <v>0</v>
      </c>
      <c r="AK606">
        <f>vlookup("906-222000-100",B:AZ,column(aj1),0)*e606</f>
        <v>0</v>
      </c>
      <c r="AL606">
        <f>vlookup("906-222000-100",B:AZ,column(ak1),0)*e606</f>
        <v>0</v>
      </c>
      <c r="AM606">
        <f>vlookup("906-222000-100",B:AZ,column(al1),0)*e606</f>
        <v>0</v>
      </c>
      <c r="AN606">
        <f>vlookup("906-222000-100",B:AZ,column(am1),0)*e606</f>
        <v>0</v>
      </c>
      <c r="AO606">
        <f>vlookup("906-222000-100",B:AZ,column(an1),0)*e606</f>
        <v>0</v>
      </c>
    </row>
    <row r="607" spans="1:41">
      <c r="A607" t="s">
        <v>22</v>
      </c>
      <c r="B607" t="s">
        <v>647</v>
      </c>
      <c r="C607" t="s">
        <v>648</v>
      </c>
      <c r="E607">
        <v>0.18</v>
      </c>
      <c r="F607" t="s">
        <v>13</v>
      </c>
      <c r="I607" t="s">
        <v>15</v>
      </c>
      <c r="J607">
        <f>vlookup("906-222000-100",B:AZ,column(i1),0)*e607</f>
        <v>0</v>
      </c>
      <c r="K607">
        <f>vlookup("906-222000-100",B:AZ,column(j1),0)*e607</f>
        <v>0</v>
      </c>
      <c r="L607">
        <f>vlookup("906-222000-100",B:AZ,column(k1),0)*e607</f>
        <v>0</v>
      </c>
      <c r="M607">
        <f>vlookup("906-222000-100",B:AZ,column(l1),0)*e607</f>
        <v>0</v>
      </c>
      <c r="N607">
        <f>vlookup("906-222000-100",B:AZ,column(m1),0)*e607</f>
        <v>0</v>
      </c>
      <c r="O607">
        <f>vlookup("906-222000-100",B:AZ,column(n1),0)*e607</f>
        <v>0</v>
      </c>
      <c r="P607">
        <f>vlookup("906-222000-100",B:AZ,column(o1),0)*e607</f>
        <v>0</v>
      </c>
      <c r="Q607">
        <f>vlookup("906-222000-100",B:AZ,column(p1),0)*e607</f>
        <v>0</v>
      </c>
      <c r="R607">
        <f>vlookup("906-222000-100",B:AZ,column(q1),0)*e607</f>
        <v>0</v>
      </c>
      <c r="S607">
        <f>vlookup("906-222000-100",B:AZ,column(r1),0)*e607</f>
        <v>0</v>
      </c>
      <c r="T607">
        <f>vlookup("906-222000-100",B:AZ,column(s1),0)*e607</f>
        <v>0</v>
      </c>
      <c r="U607">
        <f>vlookup("906-222000-100",B:AZ,column(t1),0)*e607</f>
        <v>0</v>
      </c>
      <c r="V607">
        <f>vlookup("906-222000-100",B:AZ,column(u1),0)*e607</f>
        <v>0</v>
      </c>
      <c r="W607">
        <f>vlookup("906-222000-100",B:AZ,column(v1),0)*e607</f>
        <v>0</v>
      </c>
      <c r="X607">
        <f>vlookup("906-222000-100",B:AZ,column(w1),0)*e607</f>
        <v>0</v>
      </c>
      <c r="Y607">
        <f>vlookup("906-222000-100",B:AZ,column(x1),0)*e607</f>
        <v>0</v>
      </c>
      <c r="Z607">
        <f>vlookup("906-222000-100",B:AZ,column(y1),0)*e607</f>
        <v>0</v>
      </c>
      <c r="AA607">
        <f>vlookup("906-222000-100",B:AZ,column(z1),0)*e607</f>
        <v>0</v>
      </c>
      <c r="AB607">
        <f>vlookup("906-222000-100",B:AZ,column(aa1),0)*e607</f>
        <v>0</v>
      </c>
      <c r="AC607">
        <f>vlookup("906-222000-100",B:AZ,column(ab1),0)*e607</f>
        <v>0</v>
      </c>
      <c r="AD607">
        <f>vlookup("906-222000-100",B:AZ,column(ac1),0)*e607</f>
        <v>0</v>
      </c>
      <c r="AE607">
        <f>vlookup("906-222000-100",B:AZ,column(ad1),0)*e607</f>
        <v>0</v>
      </c>
      <c r="AF607">
        <f>vlookup("906-222000-100",B:AZ,column(ae1),0)*e607</f>
        <v>0</v>
      </c>
      <c r="AG607">
        <f>vlookup("906-222000-100",B:AZ,column(af1),0)*e607</f>
        <v>0</v>
      </c>
      <c r="AH607">
        <f>vlookup("906-222000-100",B:AZ,column(ag1),0)*e607</f>
        <v>0</v>
      </c>
      <c r="AI607">
        <f>vlookup("906-222000-100",B:AZ,column(ah1),0)*e607</f>
        <v>0</v>
      </c>
      <c r="AJ607">
        <f>vlookup("906-222000-100",B:AZ,column(ai1),0)*e607</f>
        <v>0</v>
      </c>
      <c r="AK607">
        <f>vlookup("906-222000-100",B:AZ,column(aj1),0)*e607</f>
        <v>0</v>
      </c>
      <c r="AL607">
        <f>vlookup("906-222000-100",B:AZ,column(ak1),0)*e607</f>
        <v>0</v>
      </c>
      <c r="AM607">
        <f>vlookup("906-222000-100",B:AZ,column(al1),0)*e607</f>
        <v>0</v>
      </c>
      <c r="AN607">
        <f>vlookup("906-222000-100",B:AZ,column(am1),0)*e607</f>
        <v>0</v>
      </c>
      <c r="AO607">
        <f>vlookup("906-222000-100",B:AZ,column(an1),0)*e607</f>
        <v>0</v>
      </c>
    </row>
    <row r="608" spans="1:41">
      <c r="A608" t="s">
        <v>22</v>
      </c>
      <c r="B608" t="s">
        <v>649</v>
      </c>
      <c r="C608" t="s">
        <v>650</v>
      </c>
      <c r="E608">
        <v>0.05</v>
      </c>
      <c r="F608" t="s">
        <v>13</v>
      </c>
      <c r="I608" t="s">
        <v>15</v>
      </c>
      <c r="J608">
        <f>vlookup("906-222000-100",B:AZ,column(i1),0)*e608</f>
        <v>0</v>
      </c>
      <c r="K608">
        <f>vlookup("906-222000-100",B:AZ,column(j1),0)*e608</f>
        <v>0</v>
      </c>
      <c r="L608">
        <f>vlookup("906-222000-100",B:AZ,column(k1),0)*e608</f>
        <v>0</v>
      </c>
      <c r="M608">
        <f>vlookup("906-222000-100",B:AZ,column(l1),0)*e608</f>
        <v>0</v>
      </c>
      <c r="N608">
        <f>vlookup("906-222000-100",B:AZ,column(m1),0)*e608</f>
        <v>0</v>
      </c>
      <c r="O608">
        <f>vlookup("906-222000-100",B:AZ,column(n1),0)*e608</f>
        <v>0</v>
      </c>
      <c r="P608">
        <f>vlookup("906-222000-100",B:AZ,column(o1),0)*e608</f>
        <v>0</v>
      </c>
      <c r="Q608">
        <f>vlookup("906-222000-100",B:AZ,column(p1),0)*e608</f>
        <v>0</v>
      </c>
      <c r="R608">
        <f>vlookup("906-222000-100",B:AZ,column(q1),0)*e608</f>
        <v>0</v>
      </c>
      <c r="S608">
        <f>vlookup("906-222000-100",B:AZ,column(r1),0)*e608</f>
        <v>0</v>
      </c>
      <c r="T608">
        <f>vlookup("906-222000-100",B:AZ,column(s1),0)*e608</f>
        <v>0</v>
      </c>
      <c r="U608">
        <f>vlookup("906-222000-100",B:AZ,column(t1),0)*e608</f>
        <v>0</v>
      </c>
      <c r="V608">
        <f>vlookup("906-222000-100",B:AZ,column(u1),0)*e608</f>
        <v>0</v>
      </c>
      <c r="W608">
        <f>vlookup("906-222000-100",B:AZ,column(v1),0)*e608</f>
        <v>0</v>
      </c>
      <c r="X608">
        <f>vlookup("906-222000-100",B:AZ,column(w1),0)*e608</f>
        <v>0</v>
      </c>
      <c r="Y608">
        <f>vlookup("906-222000-100",B:AZ,column(x1),0)*e608</f>
        <v>0</v>
      </c>
      <c r="Z608">
        <f>vlookup("906-222000-100",B:AZ,column(y1),0)*e608</f>
        <v>0</v>
      </c>
      <c r="AA608">
        <f>vlookup("906-222000-100",B:AZ,column(z1),0)*e608</f>
        <v>0</v>
      </c>
      <c r="AB608">
        <f>vlookup("906-222000-100",B:AZ,column(aa1),0)*e608</f>
        <v>0</v>
      </c>
      <c r="AC608">
        <f>vlookup("906-222000-100",B:AZ,column(ab1),0)*e608</f>
        <v>0</v>
      </c>
      <c r="AD608">
        <f>vlookup("906-222000-100",B:AZ,column(ac1),0)*e608</f>
        <v>0</v>
      </c>
      <c r="AE608">
        <f>vlookup("906-222000-100",B:AZ,column(ad1),0)*e608</f>
        <v>0</v>
      </c>
      <c r="AF608">
        <f>vlookup("906-222000-100",B:AZ,column(ae1),0)*e608</f>
        <v>0</v>
      </c>
      <c r="AG608">
        <f>vlookup("906-222000-100",B:AZ,column(af1),0)*e608</f>
        <v>0</v>
      </c>
      <c r="AH608">
        <f>vlookup("906-222000-100",B:AZ,column(ag1),0)*e608</f>
        <v>0</v>
      </c>
      <c r="AI608">
        <f>vlookup("906-222000-100",B:AZ,column(ah1),0)*e608</f>
        <v>0</v>
      </c>
      <c r="AJ608">
        <f>vlookup("906-222000-100",B:AZ,column(ai1),0)*e608</f>
        <v>0</v>
      </c>
      <c r="AK608">
        <f>vlookup("906-222000-100",B:AZ,column(aj1),0)*e608</f>
        <v>0</v>
      </c>
      <c r="AL608">
        <f>vlookup("906-222000-100",B:AZ,column(ak1),0)*e608</f>
        <v>0</v>
      </c>
      <c r="AM608">
        <f>vlookup("906-222000-100",B:AZ,column(al1),0)*e608</f>
        <v>0</v>
      </c>
      <c r="AN608">
        <f>vlookup("906-222000-100",B:AZ,column(am1),0)*e608</f>
        <v>0</v>
      </c>
      <c r="AO608">
        <f>vlookup("906-222000-100",B:AZ,column(an1),0)*e608</f>
        <v>0</v>
      </c>
    </row>
    <row r="609" spans="1:41">
      <c r="A609" t="s">
        <v>10</v>
      </c>
      <c r="B609" t="s">
        <v>617</v>
      </c>
      <c r="C609" t="s">
        <v>601</v>
      </c>
      <c r="E609">
        <v>1</v>
      </c>
      <c r="F609" t="s">
        <v>13</v>
      </c>
      <c r="I609" t="s">
        <v>14</v>
      </c>
      <c r="AO609">
        <f>sum(j609:an609)</f>
        <v>0</v>
      </c>
    </row>
    <row r="610" spans="1:41">
      <c r="I610" t="s">
        <v>15</v>
      </c>
      <c r="J610">
        <f>vlookup("906-423348-110",Out!B:AZ,column(i1),0)</f>
        <v>0</v>
      </c>
      <c r="K610">
        <f>vlookup("906-423348-110",Out!B:AZ,column(j1),0)</f>
        <v>0</v>
      </c>
      <c r="L610">
        <f>vlookup("906-423348-110",Out!B:AZ,column(k1),0)</f>
        <v>0</v>
      </c>
      <c r="M610">
        <f>vlookup("906-423348-110",Out!B:AZ,column(l1),0)</f>
        <v>0</v>
      </c>
      <c r="N610">
        <f>vlookup("906-423348-110",Out!B:AZ,column(m1),0)</f>
        <v>0</v>
      </c>
      <c r="O610">
        <f>vlookup("906-423348-110",Out!B:AZ,column(n1),0)</f>
        <v>0</v>
      </c>
      <c r="P610">
        <f>vlookup("906-423348-110",Out!B:AZ,column(o1),0)</f>
        <v>0</v>
      </c>
      <c r="Q610">
        <f>vlookup("906-423348-110",Out!B:AZ,column(p1),0)</f>
        <v>0</v>
      </c>
      <c r="R610">
        <f>vlookup("906-423348-110",Out!B:AZ,column(q1),0)</f>
        <v>0</v>
      </c>
      <c r="S610">
        <f>vlookup("906-423348-110",Out!B:AZ,column(r1),0)</f>
        <v>0</v>
      </c>
      <c r="T610">
        <f>vlookup("906-423348-110",Out!B:AZ,column(s1),0)</f>
        <v>0</v>
      </c>
      <c r="U610">
        <f>vlookup("906-423348-110",Out!B:AZ,column(t1),0)</f>
        <v>0</v>
      </c>
      <c r="V610">
        <f>vlookup("906-423348-110",Out!B:AZ,column(u1),0)</f>
        <v>0</v>
      </c>
      <c r="W610">
        <f>vlookup("906-423348-110",Out!B:AZ,column(v1),0)</f>
        <v>0</v>
      </c>
      <c r="X610">
        <f>vlookup("906-423348-110",Out!B:AZ,column(w1),0)</f>
        <v>0</v>
      </c>
      <c r="Y610">
        <f>vlookup("906-423348-110",Out!B:AZ,column(x1),0)</f>
        <v>0</v>
      </c>
      <c r="Z610">
        <f>vlookup("906-423348-110",Out!B:AZ,column(y1),0)</f>
        <v>0</v>
      </c>
      <c r="AA610">
        <f>vlookup("906-423348-110",Out!B:AZ,column(z1),0)</f>
        <v>0</v>
      </c>
      <c r="AB610">
        <f>vlookup("906-423348-110",Out!B:AZ,column(aa1),0)</f>
        <v>0</v>
      </c>
      <c r="AC610">
        <f>vlookup("906-423348-110",Out!B:AZ,column(ab1),0)</f>
        <v>0</v>
      </c>
      <c r="AD610">
        <f>vlookup("906-423348-110",Out!B:AZ,column(ac1),0)</f>
        <v>0</v>
      </c>
      <c r="AE610">
        <f>vlookup("906-423348-110",Out!B:AZ,column(ad1),0)</f>
        <v>0</v>
      </c>
      <c r="AF610">
        <f>vlookup("906-423348-110",Out!B:AZ,column(ae1),0)</f>
        <v>0</v>
      </c>
      <c r="AG610">
        <f>vlookup("906-423348-110",Out!B:AZ,column(af1),0)</f>
        <v>0</v>
      </c>
      <c r="AH610">
        <f>vlookup("906-423348-110",Out!B:AZ,column(ag1),0)</f>
        <v>0</v>
      </c>
      <c r="AI610">
        <f>vlookup("906-423348-110",Out!B:AZ,column(ah1),0)</f>
        <v>0</v>
      </c>
      <c r="AJ610">
        <f>vlookup("906-423348-110",Out!B:AZ,column(ai1),0)</f>
        <v>0</v>
      </c>
      <c r="AK610">
        <f>vlookup("906-423348-110",Out!B:AZ,column(aj1),0)</f>
        <v>0</v>
      </c>
      <c r="AL610">
        <f>vlookup("906-423348-110",Out!B:AZ,column(ak1),0)</f>
        <v>0</v>
      </c>
      <c r="AM610">
        <f>vlookup("906-423348-110",Out!B:AZ,column(al1),0)</f>
        <v>0</v>
      </c>
      <c r="AN610">
        <f>vlookup("906-423348-110",Out!B:AZ,column(am1),0)</f>
        <v>0</v>
      </c>
      <c r="AO610">
        <f>vlookup("906-423348-110",Out!B:AZ,column(an1),0)</f>
        <v>0</v>
      </c>
    </row>
    <row r="611" spans="1:41">
      <c r="H611" t="s">
        <v>16</v>
      </c>
      <c r="J611">
        <f>indirect(address(611,9))+indirect(address(609,10))-indirect(address(610,10))</f>
        <v>0</v>
      </c>
      <c r="K611">
        <f>indirect(address(611,10))+indirect(address(609,11))-indirect(address(610,11))</f>
        <v>0</v>
      </c>
      <c r="L611">
        <f>indirect(address(611,11))+indirect(address(609,12))-indirect(address(610,12))</f>
        <v>0</v>
      </c>
      <c r="M611">
        <f>indirect(address(611,12))+indirect(address(609,13))-indirect(address(610,13))</f>
        <v>0</v>
      </c>
      <c r="N611">
        <f>indirect(address(611,13))+indirect(address(609,14))-indirect(address(610,14))</f>
        <v>0</v>
      </c>
      <c r="O611">
        <f>indirect(address(611,14))+indirect(address(609,15))-indirect(address(610,15))</f>
        <v>0</v>
      </c>
      <c r="P611">
        <f>indirect(address(611,15))+indirect(address(609,16))-indirect(address(610,16))</f>
        <v>0</v>
      </c>
      <c r="Q611">
        <f>indirect(address(611,16))+indirect(address(609,17))-indirect(address(610,17))</f>
        <v>0</v>
      </c>
      <c r="R611">
        <f>indirect(address(611,17))+indirect(address(609,18))-indirect(address(610,18))</f>
        <v>0</v>
      </c>
      <c r="S611">
        <f>indirect(address(611,18))+indirect(address(609,19))-indirect(address(610,19))</f>
        <v>0</v>
      </c>
      <c r="T611">
        <f>indirect(address(611,19))+indirect(address(609,20))-indirect(address(610,20))</f>
        <v>0</v>
      </c>
      <c r="U611">
        <f>indirect(address(611,20))+indirect(address(609,21))-indirect(address(610,21))</f>
        <v>0</v>
      </c>
      <c r="V611">
        <f>indirect(address(611,21))+indirect(address(609,22))-indirect(address(610,22))</f>
        <v>0</v>
      </c>
      <c r="W611">
        <f>indirect(address(611,22))+indirect(address(609,23))-indirect(address(610,23))</f>
        <v>0</v>
      </c>
      <c r="X611">
        <f>indirect(address(611,23))+indirect(address(609,24))-indirect(address(610,24))</f>
        <v>0</v>
      </c>
      <c r="Y611">
        <f>indirect(address(611,24))+indirect(address(609,25))-indirect(address(610,25))</f>
        <v>0</v>
      </c>
      <c r="Z611">
        <f>indirect(address(611,25))+indirect(address(609,26))-indirect(address(610,26))</f>
        <v>0</v>
      </c>
      <c r="AA611">
        <f>indirect(address(611,26))+indirect(address(609,27))-indirect(address(610,27))</f>
        <v>0</v>
      </c>
      <c r="AB611">
        <f>indirect(address(611,27))+indirect(address(609,28))-indirect(address(610,28))</f>
        <v>0</v>
      </c>
      <c r="AC611">
        <f>indirect(address(611,28))+indirect(address(609,29))-indirect(address(610,29))</f>
        <v>0</v>
      </c>
      <c r="AD611">
        <f>indirect(address(611,29))+indirect(address(609,30))-indirect(address(610,30))</f>
        <v>0</v>
      </c>
      <c r="AE611">
        <f>indirect(address(611,30))+indirect(address(609,31))-indirect(address(610,31))</f>
        <v>0</v>
      </c>
      <c r="AF611">
        <f>indirect(address(611,31))+indirect(address(609,32))-indirect(address(610,32))</f>
        <v>0</v>
      </c>
      <c r="AG611">
        <f>indirect(address(611,32))+indirect(address(609,33))-indirect(address(610,33))</f>
        <v>0</v>
      </c>
      <c r="AH611">
        <f>indirect(address(611,33))+indirect(address(609,34))-indirect(address(610,34))</f>
        <v>0</v>
      </c>
      <c r="AI611">
        <f>indirect(address(611,34))+indirect(address(609,35))-indirect(address(610,35))</f>
        <v>0</v>
      </c>
      <c r="AJ611">
        <f>indirect(address(611,35))+indirect(address(609,36))-indirect(address(610,36))</f>
        <v>0</v>
      </c>
      <c r="AK611">
        <f>indirect(address(611,36))+indirect(address(609,37))-indirect(address(610,37))</f>
        <v>0</v>
      </c>
      <c r="AL611">
        <f>indirect(address(611,37))+indirect(address(609,38))-indirect(address(610,38))</f>
        <v>0</v>
      </c>
      <c r="AM611">
        <f>indirect(address(611,38))+indirect(address(609,39))-indirect(address(610,39))</f>
        <v>0</v>
      </c>
      <c r="AN611">
        <f>indirect(address(611,39))+indirect(address(609,40))-indirect(address(610,40))</f>
        <v>0</v>
      </c>
      <c r="AO611">
        <f>indirect(address(611,40))</f>
        <v>0</v>
      </c>
    </row>
    <row r="612" spans="1:41">
      <c r="A612" t="s">
        <v>17</v>
      </c>
      <c r="B612" t="s">
        <v>618</v>
      </c>
      <c r="C612" t="s">
        <v>505</v>
      </c>
      <c r="E612">
        <v>1</v>
      </c>
      <c r="F612" t="s">
        <v>13</v>
      </c>
      <c r="I612" t="s">
        <v>15</v>
      </c>
      <c r="J612">
        <f>vlookup("906-423348-110",B:AZ,column(i1),0)*e612</f>
        <v>0</v>
      </c>
      <c r="K612">
        <f>vlookup("906-423348-110",B:AZ,column(j1),0)*e612</f>
        <v>0</v>
      </c>
      <c r="L612">
        <f>vlookup("906-423348-110",B:AZ,column(k1),0)*e612</f>
        <v>0</v>
      </c>
      <c r="M612">
        <f>vlookup("906-423348-110",B:AZ,column(l1),0)*e612</f>
        <v>0</v>
      </c>
      <c r="N612">
        <f>vlookup("906-423348-110",B:AZ,column(m1),0)*e612</f>
        <v>0</v>
      </c>
      <c r="O612">
        <f>vlookup("906-423348-110",B:AZ,column(n1),0)*e612</f>
        <v>0</v>
      </c>
      <c r="P612">
        <f>vlookup("906-423348-110",B:AZ,column(o1),0)*e612</f>
        <v>0</v>
      </c>
      <c r="Q612">
        <f>vlookup("906-423348-110",B:AZ,column(p1),0)*e612</f>
        <v>0</v>
      </c>
      <c r="R612">
        <f>vlookup("906-423348-110",B:AZ,column(q1),0)*e612</f>
        <v>0</v>
      </c>
      <c r="S612">
        <f>vlookup("906-423348-110",B:AZ,column(r1),0)*e612</f>
        <v>0</v>
      </c>
      <c r="T612">
        <f>vlookup("906-423348-110",B:AZ,column(s1),0)*e612</f>
        <v>0</v>
      </c>
      <c r="U612">
        <f>vlookup("906-423348-110",B:AZ,column(t1),0)*e612</f>
        <v>0</v>
      </c>
      <c r="V612">
        <f>vlookup("906-423348-110",B:AZ,column(u1),0)*e612</f>
        <v>0</v>
      </c>
      <c r="W612">
        <f>vlookup("906-423348-110",B:AZ,column(v1),0)*e612</f>
        <v>0</v>
      </c>
      <c r="X612">
        <f>vlookup("906-423348-110",B:AZ,column(w1),0)*e612</f>
        <v>0</v>
      </c>
      <c r="Y612">
        <f>vlookup("906-423348-110",B:AZ,column(x1),0)*e612</f>
        <v>0</v>
      </c>
      <c r="Z612">
        <f>vlookup("906-423348-110",B:AZ,column(y1),0)*e612</f>
        <v>0</v>
      </c>
      <c r="AA612">
        <f>vlookup("906-423348-110",B:AZ,column(z1),0)*e612</f>
        <v>0</v>
      </c>
      <c r="AB612">
        <f>vlookup("906-423348-110",B:AZ,column(aa1),0)*e612</f>
        <v>0</v>
      </c>
      <c r="AC612">
        <f>vlookup("906-423348-110",B:AZ,column(ab1),0)*e612</f>
        <v>0</v>
      </c>
      <c r="AD612">
        <f>vlookup("906-423348-110",B:AZ,column(ac1),0)*e612</f>
        <v>0</v>
      </c>
      <c r="AE612">
        <f>vlookup("906-423348-110",B:AZ,column(ad1),0)*e612</f>
        <v>0</v>
      </c>
      <c r="AF612">
        <f>vlookup("906-423348-110",B:AZ,column(ae1),0)*e612</f>
        <v>0</v>
      </c>
      <c r="AG612">
        <f>vlookup("906-423348-110",B:AZ,column(af1),0)*e612</f>
        <v>0</v>
      </c>
      <c r="AH612">
        <f>vlookup("906-423348-110",B:AZ,column(ag1),0)*e612</f>
        <v>0</v>
      </c>
      <c r="AI612">
        <f>vlookup("906-423348-110",B:AZ,column(ah1),0)*e612</f>
        <v>0</v>
      </c>
      <c r="AJ612">
        <f>vlookup("906-423348-110",B:AZ,column(ai1),0)*e612</f>
        <v>0</v>
      </c>
      <c r="AK612">
        <f>vlookup("906-423348-110",B:AZ,column(aj1),0)*e612</f>
        <v>0</v>
      </c>
      <c r="AL612">
        <f>vlookup("906-423348-110",B:AZ,column(ak1),0)*e612</f>
        <v>0</v>
      </c>
      <c r="AM612">
        <f>vlookup("906-423348-110",B:AZ,column(al1),0)*e612</f>
        <v>0</v>
      </c>
      <c r="AN612">
        <f>vlookup("906-423348-110",B:AZ,column(am1),0)*e612</f>
        <v>0</v>
      </c>
      <c r="AO612">
        <f>vlookup("906-423348-110",B:AZ,column(an1),0)*e612</f>
        <v>0</v>
      </c>
    </row>
    <row r="613" spans="1:41">
      <c r="A613" t="s">
        <v>17</v>
      </c>
      <c r="B613" t="s">
        <v>619</v>
      </c>
      <c r="C613" t="s">
        <v>604</v>
      </c>
      <c r="E613">
        <v>1</v>
      </c>
      <c r="F613" t="s">
        <v>13</v>
      </c>
      <c r="I613" t="s">
        <v>15</v>
      </c>
      <c r="J613">
        <f>vlookup("906-423348-110",B:AZ,column(i1),0)*e613</f>
        <v>0</v>
      </c>
      <c r="K613">
        <f>vlookup("906-423348-110",B:AZ,column(j1),0)*e613</f>
        <v>0</v>
      </c>
      <c r="L613">
        <f>vlookup("906-423348-110",B:AZ,column(k1),0)*e613</f>
        <v>0</v>
      </c>
      <c r="M613">
        <f>vlookup("906-423348-110",B:AZ,column(l1),0)*e613</f>
        <v>0</v>
      </c>
      <c r="N613">
        <f>vlookup("906-423348-110",B:AZ,column(m1),0)*e613</f>
        <v>0</v>
      </c>
      <c r="O613">
        <f>vlookup("906-423348-110",B:AZ,column(n1),0)*e613</f>
        <v>0</v>
      </c>
      <c r="P613">
        <f>vlookup("906-423348-110",B:AZ,column(o1),0)*e613</f>
        <v>0</v>
      </c>
      <c r="Q613">
        <f>vlookup("906-423348-110",B:AZ,column(p1),0)*e613</f>
        <v>0</v>
      </c>
      <c r="R613">
        <f>vlookup("906-423348-110",B:AZ,column(q1),0)*e613</f>
        <v>0</v>
      </c>
      <c r="S613">
        <f>vlookup("906-423348-110",B:AZ,column(r1),0)*e613</f>
        <v>0</v>
      </c>
      <c r="T613">
        <f>vlookup("906-423348-110",B:AZ,column(s1),0)*e613</f>
        <v>0</v>
      </c>
      <c r="U613">
        <f>vlookup("906-423348-110",B:AZ,column(t1),0)*e613</f>
        <v>0</v>
      </c>
      <c r="V613">
        <f>vlookup("906-423348-110",B:AZ,column(u1),0)*e613</f>
        <v>0</v>
      </c>
      <c r="W613">
        <f>vlookup("906-423348-110",B:AZ,column(v1),0)*e613</f>
        <v>0</v>
      </c>
      <c r="X613">
        <f>vlookup("906-423348-110",B:AZ,column(w1),0)*e613</f>
        <v>0</v>
      </c>
      <c r="Y613">
        <f>vlookup("906-423348-110",B:AZ,column(x1),0)*e613</f>
        <v>0</v>
      </c>
      <c r="Z613">
        <f>vlookup("906-423348-110",B:AZ,column(y1),0)*e613</f>
        <v>0</v>
      </c>
      <c r="AA613">
        <f>vlookup("906-423348-110",B:AZ,column(z1),0)*e613</f>
        <v>0</v>
      </c>
      <c r="AB613">
        <f>vlookup("906-423348-110",B:AZ,column(aa1),0)*e613</f>
        <v>0</v>
      </c>
      <c r="AC613">
        <f>vlookup("906-423348-110",B:AZ,column(ab1),0)*e613</f>
        <v>0</v>
      </c>
      <c r="AD613">
        <f>vlookup("906-423348-110",B:AZ,column(ac1),0)*e613</f>
        <v>0</v>
      </c>
      <c r="AE613">
        <f>vlookup("906-423348-110",B:AZ,column(ad1),0)*e613</f>
        <v>0</v>
      </c>
      <c r="AF613">
        <f>vlookup("906-423348-110",B:AZ,column(ae1),0)*e613</f>
        <v>0</v>
      </c>
      <c r="AG613">
        <f>vlookup("906-423348-110",B:AZ,column(af1),0)*e613</f>
        <v>0</v>
      </c>
      <c r="AH613">
        <f>vlookup("906-423348-110",B:AZ,column(ag1),0)*e613</f>
        <v>0</v>
      </c>
      <c r="AI613">
        <f>vlookup("906-423348-110",B:AZ,column(ah1),0)*e613</f>
        <v>0</v>
      </c>
      <c r="AJ613">
        <f>vlookup("906-423348-110",B:AZ,column(ai1),0)*e613</f>
        <v>0</v>
      </c>
      <c r="AK613">
        <f>vlookup("906-423348-110",B:AZ,column(aj1),0)*e613</f>
        <v>0</v>
      </c>
      <c r="AL613">
        <f>vlookup("906-423348-110",B:AZ,column(ak1),0)*e613</f>
        <v>0</v>
      </c>
      <c r="AM613">
        <f>vlookup("906-423348-110",B:AZ,column(al1),0)*e613</f>
        <v>0</v>
      </c>
      <c r="AN613">
        <f>vlookup("906-423348-110",B:AZ,column(am1),0)*e613</f>
        <v>0</v>
      </c>
      <c r="AO613">
        <f>vlookup("906-423348-110",B:AZ,column(an1),0)*e613</f>
        <v>0</v>
      </c>
    </row>
    <row r="614" spans="1:41">
      <c r="A614" t="s">
        <v>22</v>
      </c>
      <c r="B614" t="s">
        <v>512</v>
      </c>
      <c r="C614" t="s">
        <v>651</v>
      </c>
      <c r="E614">
        <v>1</v>
      </c>
      <c r="F614" t="s">
        <v>13</v>
      </c>
      <c r="I614" t="s">
        <v>15</v>
      </c>
      <c r="J614">
        <f>vlookup("906-423348-110",B:AZ,column(i1),0)*e614</f>
        <v>0</v>
      </c>
      <c r="K614">
        <f>vlookup("906-423348-110",B:AZ,column(j1),0)*e614</f>
        <v>0</v>
      </c>
      <c r="L614">
        <f>vlookup("906-423348-110",B:AZ,column(k1),0)*e614</f>
        <v>0</v>
      </c>
      <c r="M614">
        <f>vlookup("906-423348-110",B:AZ,column(l1),0)*e614</f>
        <v>0</v>
      </c>
      <c r="N614">
        <f>vlookup("906-423348-110",B:AZ,column(m1),0)*e614</f>
        <v>0</v>
      </c>
      <c r="O614">
        <f>vlookup("906-423348-110",B:AZ,column(n1),0)*e614</f>
        <v>0</v>
      </c>
      <c r="P614">
        <f>vlookup("906-423348-110",B:AZ,column(o1),0)*e614</f>
        <v>0</v>
      </c>
      <c r="Q614">
        <f>vlookup("906-423348-110",B:AZ,column(p1),0)*e614</f>
        <v>0</v>
      </c>
      <c r="R614">
        <f>vlookup("906-423348-110",B:AZ,column(q1),0)*e614</f>
        <v>0</v>
      </c>
      <c r="S614">
        <f>vlookup("906-423348-110",B:AZ,column(r1),0)*e614</f>
        <v>0</v>
      </c>
      <c r="T614">
        <f>vlookup("906-423348-110",B:AZ,column(s1),0)*e614</f>
        <v>0</v>
      </c>
      <c r="U614">
        <f>vlookup("906-423348-110",B:AZ,column(t1),0)*e614</f>
        <v>0</v>
      </c>
      <c r="V614">
        <f>vlookup("906-423348-110",B:AZ,column(u1),0)*e614</f>
        <v>0</v>
      </c>
      <c r="W614">
        <f>vlookup("906-423348-110",B:AZ,column(v1),0)*e614</f>
        <v>0</v>
      </c>
      <c r="X614">
        <f>vlookup("906-423348-110",B:AZ,column(w1),0)*e614</f>
        <v>0</v>
      </c>
      <c r="Y614">
        <f>vlookup("906-423348-110",B:AZ,column(x1),0)*e614</f>
        <v>0</v>
      </c>
      <c r="Z614">
        <f>vlookup("906-423348-110",B:AZ,column(y1),0)*e614</f>
        <v>0</v>
      </c>
      <c r="AA614">
        <f>vlookup("906-423348-110",B:AZ,column(z1),0)*e614</f>
        <v>0</v>
      </c>
      <c r="AB614">
        <f>vlookup("906-423348-110",B:AZ,column(aa1),0)*e614</f>
        <v>0</v>
      </c>
      <c r="AC614">
        <f>vlookup("906-423348-110",B:AZ,column(ab1),0)*e614</f>
        <v>0</v>
      </c>
      <c r="AD614">
        <f>vlookup("906-423348-110",B:AZ,column(ac1),0)*e614</f>
        <v>0</v>
      </c>
      <c r="AE614">
        <f>vlookup("906-423348-110",B:AZ,column(ad1),0)*e614</f>
        <v>0</v>
      </c>
      <c r="AF614">
        <f>vlookup("906-423348-110",B:AZ,column(ae1),0)*e614</f>
        <v>0</v>
      </c>
      <c r="AG614">
        <f>vlookup("906-423348-110",B:AZ,column(af1),0)*e614</f>
        <v>0</v>
      </c>
      <c r="AH614">
        <f>vlookup("906-423348-110",B:AZ,column(ag1),0)*e614</f>
        <v>0</v>
      </c>
      <c r="AI614">
        <f>vlookup("906-423348-110",B:AZ,column(ah1),0)*e614</f>
        <v>0</v>
      </c>
      <c r="AJ614">
        <f>vlookup("906-423348-110",B:AZ,column(ai1),0)*e614</f>
        <v>0</v>
      </c>
      <c r="AK614">
        <f>vlookup("906-423348-110",B:AZ,column(aj1),0)*e614</f>
        <v>0</v>
      </c>
      <c r="AL614">
        <f>vlookup("906-423348-110",B:AZ,column(ak1),0)*e614</f>
        <v>0</v>
      </c>
      <c r="AM614">
        <f>vlookup("906-423348-110",B:AZ,column(al1),0)*e614</f>
        <v>0</v>
      </c>
      <c r="AN614">
        <f>vlookup("906-423348-110",B:AZ,column(am1),0)*e614</f>
        <v>0</v>
      </c>
      <c r="AO614">
        <f>vlookup("906-423348-110",B:AZ,column(an1),0)*e614</f>
        <v>0</v>
      </c>
    </row>
    <row r="615" spans="1:41">
      <c r="A615" t="s">
        <v>22</v>
      </c>
      <c r="B615" t="s">
        <v>620</v>
      </c>
      <c r="C615" t="s">
        <v>652</v>
      </c>
      <c r="E615">
        <v>1</v>
      </c>
      <c r="F615" t="s">
        <v>13</v>
      </c>
      <c r="I615" t="s">
        <v>15</v>
      </c>
      <c r="J615">
        <f>vlookup("906-423348-110",B:AZ,column(i1),0)*e615</f>
        <v>0</v>
      </c>
      <c r="K615">
        <f>vlookup("906-423348-110",B:AZ,column(j1),0)*e615</f>
        <v>0</v>
      </c>
      <c r="L615">
        <f>vlookup("906-423348-110",B:AZ,column(k1),0)*e615</f>
        <v>0</v>
      </c>
      <c r="M615">
        <f>vlookup("906-423348-110",B:AZ,column(l1),0)*e615</f>
        <v>0</v>
      </c>
      <c r="N615">
        <f>vlookup("906-423348-110",B:AZ,column(m1),0)*e615</f>
        <v>0</v>
      </c>
      <c r="O615">
        <f>vlookup("906-423348-110",B:AZ,column(n1),0)*e615</f>
        <v>0</v>
      </c>
      <c r="P615">
        <f>vlookup("906-423348-110",B:AZ,column(o1),0)*e615</f>
        <v>0</v>
      </c>
      <c r="Q615">
        <f>vlookup("906-423348-110",B:AZ,column(p1),0)*e615</f>
        <v>0</v>
      </c>
      <c r="R615">
        <f>vlookup("906-423348-110",B:AZ,column(q1),0)*e615</f>
        <v>0</v>
      </c>
      <c r="S615">
        <f>vlookup("906-423348-110",B:AZ,column(r1),0)*e615</f>
        <v>0</v>
      </c>
      <c r="T615">
        <f>vlookup("906-423348-110",B:AZ,column(s1),0)*e615</f>
        <v>0</v>
      </c>
      <c r="U615">
        <f>vlookup("906-423348-110",B:AZ,column(t1),0)*e615</f>
        <v>0</v>
      </c>
      <c r="V615">
        <f>vlookup("906-423348-110",B:AZ,column(u1),0)*e615</f>
        <v>0</v>
      </c>
      <c r="W615">
        <f>vlookup("906-423348-110",B:AZ,column(v1),0)*e615</f>
        <v>0</v>
      </c>
      <c r="X615">
        <f>vlookup("906-423348-110",B:AZ,column(w1),0)*e615</f>
        <v>0</v>
      </c>
      <c r="Y615">
        <f>vlookup("906-423348-110",B:AZ,column(x1),0)*e615</f>
        <v>0</v>
      </c>
      <c r="Z615">
        <f>vlookup("906-423348-110",B:AZ,column(y1),0)*e615</f>
        <v>0</v>
      </c>
      <c r="AA615">
        <f>vlookup("906-423348-110",B:AZ,column(z1),0)*e615</f>
        <v>0</v>
      </c>
      <c r="AB615">
        <f>vlookup("906-423348-110",B:AZ,column(aa1),0)*e615</f>
        <v>0</v>
      </c>
      <c r="AC615">
        <f>vlookup("906-423348-110",B:AZ,column(ab1),0)*e615</f>
        <v>0</v>
      </c>
      <c r="AD615">
        <f>vlookup("906-423348-110",B:AZ,column(ac1),0)*e615</f>
        <v>0</v>
      </c>
      <c r="AE615">
        <f>vlookup("906-423348-110",B:AZ,column(ad1),0)*e615</f>
        <v>0</v>
      </c>
      <c r="AF615">
        <f>vlookup("906-423348-110",B:AZ,column(ae1),0)*e615</f>
        <v>0</v>
      </c>
      <c r="AG615">
        <f>vlookup("906-423348-110",B:AZ,column(af1),0)*e615</f>
        <v>0</v>
      </c>
      <c r="AH615">
        <f>vlookup("906-423348-110",B:AZ,column(ag1),0)*e615</f>
        <v>0</v>
      </c>
      <c r="AI615">
        <f>vlookup("906-423348-110",B:AZ,column(ah1),0)*e615</f>
        <v>0</v>
      </c>
      <c r="AJ615">
        <f>vlookup("906-423348-110",B:AZ,column(ai1),0)*e615</f>
        <v>0</v>
      </c>
      <c r="AK615">
        <f>vlookup("906-423348-110",B:AZ,column(aj1),0)*e615</f>
        <v>0</v>
      </c>
      <c r="AL615">
        <f>vlookup("906-423348-110",B:AZ,column(ak1),0)*e615</f>
        <v>0</v>
      </c>
      <c r="AM615">
        <f>vlookup("906-423348-110",B:AZ,column(al1),0)*e615</f>
        <v>0</v>
      </c>
      <c r="AN615">
        <f>vlookup("906-423348-110",B:AZ,column(am1),0)*e615</f>
        <v>0</v>
      </c>
      <c r="AO615">
        <f>vlookup("906-423348-110",B:AZ,column(an1),0)*e615</f>
        <v>0</v>
      </c>
    </row>
    <row r="616" spans="1:41">
      <c r="A616" t="s">
        <v>22</v>
      </c>
      <c r="B616" t="s">
        <v>508</v>
      </c>
      <c r="C616" t="s">
        <v>653</v>
      </c>
      <c r="E616">
        <v>2</v>
      </c>
      <c r="F616" t="s">
        <v>13</v>
      </c>
      <c r="I616" t="s">
        <v>15</v>
      </c>
      <c r="J616">
        <f>vlookup("906-423348-110",B:AZ,column(i1),0)*e616</f>
        <v>0</v>
      </c>
      <c r="K616">
        <f>vlookup("906-423348-110",B:AZ,column(j1),0)*e616</f>
        <v>0</v>
      </c>
      <c r="L616">
        <f>vlookup("906-423348-110",B:AZ,column(k1),0)*e616</f>
        <v>0</v>
      </c>
      <c r="M616">
        <f>vlookup("906-423348-110",B:AZ,column(l1),0)*e616</f>
        <v>0</v>
      </c>
      <c r="N616">
        <f>vlookup("906-423348-110",B:AZ,column(m1),0)*e616</f>
        <v>0</v>
      </c>
      <c r="O616">
        <f>vlookup("906-423348-110",B:AZ,column(n1),0)*e616</f>
        <v>0</v>
      </c>
      <c r="P616">
        <f>vlookup("906-423348-110",B:AZ,column(o1),0)*e616</f>
        <v>0</v>
      </c>
      <c r="Q616">
        <f>vlookup("906-423348-110",B:AZ,column(p1),0)*e616</f>
        <v>0</v>
      </c>
      <c r="R616">
        <f>vlookup("906-423348-110",B:AZ,column(q1),0)*e616</f>
        <v>0</v>
      </c>
      <c r="S616">
        <f>vlookup("906-423348-110",B:AZ,column(r1),0)*e616</f>
        <v>0</v>
      </c>
      <c r="T616">
        <f>vlookup("906-423348-110",B:AZ,column(s1),0)*e616</f>
        <v>0</v>
      </c>
      <c r="U616">
        <f>vlookup("906-423348-110",B:AZ,column(t1),0)*e616</f>
        <v>0</v>
      </c>
      <c r="V616">
        <f>vlookup("906-423348-110",B:AZ,column(u1),0)*e616</f>
        <v>0</v>
      </c>
      <c r="W616">
        <f>vlookup("906-423348-110",B:AZ,column(v1),0)*e616</f>
        <v>0</v>
      </c>
      <c r="X616">
        <f>vlookup("906-423348-110",B:AZ,column(w1),0)*e616</f>
        <v>0</v>
      </c>
      <c r="Y616">
        <f>vlookup("906-423348-110",B:AZ,column(x1),0)*e616</f>
        <v>0</v>
      </c>
      <c r="Z616">
        <f>vlookup("906-423348-110",B:AZ,column(y1),0)*e616</f>
        <v>0</v>
      </c>
      <c r="AA616">
        <f>vlookup("906-423348-110",B:AZ,column(z1),0)*e616</f>
        <v>0</v>
      </c>
      <c r="AB616">
        <f>vlookup("906-423348-110",B:AZ,column(aa1),0)*e616</f>
        <v>0</v>
      </c>
      <c r="AC616">
        <f>vlookup("906-423348-110",B:AZ,column(ab1),0)*e616</f>
        <v>0</v>
      </c>
      <c r="AD616">
        <f>vlookup("906-423348-110",B:AZ,column(ac1),0)*e616</f>
        <v>0</v>
      </c>
      <c r="AE616">
        <f>vlookup("906-423348-110",B:AZ,column(ad1),0)*e616</f>
        <v>0</v>
      </c>
      <c r="AF616">
        <f>vlookup("906-423348-110",B:AZ,column(ae1),0)*e616</f>
        <v>0</v>
      </c>
      <c r="AG616">
        <f>vlookup("906-423348-110",B:AZ,column(af1),0)*e616</f>
        <v>0</v>
      </c>
      <c r="AH616">
        <f>vlookup("906-423348-110",B:AZ,column(ag1),0)*e616</f>
        <v>0</v>
      </c>
      <c r="AI616">
        <f>vlookup("906-423348-110",B:AZ,column(ah1),0)*e616</f>
        <v>0</v>
      </c>
      <c r="AJ616">
        <f>vlookup("906-423348-110",B:AZ,column(ai1),0)*e616</f>
        <v>0</v>
      </c>
      <c r="AK616">
        <f>vlookup("906-423348-110",B:AZ,column(aj1),0)*e616</f>
        <v>0</v>
      </c>
      <c r="AL616">
        <f>vlookup("906-423348-110",B:AZ,column(ak1),0)*e616</f>
        <v>0</v>
      </c>
      <c r="AM616">
        <f>vlookup("906-423348-110",B:AZ,column(al1),0)*e616</f>
        <v>0</v>
      </c>
      <c r="AN616">
        <f>vlookup("906-423348-110",B:AZ,column(am1),0)*e616</f>
        <v>0</v>
      </c>
      <c r="AO616">
        <f>vlookup("906-423348-110",B:AZ,column(an1),0)*e616</f>
        <v>0</v>
      </c>
    </row>
    <row r="617" spans="1:41">
      <c r="A617" t="s">
        <v>22</v>
      </c>
      <c r="B617" t="s">
        <v>654</v>
      </c>
      <c r="C617" t="s">
        <v>655</v>
      </c>
      <c r="E617">
        <v>1</v>
      </c>
      <c r="F617" t="s">
        <v>13</v>
      </c>
      <c r="I617" t="s">
        <v>15</v>
      </c>
      <c r="J617">
        <f>vlookup("906-423348-110",B:AZ,column(i1),0)*e617</f>
        <v>0</v>
      </c>
      <c r="K617">
        <f>vlookup("906-423348-110",B:AZ,column(j1),0)*e617</f>
        <v>0</v>
      </c>
      <c r="L617">
        <f>vlookup("906-423348-110",B:AZ,column(k1),0)*e617</f>
        <v>0</v>
      </c>
      <c r="M617">
        <f>vlookup("906-423348-110",B:AZ,column(l1),0)*e617</f>
        <v>0</v>
      </c>
      <c r="N617">
        <f>vlookup("906-423348-110",B:AZ,column(m1),0)*e617</f>
        <v>0</v>
      </c>
      <c r="O617">
        <f>vlookup("906-423348-110",B:AZ,column(n1),0)*e617</f>
        <v>0</v>
      </c>
      <c r="P617">
        <f>vlookup("906-423348-110",B:AZ,column(o1),0)*e617</f>
        <v>0</v>
      </c>
      <c r="Q617">
        <f>vlookup("906-423348-110",B:AZ,column(p1),0)*e617</f>
        <v>0</v>
      </c>
      <c r="R617">
        <f>vlookup("906-423348-110",B:AZ,column(q1),0)*e617</f>
        <v>0</v>
      </c>
      <c r="S617">
        <f>vlookup("906-423348-110",B:AZ,column(r1),0)*e617</f>
        <v>0</v>
      </c>
      <c r="T617">
        <f>vlookup("906-423348-110",B:AZ,column(s1),0)*e617</f>
        <v>0</v>
      </c>
      <c r="U617">
        <f>vlookup("906-423348-110",B:AZ,column(t1),0)*e617</f>
        <v>0</v>
      </c>
      <c r="V617">
        <f>vlookup("906-423348-110",B:AZ,column(u1),0)*e617</f>
        <v>0</v>
      </c>
      <c r="W617">
        <f>vlookup("906-423348-110",B:AZ,column(v1),0)*e617</f>
        <v>0</v>
      </c>
      <c r="X617">
        <f>vlookup("906-423348-110",B:AZ,column(w1),0)*e617</f>
        <v>0</v>
      </c>
      <c r="Y617">
        <f>vlookup("906-423348-110",B:AZ,column(x1),0)*e617</f>
        <v>0</v>
      </c>
      <c r="Z617">
        <f>vlookup("906-423348-110",B:AZ,column(y1),0)*e617</f>
        <v>0</v>
      </c>
      <c r="AA617">
        <f>vlookup("906-423348-110",B:AZ,column(z1),0)*e617</f>
        <v>0</v>
      </c>
      <c r="AB617">
        <f>vlookup("906-423348-110",B:AZ,column(aa1),0)*e617</f>
        <v>0</v>
      </c>
      <c r="AC617">
        <f>vlookup("906-423348-110",B:AZ,column(ab1),0)*e617</f>
        <v>0</v>
      </c>
      <c r="AD617">
        <f>vlookup("906-423348-110",B:AZ,column(ac1),0)*e617</f>
        <v>0</v>
      </c>
      <c r="AE617">
        <f>vlookup("906-423348-110",B:AZ,column(ad1),0)*e617</f>
        <v>0</v>
      </c>
      <c r="AF617">
        <f>vlookup("906-423348-110",B:AZ,column(ae1),0)*e617</f>
        <v>0</v>
      </c>
      <c r="AG617">
        <f>vlookup("906-423348-110",B:AZ,column(af1),0)*e617</f>
        <v>0</v>
      </c>
      <c r="AH617">
        <f>vlookup("906-423348-110",B:AZ,column(ag1),0)*e617</f>
        <v>0</v>
      </c>
      <c r="AI617">
        <f>vlookup("906-423348-110",B:AZ,column(ah1),0)*e617</f>
        <v>0</v>
      </c>
      <c r="AJ617">
        <f>vlookup("906-423348-110",B:AZ,column(ai1),0)*e617</f>
        <v>0</v>
      </c>
      <c r="AK617">
        <f>vlookup("906-423348-110",B:AZ,column(aj1),0)*e617</f>
        <v>0</v>
      </c>
      <c r="AL617">
        <f>vlookup("906-423348-110",B:AZ,column(ak1),0)*e617</f>
        <v>0</v>
      </c>
      <c r="AM617">
        <f>vlookup("906-423348-110",B:AZ,column(al1),0)*e617</f>
        <v>0</v>
      </c>
      <c r="AN617">
        <f>vlookup("906-423348-110",B:AZ,column(am1),0)*e617</f>
        <v>0</v>
      </c>
      <c r="AO617">
        <f>vlookup("906-423348-110",B:AZ,column(an1),0)*e617</f>
        <v>0</v>
      </c>
    </row>
    <row r="618" spans="1:41">
      <c r="A618" t="s">
        <v>22</v>
      </c>
      <c r="B618" t="s">
        <v>609</v>
      </c>
      <c r="C618" t="s">
        <v>656</v>
      </c>
      <c r="E618">
        <v>1</v>
      </c>
      <c r="F618" t="s">
        <v>13</v>
      </c>
      <c r="I618" t="s">
        <v>15</v>
      </c>
      <c r="J618">
        <f>vlookup("906-423348-110",B:AZ,column(i1),0)*e618</f>
        <v>0</v>
      </c>
      <c r="K618">
        <f>vlookup("906-423348-110",B:AZ,column(j1),0)*e618</f>
        <v>0</v>
      </c>
      <c r="L618">
        <f>vlookup("906-423348-110",B:AZ,column(k1),0)*e618</f>
        <v>0</v>
      </c>
      <c r="M618">
        <f>vlookup("906-423348-110",B:AZ,column(l1),0)*e618</f>
        <v>0</v>
      </c>
      <c r="N618">
        <f>vlookup("906-423348-110",B:AZ,column(m1),0)*e618</f>
        <v>0</v>
      </c>
      <c r="O618">
        <f>vlookup("906-423348-110",B:AZ,column(n1),0)*e618</f>
        <v>0</v>
      </c>
      <c r="P618">
        <f>vlookup("906-423348-110",B:AZ,column(o1),0)*e618</f>
        <v>0</v>
      </c>
      <c r="Q618">
        <f>vlookup("906-423348-110",B:AZ,column(p1),0)*e618</f>
        <v>0</v>
      </c>
      <c r="R618">
        <f>vlookup("906-423348-110",B:AZ,column(q1),0)*e618</f>
        <v>0</v>
      </c>
      <c r="S618">
        <f>vlookup("906-423348-110",B:AZ,column(r1),0)*e618</f>
        <v>0</v>
      </c>
      <c r="T618">
        <f>vlookup("906-423348-110",B:AZ,column(s1),0)*e618</f>
        <v>0</v>
      </c>
      <c r="U618">
        <f>vlookup("906-423348-110",B:AZ,column(t1),0)*e618</f>
        <v>0</v>
      </c>
      <c r="V618">
        <f>vlookup("906-423348-110",B:AZ,column(u1),0)*e618</f>
        <v>0</v>
      </c>
      <c r="W618">
        <f>vlookup("906-423348-110",B:AZ,column(v1),0)*e618</f>
        <v>0</v>
      </c>
      <c r="X618">
        <f>vlookup("906-423348-110",B:AZ,column(w1),0)*e618</f>
        <v>0</v>
      </c>
      <c r="Y618">
        <f>vlookup("906-423348-110",B:AZ,column(x1),0)*e618</f>
        <v>0</v>
      </c>
      <c r="Z618">
        <f>vlookup("906-423348-110",B:AZ,column(y1),0)*e618</f>
        <v>0</v>
      </c>
      <c r="AA618">
        <f>vlookup("906-423348-110",B:AZ,column(z1),0)*e618</f>
        <v>0</v>
      </c>
      <c r="AB618">
        <f>vlookup("906-423348-110",B:AZ,column(aa1),0)*e618</f>
        <v>0</v>
      </c>
      <c r="AC618">
        <f>vlookup("906-423348-110",B:AZ,column(ab1),0)*e618</f>
        <v>0</v>
      </c>
      <c r="AD618">
        <f>vlookup("906-423348-110",B:AZ,column(ac1),0)*e618</f>
        <v>0</v>
      </c>
      <c r="AE618">
        <f>vlookup("906-423348-110",B:AZ,column(ad1),0)*e618</f>
        <v>0</v>
      </c>
      <c r="AF618">
        <f>vlookup("906-423348-110",B:AZ,column(ae1),0)*e618</f>
        <v>0</v>
      </c>
      <c r="AG618">
        <f>vlookup("906-423348-110",B:AZ,column(af1),0)*e618</f>
        <v>0</v>
      </c>
      <c r="AH618">
        <f>vlookup("906-423348-110",B:AZ,column(ag1),0)*e618</f>
        <v>0</v>
      </c>
      <c r="AI618">
        <f>vlookup("906-423348-110",B:AZ,column(ah1),0)*e618</f>
        <v>0</v>
      </c>
      <c r="AJ618">
        <f>vlookup("906-423348-110",B:AZ,column(ai1),0)*e618</f>
        <v>0</v>
      </c>
      <c r="AK618">
        <f>vlookup("906-423348-110",B:AZ,column(aj1),0)*e618</f>
        <v>0</v>
      </c>
      <c r="AL618">
        <f>vlookup("906-423348-110",B:AZ,column(ak1),0)*e618</f>
        <v>0</v>
      </c>
      <c r="AM618">
        <f>vlookup("906-423348-110",B:AZ,column(al1),0)*e618</f>
        <v>0</v>
      </c>
      <c r="AN618">
        <f>vlookup("906-423348-110",B:AZ,column(am1),0)*e618</f>
        <v>0</v>
      </c>
      <c r="AO618">
        <f>vlookup("906-423348-110",B:AZ,column(an1),0)*e618</f>
        <v>0</v>
      </c>
    </row>
    <row r="619" spans="1:41">
      <c r="A619" t="s">
        <v>22</v>
      </c>
      <c r="B619" t="s">
        <v>611</v>
      </c>
      <c r="C619" t="s">
        <v>656</v>
      </c>
      <c r="E619">
        <v>1</v>
      </c>
      <c r="F619" t="s">
        <v>13</v>
      </c>
      <c r="I619" t="s">
        <v>15</v>
      </c>
      <c r="J619">
        <f>vlookup("906-423348-110",B:AZ,column(i1),0)*e619</f>
        <v>0</v>
      </c>
      <c r="K619">
        <f>vlookup("906-423348-110",B:AZ,column(j1),0)*e619</f>
        <v>0</v>
      </c>
      <c r="L619">
        <f>vlookup("906-423348-110",B:AZ,column(k1),0)*e619</f>
        <v>0</v>
      </c>
      <c r="M619">
        <f>vlookup("906-423348-110",B:AZ,column(l1),0)*e619</f>
        <v>0</v>
      </c>
      <c r="N619">
        <f>vlookup("906-423348-110",B:AZ,column(m1),0)*e619</f>
        <v>0</v>
      </c>
      <c r="O619">
        <f>vlookup("906-423348-110",B:AZ,column(n1),0)*e619</f>
        <v>0</v>
      </c>
      <c r="P619">
        <f>vlookup("906-423348-110",B:AZ,column(o1),0)*e619</f>
        <v>0</v>
      </c>
      <c r="Q619">
        <f>vlookup("906-423348-110",B:AZ,column(p1),0)*e619</f>
        <v>0</v>
      </c>
      <c r="R619">
        <f>vlookup("906-423348-110",B:AZ,column(q1),0)*e619</f>
        <v>0</v>
      </c>
      <c r="S619">
        <f>vlookup("906-423348-110",B:AZ,column(r1),0)*e619</f>
        <v>0</v>
      </c>
      <c r="T619">
        <f>vlookup("906-423348-110",B:AZ,column(s1),0)*e619</f>
        <v>0</v>
      </c>
      <c r="U619">
        <f>vlookup("906-423348-110",B:AZ,column(t1),0)*e619</f>
        <v>0</v>
      </c>
      <c r="V619">
        <f>vlookup("906-423348-110",B:AZ,column(u1),0)*e619</f>
        <v>0</v>
      </c>
      <c r="W619">
        <f>vlookup("906-423348-110",B:AZ,column(v1),0)*e619</f>
        <v>0</v>
      </c>
      <c r="X619">
        <f>vlookup("906-423348-110",B:AZ,column(w1),0)*e619</f>
        <v>0</v>
      </c>
      <c r="Y619">
        <f>vlookup("906-423348-110",B:AZ,column(x1),0)*e619</f>
        <v>0</v>
      </c>
      <c r="Z619">
        <f>vlookup("906-423348-110",B:AZ,column(y1),0)*e619</f>
        <v>0</v>
      </c>
      <c r="AA619">
        <f>vlookup("906-423348-110",B:AZ,column(z1),0)*e619</f>
        <v>0</v>
      </c>
      <c r="AB619">
        <f>vlookup("906-423348-110",B:AZ,column(aa1),0)*e619</f>
        <v>0</v>
      </c>
      <c r="AC619">
        <f>vlookup("906-423348-110",B:AZ,column(ab1),0)*e619</f>
        <v>0</v>
      </c>
      <c r="AD619">
        <f>vlookup("906-423348-110",B:AZ,column(ac1),0)*e619</f>
        <v>0</v>
      </c>
      <c r="AE619">
        <f>vlookup("906-423348-110",B:AZ,column(ad1),0)*e619</f>
        <v>0</v>
      </c>
      <c r="AF619">
        <f>vlookup("906-423348-110",B:AZ,column(ae1),0)*e619</f>
        <v>0</v>
      </c>
      <c r="AG619">
        <f>vlookup("906-423348-110",B:AZ,column(af1),0)*e619</f>
        <v>0</v>
      </c>
      <c r="AH619">
        <f>vlookup("906-423348-110",B:AZ,column(ag1),0)*e619</f>
        <v>0</v>
      </c>
      <c r="AI619">
        <f>vlookup("906-423348-110",B:AZ,column(ah1),0)*e619</f>
        <v>0</v>
      </c>
      <c r="AJ619">
        <f>vlookup("906-423348-110",B:AZ,column(ai1),0)*e619</f>
        <v>0</v>
      </c>
      <c r="AK619">
        <f>vlookup("906-423348-110",B:AZ,column(aj1),0)*e619</f>
        <v>0</v>
      </c>
      <c r="AL619">
        <f>vlookup("906-423348-110",B:AZ,column(ak1),0)*e619</f>
        <v>0</v>
      </c>
      <c r="AM619">
        <f>vlookup("906-423348-110",B:AZ,column(al1),0)*e619</f>
        <v>0</v>
      </c>
      <c r="AN619">
        <f>vlookup("906-423348-110",B:AZ,column(am1),0)*e619</f>
        <v>0</v>
      </c>
      <c r="AO619">
        <f>vlookup("906-423348-110",B:AZ,column(an1),0)*e619</f>
        <v>0</v>
      </c>
    </row>
    <row r="620" spans="1:41">
      <c r="A620" t="s">
        <v>22</v>
      </c>
      <c r="B620" t="s">
        <v>625</v>
      </c>
      <c r="C620" t="s">
        <v>656</v>
      </c>
      <c r="E620">
        <v>1</v>
      </c>
      <c r="F620" t="s">
        <v>13</v>
      </c>
      <c r="I620" t="s">
        <v>15</v>
      </c>
      <c r="J620">
        <f>vlookup("906-423348-110",B:AZ,column(i1),0)*e620</f>
        <v>0</v>
      </c>
      <c r="K620">
        <f>vlookup("906-423348-110",B:AZ,column(j1),0)*e620</f>
        <v>0</v>
      </c>
      <c r="L620">
        <f>vlookup("906-423348-110",B:AZ,column(k1),0)*e620</f>
        <v>0</v>
      </c>
      <c r="M620">
        <f>vlookup("906-423348-110",B:AZ,column(l1),0)*e620</f>
        <v>0</v>
      </c>
      <c r="N620">
        <f>vlookup("906-423348-110",B:AZ,column(m1),0)*e620</f>
        <v>0</v>
      </c>
      <c r="O620">
        <f>vlookup("906-423348-110",B:AZ,column(n1),0)*e620</f>
        <v>0</v>
      </c>
      <c r="P620">
        <f>vlookup("906-423348-110",B:AZ,column(o1),0)*e620</f>
        <v>0</v>
      </c>
      <c r="Q620">
        <f>vlookup("906-423348-110",B:AZ,column(p1),0)*e620</f>
        <v>0</v>
      </c>
      <c r="R620">
        <f>vlookup("906-423348-110",B:AZ,column(q1),0)*e620</f>
        <v>0</v>
      </c>
      <c r="S620">
        <f>vlookup("906-423348-110",B:AZ,column(r1),0)*e620</f>
        <v>0</v>
      </c>
      <c r="T620">
        <f>vlookup("906-423348-110",B:AZ,column(s1),0)*e620</f>
        <v>0</v>
      </c>
      <c r="U620">
        <f>vlookup("906-423348-110",B:AZ,column(t1),0)*e620</f>
        <v>0</v>
      </c>
      <c r="V620">
        <f>vlookup("906-423348-110",B:AZ,column(u1),0)*e620</f>
        <v>0</v>
      </c>
      <c r="W620">
        <f>vlookup("906-423348-110",B:AZ,column(v1),0)*e620</f>
        <v>0</v>
      </c>
      <c r="X620">
        <f>vlookup("906-423348-110",B:AZ,column(w1),0)*e620</f>
        <v>0</v>
      </c>
      <c r="Y620">
        <f>vlookup("906-423348-110",B:AZ,column(x1),0)*e620</f>
        <v>0</v>
      </c>
      <c r="Z620">
        <f>vlookup("906-423348-110",B:AZ,column(y1),0)*e620</f>
        <v>0</v>
      </c>
      <c r="AA620">
        <f>vlookup("906-423348-110",B:AZ,column(z1),0)*e620</f>
        <v>0</v>
      </c>
      <c r="AB620">
        <f>vlookup("906-423348-110",B:AZ,column(aa1),0)*e620</f>
        <v>0</v>
      </c>
      <c r="AC620">
        <f>vlookup("906-423348-110",B:AZ,column(ab1),0)*e620</f>
        <v>0</v>
      </c>
      <c r="AD620">
        <f>vlookup("906-423348-110",B:AZ,column(ac1),0)*e620</f>
        <v>0</v>
      </c>
      <c r="AE620">
        <f>vlookup("906-423348-110",B:AZ,column(ad1),0)*e620</f>
        <v>0</v>
      </c>
      <c r="AF620">
        <f>vlookup("906-423348-110",B:AZ,column(ae1),0)*e620</f>
        <v>0</v>
      </c>
      <c r="AG620">
        <f>vlookup("906-423348-110",B:AZ,column(af1),0)*e620</f>
        <v>0</v>
      </c>
      <c r="AH620">
        <f>vlookup("906-423348-110",B:AZ,column(ag1),0)*e620</f>
        <v>0</v>
      </c>
      <c r="AI620">
        <f>vlookup("906-423348-110",B:AZ,column(ah1),0)*e620</f>
        <v>0</v>
      </c>
      <c r="AJ620">
        <f>vlookup("906-423348-110",B:AZ,column(ai1),0)*e620</f>
        <v>0</v>
      </c>
      <c r="AK620">
        <f>vlookup("906-423348-110",B:AZ,column(aj1),0)*e620</f>
        <v>0</v>
      </c>
      <c r="AL620">
        <f>vlookup("906-423348-110",B:AZ,column(ak1),0)*e620</f>
        <v>0</v>
      </c>
      <c r="AM620">
        <f>vlookup("906-423348-110",B:AZ,column(al1),0)*e620</f>
        <v>0</v>
      </c>
      <c r="AN620">
        <f>vlookup("906-423348-110",B:AZ,column(am1),0)*e620</f>
        <v>0</v>
      </c>
      <c r="AO620">
        <f>vlookup("906-423348-110",B:AZ,column(an1),0)*e620</f>
        <v>0</v>
      </c>
    </row>
    <row r="621" spans="1:41">
      <c r="A621" t="s">
        <v>22</v>
      </c>
      <c r="B621" t="s">
        <v>615</v>
      </c>
      <c r="C621" t="s">
        <v>657</v>
      </c>
      <c r="E621">
        <v>1</v>
      </c>
      <c r="F621" t="s">
        <v>13</v>
      </c>
      <c r="I621" t="s">
        <v>15</v>
      </c>
      <c r="J621">
        <f>vlookup("906-423348-110",B:AZ,column(i1),0)*e621</f>
        <v>0</v>
      </c>
      <c r="K621">
        <f>vlookup("906-423348-110",B:AZ,column(j1),0)*e621</f>
        <v>0</v>
      </c>
      <c r="L621">
        <f>vlookup("906-423348-110",B:AZ,column(k1),0)*e621</f>
        <v>0</v>
      </c>
      <c r="M621">
        <f>vlookup("906-423348-110",B:AZ,column(l1),0)*e621</f>
        <v>0</v>
      </c>
      <c r="N621">
        <f>vlookup("906-423348-110",B:AZ,column(m1),0)*e621</f>
        <v>0</v>
      </c>
      <c r="O621">
        <f>vlookup("906-423348-110",B:AZ,column(n1),0)*e621</f>
        <v>0</v>
      </c>
      <c r="P621">
        <f>vlookup("906-423348-110",B:AZ,column(o1),0)*e621</f>
        <v>0</v>
      </c>
      <c r="Q621">
        <f>vlookup("906-423348-110",B:AZ,column(p1),0)*e621</f>
        <v>0</v>
      </c>
      <c r="R621">
        <f>vlookup("906-423348-110",B:AZ,column(q1),0)*e621</f>
        <v>0</v>
      </c>
      <c r="S621">
        <f>vlookup("906-423348-110",B:AZ,column(r1),0)*e621</f>
        <v>0</v>
      </c>
      <c r="T621">
        <f>vlookup("906-423348-110",B:AZ,column(s1),0)*e621</f>
        <v>0</v>
      </c>
      <c r="U621">
        <f>vlookup("906-423348-110",B:AZ,column(t1),0)*e621</f>
        <v>0</v>
      </c>
      <c r="V621">
        <f>vlookup("906-423348-110",B:AZ,column(u1),0)*e621</f>
        <v>0</v>
      </c>
      <c r="W621">
        <f>vlookup("906-423348-110",B:AZ,column(v1),0)*e621</f>
        <v>0</v>
      </c>
      <c r="X621">
        <f>vlookup("906-423348-110",B:AZ,column(w1),0)*e621</f>
        <v>0</v>
      </c>
      <c r="Y621">
        <f>vlookup("906-423348-110",B:AZ,column(x1),0)*e621</f>
        <v>0</v>
      </c>
      <c r="Z621">
        <f>vlookup("906-423348-110",B:AZ,column(y1),0)*e621</f>
        <v>0</v>
      </c>
      <c r="AA621">
        <f>vlookup("906-423348-110",B:AZ,column(z1),0)*e621</f>
        <v>0</v>
      </c>
      <c r="AB621">
        <f>vlookup("906-423348-110",B:AZ,column(aa1),0)*e621</f>
        <v>0</v>
      </c>
      <c r="AC621">
        <f>vlookup("906-423348-110",B:AZ,column(ab1),0)*e621</f>
        <v>0</v>
      </c>
      <c r="AD621">
        <f>vlookup("906-423348-110",B:AZ,column(ac1),0)*e621</f>
        <v>0</v>
      </c>
      <c r="AE621">
        <f>vlookup("906-423348-110",B:AZ,column(ad1),0)*e621</f>
        <v>0</v>
      </c>
      <c r="AF621">
        <f>vlookup("906-423348-110",B:AZ,column(ae1),0)*e621</f>
        <v>0</v>
      </c>
      <c r="AG621">
        <f>vlookup("906-423348-110",B:AZ,column(af1),0)*e621</f>
        <v>0</v>
      </c>
      <c r="AH621">
        <f>vlookup("906-423348-110",B:AZ,column(ag1),0)*e621</f>
        <v>0</v>
      </c>
      <c r="AI621">
        <f>vlookup("906-423348-110",B:AZ,column(ah1),0)*e621</f>
        <v>0</v>
      </c>
      <c r="AJ621">
        <f>vlookup("906-423348-110",B:AZ,column(ai1),0)*e621</f>
        <v>0</v>
      </c>
      <c r="AK621">
        <f>vlookup("906-423348-110",B:AZ,column(aj1),0)*e621</f>
        <v>0</v>
      </c>
      <c r="AL621">
        <f>vlookup("906-423348-110",B:AZ,column(ak1),0)*e621</f>
        <v>0</v>
      </c>
      <c r="AM621">
        <f>vlookup("906-423348-110",B:AZ,column(al1),0)*e621</f>
        <v>0</v>
      </c>
      <c r="AN621">
        <f>vlookup("906-423348-110",B:AZ,column(am1),0)*e621</f>
        <v>0</v>
      </c>
      <c r="AO621">
        <f>vlookup("906-423348-110",B:AZ,column(an1),0)*e621</f>
        <v>0</v>
      </c>
    </row>
    <row r="622" spans="1:41">
      <c r="A622" t="s">
        <v>22</v>
      </c>
      <c r="B622" t="s">
        <v>607</v>
      </c>
      <c r="C622" t="s">
        <v>656</v>
      </c>
      <c r="E622">
        <v>1</v>
      </c>
      <c r="F622" t="s">
        <v>13</v>
      </c>
      <c r="I622" t="s">
        <v>15</v>
      </c>
      <c r="J622">
        <f>vlookup("906-423348-110",B:AZ,column(i1),0)*e622</f>
        <v>0</v>
      </c>
      <c r="K622">
        <f>vlookup("906-423348-110",B:AZ,column(j1),0)*e622</f>
        <v>0</v>
      </c>
      <c r="L622">
        <f>vlookup("906-423348-110",B:AZ,column(k1),0)*e622</f>
        <v>0</v>
      </c>
      <c r="M622">
        <f>vlookup("906-423348-110",B:AZ,column(l1),0)*e622</f>
        <v>0</v>
      </c>
      <c r="N622">
        <f>vlookup("906-423348-110",B:AZ,column(m1),0)*e622</f>
        <v>0</v>
      </c>
      <c r="O622">
        <f>vlookup("906-423348-110",B:AZ,column(n1),0)*e622</f>
        <v>0</v>
      </c>
      <c r="P622">
        <f>vlookup("906-423348-110",B:AZ,column(o1),0)*e622</f>
        <v>0</v>
      </c>
      <c r="Q622">
        <f>vlookup("906-423348-110",B:AZ,column(p1),0)*e622</f>
        <v>0</v>
      </c>
      <c r="R622">
        <f>vlookup("906-423348-110",B:AZ,column(q1),0)*e622</f>
        <v>0</v>
      </c>
      <c r="S622">
        <f>vlookup("906-423348-110",B:AZ,column(r1),0)*e622</f>
        <v>0</v>
      </c>
      <c r="T622">
        <f>vlookup("906-423348-110",B:AZ,column(s1),0)*e622</f>
        <v>0</v>
      </c>
      <c r="U622">
        <f>vlookup("906-423348-110",B:AZ,column(t1),0)*e622</f>
        <v>0</v>
      </c>
      <c r="V622">
        <f>vlookup("906-423348-110",B:AZ,column(u1),0)*e622</f>
        <v>0</v>
      </c>
      <c r="W622">
        <f>vlookup("906-423348-110",B:AZ,column(v1),0)*e622</f>
        <v>0</v>
      </c>
      <c r="X622">
        <f>vlookup("906-423348-110",B:AZ,column(w1),0)*e622</f>
        <v>0</v>
      </c>
      <c r="Y622">
        <f>vlookup("906-423348-110",B:AZ,column(x1),0)*e622</f>
        <v>0</v>
      </c>
      <c r="Z622">
        <f>vlookup("906-423348-110",B:AZ,column(y1),0)*e622</f>
        <v>0</v>
      </c>
      <c r="AA622">
        <f>vlookup("906-423348-110",B:AZ,column(z1),0)*e622</f>
        <v>0</v>
      </c>
      <c r="AB622">
        <f>vlookup("906-423348-110",B:AZ,column(aa1),0)*e622</f>
        <v>0</v>
      </c>
      <c r="AC622">
        <f>vlookup("906-423348-110",B:AZ,column(ab1),0)*e622</f>
        <v>0</v>
      </c>
      <c r="AD622">
        <f>vlookup("906-423348-110",B:AZ,column(ac1),0)*e622</f>
        <v>0</v>
      </c>
      <c r="AE622">
        <f>vlookup("906-423348-110",B:AZ,column(ad1),0)*e622</f>
        <v>0</v>
      </c>
      <c r="AF622">
        <f>vlookup("906-423348-110",B:AZ,column(ae1),0)*e622</f>
        <v>0</v>
      </c>
      <c r="AG622">
        <f>vlookup("906-423348-110",B:AZ,column(af1),0)*e622</f>
        <v>0</v>
      </c>
      <c r="AH622">
        <f>vlookup("906-423348-110",B:AZ,column(ag1),0)*e622</f>
        <v>0</v>
      </c>
      <c r="AI622">
        <f>vlookup("906-423348-110",B:AZ,column(ah1),0)*e622</f>
        <v>0</v>
      </c>
      <c r="AJ622">
        <f>vlookup("906-423348-110",B:AZ,column(ai1),0)*e622</f>
        <v>0</v>
      </c>
      <c r="AK622">
        <f>vlookup("906-423348-110",B:AZ,column(aj1),0)*e622</f>
        <v>0</v>
      </c>
      <c r="AL622">
        <f>vlookup("906-423348-110",B:AZ,column(ak1),0)*e622</f>
        <v>0</v>
      </c>
      <c r="AM622">
        <f>vlookup("906-423348-110",B:AZ,column(al1),0)*e622</f>
        <v>0</v>
      </c>
      <c r="AN622">
        <f>vlookup("906-423348-110",B:AZ,column(am1),0)*e622</f>
        <v>0</v>
      </c>
      <c r="AO622">
        <f>vlookup("906-423348-110",B:AZ,column(an1),0)*e622</f>
        <v>0</v>
      </c>
    </row>
    <row r="623" spans="1:41">
      <c r="A623" t="s">
        <v>43</v>
      </c>
      <c r="B623" t="s">
        <v>607</v>
      </c>
      <c r="C623" t="s">
        <v>43</v>
      </c>
      <c r="E623">
        <v>0.063</v>
      </c>
      <c r="F623" t="s">
        <v>13</v>
      </c>
      <c r="I623" t="s">
        <v>15</v>
      </c>
      <c r="J623">
        <f>vlookup("906-423348-110",B:AZ,column(i1),0)*e623</f>
        <v>0</v>
      </c>
      <c r="K623">
        <f>vlookup("906-423348-110",B:AZ,column(j1),0)*e623</f>
        <v>0</v>
      </c>
      <c r="L623">
        <f>vlookup("906-423348-110",B:AZ,column(k1),0)*e623</f>
        <v>0</v>
      </c>
      <c r="M623">
        <f>vlookup("906-423348-110",B:AZ,column(l1),0)*e623</f>
        <v>0</v>
      </c>
      <c r="N623">
        <f>vlookup("906-423348-110",B:AZ,column(m1),0)*e623</f>
        <v>0</v>
      </c>
      <c r="O623">
        <f>vlookup("906-423348-110",B:AZ,column(n1),0)*e623</f>
        <v>0</v>
      </c>
      <c r="P623">
        <f>vlookup("906-423348-110",B:AZ,column(o1),0)*e623</f>
        <v>0</v>
      </c>
      <c r="Q623">
        <f>vlookup("906-423348-110",B:AZ,column(p1),0)*e623</f>
        <v>0</v>
      </c>
      <c r="R623">
        <f>vlookup("906-423348-110",B:AZ,column(q1),0)*e623</f>
        <v>0</v>
      </c>
      <c r="S623">
        <f>vlookup("906-423348-110",B:AZ,column(r1),0)*e623</f>
        <v>0</v>
      </c>
      <c r="T623">
        <f>vlookup("906-423348-110",B:AZ,column(s1),0)*e623</f>
        <v>0</v>
      </c>
      <c r="U623">
        <f>vlookup("906-423348-110",B:AZ,column(t1),0)*e623</f>
        <v>0</v>
      </c>
      <c r="V623">
        <f>vlookup("906-423348-110",B:AZ,column(u1),0)*e623</f>
        <v>0</v>
      </c>
      <c r="W623">
        <f>vlookup("906-423348-110",B:AZ,column(v1),0)*e623</f>
        <v>0</v>
      </c>
      <c r="X623">
        <f>vlookup("906-423348-110",B:AZ,column(w1),0)*e623</f>
        <v>0</v>
      </c>
      <c r="Y623">
        <f>vlookup("906-423348-110",B:AZ,column(x1),0)*e623</f>
        <v>0</v>
      </c>
      <c r="Z623">
        <f>vlookup("906-423348-110",B:AZ,column(y1),0)*e623</f>
        <v>0</v>
      </c>
      <c r="AA623">
        <f>vlookup("906-423348-110",B:AZ,column(z1),0)*e623</f>
        <v>0</v>
      </c>
      <c r="AB623">
        <f>vlookup("906-423348-110",B:AZ,column(aa1),0)*e623</f>
        <v>0</v>
      </c>
      <c r="AC623">
        <f>vlookup("906-423348-110",B:AZ,column(ab1),0)*e623</f>
        <v>0</v>
      </c>
      <c r="AD623">
        <f>vlookup("906-423348-110",B:AZ,column(ac1),0)*e623</f>
        <v>0</v>
      </c>
      <c r="AE623">
        <f>vlookup("906-423348-110",B:AZ,column(ad1),0)*e623</f>
        <v>0</v>
      </c>
      <c r="AF623">
        <f>vlookup("906-423348-110",B:AZ,column(ae1),0)*e623</f>
        <v>0</v>
      </c>
      <c r="AG623">
        <f>vlookup("906-423348-110",B:AZ,column(af1),0)*e623</f>
        <v>0</v>
      </c>
      <c r="AH623">
        <f>vlookup("906-423348-110",B:AZ,column(ag1),0)*e623</f>
        <v>0</v>
      </c>
      <c r="AI623">
        <f>vlookup("906-423348-110",B:AZ,column(ah1),0)*e623</f>
        <v>0</v>
      </c>
      <c r="AJ623">
        <f>vlookup("906-423348-110",B:AZ,column(ai1),0)*e623</f>
        <v>0</v>
      </c>
      <c r="AK623">
        <f>vlookup("906-423348-110",B:AZ,column(aj1),0)*e623</f>
        <v>0</v>
      </c>
      <c r="AL623">
        <f>vlookup("906-423348-110",B:AZ,column(ak1),0)*e623</f>
        <v>0</v>
      </c>
      <c r="AM623">
        <f>vlookup("906-423348-110",B:AZ,column(al1),0)*e623</f>
        <v>0</v>
      </c>
      <c r="AN623">
        <f>vlookup("906-423348-110",B:AZ,column(am1),0)*e623</f>
        <v>0</v>
      </c>
      <c r="AO623">
        <f>vlookup("906-423348-110",B:AZ,column(an1),0)*e623</f>
        <v>0</v>
      </c>
    </row>
    <row r="624" spans="1:41">
      <c r="A624" t="s">
        <v>10</v>
      </c>
      <c r="B624" t="s">
        <v>600</v>
      </c>
      <c r="C624" t="s">
        <v>601</v>
      </c>
      <c r="E624">
        <v>1</v>
      </c>
      <c r="F624" t="s">
        <v>13</v>
      </c>
      <c r="I624" t="s">
        <v>14</v>
      </c>
      <c r="AO624">
        <f>sum(j624:an624)</f>
        <v>0</v>
      </c>
    </row>
    <row r="625" spans="1:41">
      <c r="I625" t="s">
        <v>15</v>
      </c>
      <c r="J625">
        <f>vlookup("906-424348-110",Out!B:AZ,column(i1),0)</f>
        <v>0</v>
      </c>
      <c r="K625">
        <f>vlookup("906-424348-110",Out!B:AZ,column(j1),0)</f>
        <v>0</v>
      </c>
      <c r="L625">
        <f>vlookup("906-424348-110",Out!B:AZ,column(k1),0)</f>
        <v>0</v>
      </c>
      <c r="M625">
        <f>vlookup("906-424348-110",Out!B:AZ,column(l1),0)</f>
        <v>0</v>
      </c>
      <c r="N625">
        <f>vlookup("906-424348-110",Out!B:AZ,column(m1),0)</f>
        <v>0</v>
      </c>
      <c r="O625">
        <f>vlookup("906-424348-110",Out!B:AZ,column(n1),0)</f>
        <v>0</v>
      </c>
      <c r="P625">
        <f>vlookup("906-424348-110",Out!B:AZ,column(o1),0)</f>
        <v>0</v>
      </c>
      <c r="Q625">
        <f>vlookup("906-424348-110",Out!B:AZ,column(p1),0)</f>
        <v>0</v>
      </c>
      <c r="R625">
        <f>vlookup("906-424348-110",Out!B:AZ,column(q1),0)</f>
        <v>0</v>
      </c>
      <c r="S625">
        <f>vlookup("906-424348-110",Out!B:AZ,column(r1),0)</f>
        <v>0</v>
      </c>
      <c r="T625">
        <f>vlookup("906-424348-110",Out!B:AZ,column(s1),0)</f>
        <v>0</v>
      </c>
      <c r="U625">
        <f>vlookup("906-424348-110",Out!B:AZ,column(t1),0)</f>
        <v>0</v>
      </c>
      <c r="V625">
        <f>vlookup("906-424348-110",Out!B:AZ,column(u1),0)</f>
        <v>0</v>
      </c>
      <c r="W625">
        <f>vlookup("906-424348-110",Out!B:AZ,column(v1),0)</f>
        <v>0</v>
      </c>
      <c r="X625">
        <f>vlookup("906-424348-110",Out!B:AZ,column(w1),0)</f>
        <v>0</v>
      </c>
      <c r="Y625">
        <f>vlookup("906-424348-110",Out!B:AZ,column(x1),0)</f>
        <v>0</v>
      </c>
      <c r="Z625">
        <f>vlookup("906-424348-110",Out!B:AZ,column(y1),0)</f>
        <v>0</v>
      </c>
      <c r="AA625">
        <f>vlookup("906-424348-110",Out!B:AZ,column(z1),0)</f>
        <v>0</v>
      </c>
      <c r="AB625">
        <f>vlookup("906-424348-110",Out!B:AZ,column(aa1),0)</f>
        <v>0</v>
      </c>
      <c r="AC625">
        <f>vlookup("906-424348-110",Out!B:AZ,column(ab1),0)</f>
        <v>0</v>
      </c>
      <c r="AD625">
        <f>vlookup("906-424348-110",Out!B:AZ,column(ac1),0)</f>
        <v>0</v>
      </c>
      <c r="AE625">
        <f>vlookup("906-424348-110",Out!B:AZ,column(ad1),0)</f>
        <v>0</v>
      </c>
      <c r="AF625">
        <f>vlookup("906-424348-110",Out!B:AZ,column(ae1),0)</f>
        <v>0</v>
      </c>
      <c r="AG625">
        <f>vlookup("906-424348-110",Out!B:AZ,column(af1),0)</f>
        <v>0</v>
      </c>
      <c r="AH625">
        <f>vlookup("906-424348-110",Out!B:AZ,column(ag1),0)</f>
        <v>0</v>
      </c>
      <c r="AI625">
        <f>vlookup("906-424348-110",Out!B:AZ,column(ah1),0)</f>
        <v>0</v>
      </c>
      <c r="AJ625">
        <f>vlookup("906-424348-110",Out!B:AZ,column(ai1),0)</f>
        <v>0</v>
      </c>
      <c r="AK625">
        <f>vlookup("906-424348-110",Out!B:AZ,column(aj1),0)</f>
        <v>0</v>
      </c>
      <c r="AL625">
        <f>vlookup("906-424348-110",Out!B:AZ,column(ak1),0)</f>
        <v>0</v>
      </c>
      <c r="AM625">
        <f>vlookup("906-424348-110",Out!B:AZ,column(al1),0)</f>
        <v>0</v>
      </c>
      <c r="AN625">
        <f>vlookup("906-424348-110",Out!B:AZ,column(am1),0)</f>
        <v>0</v>
      </c>
      <c r="AO625">
        <f>vlookup("906-424348-110",Out!B:AZ,column(an1),0)</f>
        <v>0</v>
      </c>
    </row>
    <row r="626" spans="1:41">
      <c r="H626" t="s">
        <v>16</v>
      </c>
      <c r="J626">
        <f>indirect(address(626,9))+indirect(address(624,10))-indirect(address(625,10))</f>
        <v>0</v>
      </c>
      <c r="K626">
        <f>indirect(address(626,10))+indirect(address(624,11))-indirect(address(625,11))</f>
        <v>0</v>
      </c>
      <c r="L626">
        <f>indirect(address(626,11))+indirect(address(624,12))-indirect(address(625,12))</f>
        <v>0</v>
      </c>
      <c r="M626">
        <f>indirect(address(626,12))+indirect(address(624,13))-indirect(address(625,13))</f>
        <v>0</v>
      </c>
      <c r="N626">
        <f>indirect(address(626,13))+indirect(address(624,14))-indirect(address(625,14))</f>
        <v>0</v>
      </c>
      <c r="O626">
        <f>indirect(address(626,14))+indirect(address(624,15))-indirect(address(625,15))</f>
        <v>0</v>
      </c>
      <c r="P626">
        <f>indirect(address(626,15))+indirect(address(624,16))-indirect(address(625,16))</f>
        <v>0</v>
      </c>
      <c r="Q626">
        <f>indirect(address(626,16))+indirect(address(624,17))-indirect(address(625,17))</f>
        <v>0</v>
      </c>
      <c r="R626">
        <f>indirect(address(626,17))+indirect(address(624,18))-indirect(address(625,18))</f>
        <v>0</v>
      </c>
      <c r="S626">
        <f>indirect(address(626,18))+indirect(address(624,19))-indirect(address(625,19))</f>
        <v>0</v>
      </c>
      <c r="T626">
        <f>indirect(address(626,19))+indirect(address(624,20))-indirect(address(625,20))</f>
        <v>0</v>
      </c>
      <c r="U626">
        <f>indirect(address(626,20))+indirect(address(624,21))-indirect(address(625,21))</f>
        <v>0</v>
      </c>
      <c r="V626">
        <f>indirect(address(626,21))+indirect(address(624,22))-indirect(address(625,22))</f>
        <v>0</v>
      </c>
      <c r="W626">
        <f>indirect(address(626,22))+indirect(address(624,23))-indirect(address(625,23))</f>
        <v>0</v>
      </c>
      <c r="X626">
        <f>indirect(address(626,23))+indirect(address(624,24))-indirect(address(625,24))</f>
        <v>0</v>
      </c>
      <c r="Y626">
        <f>indirect(address(626,24))+indirect(address(624,25))-indirect(address(625,25))</f>
        <v>0</v>
      </c>
      <c r="Z626">
        <f>indirect(address(626,25))+indirect(address(624,26))-indirect(address(625,26))</f>
        <v>0</v>
      </c>
      <c r="AA626">
        <f>indirect(address(626,26))+indirect(address(624,27))-indirect(address(625,27))</f>
        <v>0</v>
      </c>
      <c r="AB626">
        <f>indirect(address(626,27))+indirect(address(624,28))-indirect(address(625,28))</f>
        <v>0</v>
      </c>
      <c r="AC626">
        <f>indirect(address(626,28))+indirect(address(624,29))-indirect(address(625,29))</f>
        <v>0</v>
      </c>
      <c r="AD626">
        <f>indirect(address(626,29))+indirect(address(624,30))-indirect(address(625,30))</f>
        <v>0</v>
      </c>
      <c r="AE626">
        <f>indirect(address(626,30))+indirect(address(624,31))-indirect(address(625,31))</f>
        <v>0</v>
      </c>
      <c r="AF626">
        <f>indirect(address(626,31))+indirect(address(624,32))-indirect(address(625,32))</f>
        <v>0</v>
      </c>
      <c r="AG626">
        <f>indirect(address(626,32))+indirect(address(624,33))-indirect(address(625,33))</f>
        <v>0</v>
      </c>
      <c r="AH626">
        <f>indirect(address(626,33))+indirect(address(624,34))-indirect(address(625,34))</f>
        <v>0</v>
      </c>
      <c r="AI626">
        <f>indirect(address(626,34))+indirect(address(624,35))-indirect(address(625,35))</f>
        <v>0</v>
      </c>
      <c r="AJ626">
        <f>indirect(address(626,35))+indirect(address(624,36))-indirect(address(625,36))</f>
        <v>0</v>
      </c>
      <c r="AK626">
        <f>indirect(address(626,36))+indirect(address(624,37))-indirect(address(625,37))</f>
        <v>0</v>
      </c>
      <c r="AL626">
        <f>indirect(address(626,37))+indirect(address(624,38))-indirect(address(625,38))</f>
        <v>0</v>
      </c>
      <c r="AM626">
        <f>indirect(address(626,38))+indirect(address(624,39))-indirect(address(625,39))</f>
        <v>0</v>
      </c>
      <c r="AN626">
        <f>indirect(address(626,39))+indirect(address(624,40))-indirect(address(625,40))</f>
        <v>0</v>
      </c>
      <c r="AO626">
        <f>indirect(address(626,40))</f>
        <v>0</v>
      </c>
    </row>
    <row r="627" spans="1:41">
      <c r="A627" t="s">
        <v>17</v>
      </c>
      <c r="B627" t="s">
        <v>602</v>
      </c>
      <c r="C627" t="s">
        <v>505</v>
      </c>
      <c r="E627">
        <v>1</v>
      </c>
      <c r="F627" t="s">
        <v>13</v>
      </c>
      <c r="I627" t="s">
        <v>15</v>
      </c>
      <c r="J627">
        <f>vlookup("906-424348-110",B:AZ,column(i1),0)*e627</f>
        <v>0</v>
      </c>
      <c r="K627">
        <f>vlookup("906-424348-110",B:AZ,column(j1),0)*e627</f>
        <v>0</v>
      </c>
      <c r="L627">
        <f>vlookup("906-424348-110",B:AZ,column(k1),0)*e627</f>
        <v>0</v>
      </c>
      <c r="M627">
        <f>vlookup("906-424348-110",B:AZ,column(l1),0)*e627</f>
        <v>0</v>
      </c>
      <c r="N627">
        <f>vlookup("906-424348-110",B:AZ,column(m1),0)*e627</f>
        <v>0</v>
      </c>
      <c r="O627">
        <f>vlookup("906-424348-110",B:AZ,column(n1),0)*e627</f>
        <v>0</v>
      </c>
      <c r="P627">
        <f>vlookup("906-424348-110",B:AZ,column(o1),0)*e627</f>
        <v>0</v>
      </c>
      <c r="Q627">
        <f>vlookup("906-424348-110",B:AZ,column(p1),0)*e627</f>
        <v>0</v>
      </c>
      <c r="R627">
        <f>vlookup("906-424348-110",B:AZ,column(q1),0)*e627</f>
        <v>0</v>
      </c>
      <c r="S627">
        <f>vlookup("906-424348-110",B:AZ,column(r1),0)*e627</f>
        <v>0</v>
      </c>
      <c r="T627">
        <f>vlookup("906-424348-110",B:AZ,column(s1),0)*e627</f>
        <v>0</v>
      </c>
      <c r="U627">
        <f>vlookup("906-424348-110",B:AZ,column(t1),0)*e627</f>
        <v>0</v>
      </c>
      <c r="V627">
        <f>vlookup("906-424348-110",B:AZ,column(u1),0)*e627</f>
        <v>0</v>
      </c>
      <c r="W627">
        <f>vlookup("906-424348-110",B:AZ,column(v1),0)*e627</f>
        <v>0</v>
      </c>
      <c r="X627">
        <f>vlookup("906-424348-110",B:AZ,column(w1),0)*e627</f>
        <v>0</v>
      </c>
      <c r="Y627">
        <f>vlookup("906-424348-110",B:AZ,column(x1),0)*e627</f>
        <v>0</v>
      </c>
      <c r="Z627">
        <f>vlookup("906-424348-110",B:AZ,column(y1),0)*e627</f>
        <v>0</v>
      </c>
      <c r="AA627">
        <f>vlookup("906-424348-110",B:AZ,column(z1),0)*e627</f>
        <v>0</v>
      </c>
      <c r="AB627">
        <f>vlookup("906-424348-110",B:AZ,column(aa1),0)*e627</f>
        <v>0</v>
      </c>
      <c r="AC627">
        <f>vlookup("906-424348-110",B:AZ,column(ab1),0)*e627</f>
        <v>0</v>
      </c>
      <c r="AD627">
        <f>vlookup("906-424348-110",B:AZ,column(ac1),0)*e627</f>
        <v>0</v>
      </c>
      <c r="AE627">
        <f>vlookup("906-424348-110",B:AZ,column(ad1),0)*e627</f>
        <v>0</v>
      </c>
      <c r="AF627">
        <f>vlookup("906-424348-110",B:AZ,column(ae1),0)*e627</f>
        <v>0</v>
      </c>
      <c r="AG627">
        <f>vlookup("906-424348-110",B:AZ,column(af1),0)*e627</f>
        <v>0</v>
      </c>
      <c r="AH627">
        <f>vlookup("906-424348-110",B:AZ,column(ag1),0)*e627</f>
        <v>0</v>
      </c>
      <c r="AI627">
        <f>vlookup("906-424348-110",B:AZ,column(ah1),0)*e627</f>
        <v>0</v>
      </c>
      <c r="AJ627">
        <f>vlookup("906-424348-110",B:AZ,column(ai1),0)*e627</f>
        <v>0</v>
      </c>
      <c r="AK627">
        <f>vlookup("906-424348-110",B:AZ,column(aj1),0)*e627</f>
        <v>0</v>
      </c>
      <c r="AL627">
        <f>vlookup("906-424348-110",B:AZ,column(ak1),0)*e627</f>
        <v>0</v>
      </c>
      <c r="AM627">
        <f>vlookup("906-424348-110",B:AZ,column(al1),0)*e627</f>
        <v>0</v>
      </c>
      <c r="AN627">
        <f>vlookup("906-424348-110",B:AZ,column(am1),0)*e627</f>
        <v>0</v>
      </c>
      <c r="AO627">
        <f>vlookup("906-424348-110",B:AZ,column(an1),0)*e627</f>
        <v>0</v>
      </c>
    </row>
    <row r="628" spans="1:41">
      <c r="A628" t="s">
        <v>17</v>
      </c>
      <c r="B628" t="s">
        <v>603</v>
      </c>
      <c r="C628" t="s">
        <v>604</v>
      </c>
      <c r="E628">
        <v>1</v>
      </c>
      <c r="F628" t="s">
        <v>13</v>
      </c>
      <c r="I628" t="s">
        <v>15</v>
      </c>
      <c r="J628">
        <f>vlookup("906-424348-110",B:AZ,column(i1),0)*e628</f>
        <v>0</v>
      </c>
      <c r="K628">
        <f>vlookup("906-424348-110",B:AZ,column(j1),0)*e628</f>
        <v>0</v>
      </c>
      <c r="L628">
        <f>vlookup("906-424348-110",B:AZ,column(k1),0)*e628</f>
        <v>0</v>
      </c>
      <c r="M628">
        <f>vlookup("906-424348-110",B:AZ,column(l1),0)*e628</f>
        <v>0</v>
      </c>
      <c r="N628">
        <f>vlookup("906-424348-110",B:AZ,column(m1),0)*e628</f>
        <v>0</v>
      </c>
      <c r="O628">
        <f>vlookup("906-424348-110",B:AZ,column(n1),0)*e628</f>
        <v>0</v>
      </c>
      <c r="P628">
        <f>vlookup("906-424348-110",B:AZ,column(o1),0)*e628</f>
        <v>0</v>
      </c>
      <c r="Q628">
        <f>vlookup("906-424348-110",B:AZ,column(p1),0)*e628</f>
        <v>0</v>
      </c>
      <c r="R628">
        <f>vlookup("906-424348-110",B:AZ,column(q1),0)*e628</f>
        <v>0</v>
      </c>
      <c r="S628">
        <f>vlookup("906-424348-110",B:AZ,column(r1),0)*e628</f>
        <v>0</v>
      </c>
      <c r="T628">
        <f>vlookup("906-424348-110",B:AZ,column(s1),0)*e628</f>
        <v>0</v>
      </c>
      <c r="U628">
        <f>vlookup("906-424348-110",B:AZ,column(t1),0)*e628</f>
        <v>0</v>
      </c>
      <c r="V628">
        <f>vlookup("906-424348-110",B:AZ,column(u1),0)*e628</f>
        <v>0</v>
      </c>
      <c r="W628">
        <f>vlookup("906-424348-110",B:AZ,column(v1),0)*e628</f>
        <v>0</v>
      </c>
      <c r="X628">
        <f>vlookup("906-424348-110",B:AZ,column(w1),0)*e628</f>
        <v>0</v>
      </c>
      <c r="Y628">
        <f>vlookup("906-424348-110",B:AZ,column(x1),0)*e628</f>
        <v>0</v>
      </c>
      <c r="Z628">
        <f>vlookup("906-424348-110",B:AZ,column(y1),0)*e628</f>
        <v>0</v>
      </c>
      <c r="AA628">
        <f>vlookup("906-424348-110",B:AZ,column(z1),0)*e628</f>
        <v>0</v>
      </c>
      <c r="AB628">
        <f>vlookup("906-424348-110",B:AZ,column(aa1),0)*e628</f>
        <v>0</v>
      </c>
      <c r="AC628">
        <f>vlookup("906-424348-110",B:AZ,column(ab1),0)*e628</f>
        <v>0</v>
      </c>
      <c r="AD628">
        <f>vlookup("906-424348-110",B:AZ,column(ac1),0)*e628</f>
        <v>0</v>
      </c>
      <c r="AE628">
        <f>vlookup("906-424348-110",B:AZ,column(ad1),0)*e628</f>
        <v>0</v>
      </c>
      <c r="AF628">
        <f>vlookup("906-424348-110",B:AZ,column(ae1),0)*e628</f>
        <v>0</v>
      </c>
      <c r="AG628">
        <f>vlookup("906-424348-110",B:AZ,column(af1),0)*e628</f>
        <v>0</v>
      </c>
      <c r="AH628">
        <f>vlookup("906-424348-110",B:AZ,column(ag1),0)*e628</f>
        <v>0</v>
      </c>
      <c r="AI628">
        <f>vlookup("906-424348-110",B:AZ,column(ah1),0)*e628</f>
        <v>0</v>
      </c>
      <c r="AJ628">
        <f>vlookup("906-424348-110",B:AZ,column(ai1),0)*e628</f>
        <v>0</v>
      </c>
      <c r="AK628">
        <f>vlookup("906-424348-110",B:AZ,column(aj1),0)*e628</f>
        <v>0</v>
      </c>
      <c r="AL628">
        <f>vlookup("906-424348-110",B:AZ,column(ak1),0)*e628</f>
        <v>0</v>
      </c>
      <c r="AM628">
        <f>vlookup("906-424348-110",B:AZ,column(al1),0)*e628</f>
        <v>0</v>
      </c>
      <c r="AN628">
        <f>vlookup("906-424348-110",B:AZ,column(am1),0)*e628</f>
        <v>0</v>
      </c>
      <c r="AO628">
        <f>vlookup("906-424348-110",B:AZ,column(an1),0)*e628</f>
        <v>0</v>
      </c>
    </row>
    <row r="629" spans="1:41">
      <c r="A629" t="s">
        <v>22</v>
      </c>
      <c r="B629" t="s">
        <v>512</v>
      </c>
      <c r="C629" t="s">
        <v>651</v>
      </c>
      <c r="E629">
        <v>1</v>
      </c>
      <c r="F629" t="s">
        <v>13</v>
      </c>
      <c r="I629" t="s">
        <v>15</v>
      </c>
      <c r="J629">
        <f>vlookup("906-424348-110",B:AZ,column(i1),0)*e629</f>
        <v>0</v>
      </c>
      <c r="K629">
        <f>vlookup("906-424348-110",B:AZ,column(j1),0)*e629</f>
        <v>0</v>
      </c>
      <c r="L629">
        <f>vlookup("906-424348-110",B:AZ,column(k1),0)*e629</f>
        <v>0</v>
      </c>
      <c r="M629">
        <f>vlookup("906-424348-110",B:AZ,column(l1),0)*e629</f>
        <v>0</v>
      </c>
      <c r="N629">
        <f>vlookup("906-424348-110",B:AZ,column(m1),0)*e629</f>
        <v>0</v>
      </c>
      <c r="O629">
        <f>vlookup("906-424348-110",B:AZ,column(n1),0)*e629</f>
        <v>0</v>
      </c>
      <c r="P629">
        <f>vlookup("906-424348-110",B:AZ,column(o1),0)*e629</f>
        <v>0</v>
      </c>
      <c r="Q629">
        <f>vlookup("906-424348-110",B:AZ,column(p1),0)*e629</f>
        <v>0</v>
      </c>
      <c r="R629">
        <f>vlookup("906-424348-110",B:AZ,column(q1),0)*e629</f>
        <v>0</v>
      </c>
      <c r="S629">
        <f>vlookup("906-424348-110",B:AZ,column(r1),0)*e629</f>
        <v>0</v>
      </c>
      <c r="T629">
        <f>vlookup("906-424348-110",B:AZ,column(s1),0)*e629</f>
        <v>0</v>
      </c>
      <c r="U629">
        <f>vlookup("906-424348-110",B:AZ,column(t1),0)*e629</f>
        <v>0</v>
      </c>
      <c r="V629">
        <f>vlookup("906-424348-110",B:AZ,column(u1),0)*e629</f>
        <v>0</v>
      </c>
      <c r="W629">
        <f>vlookup("906-424348-110",B:AZ,column(v1),0)*e629</f>
        <v>0</v>
      </c>
      <c r="X629">
        <f>vlookup("906-424348-110",B:AZ,column(w1),0)*e629</f>
        <v>0</v>
      </c>
      <c r="Y629">
        <f>vlookup("906-424348-110",B:AZ,column(x1),0)*e629</f>
        <v>0</v>
      </c>
      <c r="Z629">
        <f>vlookup("906-424348-110",B:AZ,column(y1),0)*e629</f>
        <v>0</v>
      </c>
      <c r="AA629">
        <f>vlookup("906-424348-110",B:AZ,column(z1),0)*e629</f>
        <v>0</v>
      </c>
      <c r="AB629">
        <f>vlookup("906-424348-110",B:AZ,column(aa1),0)*e629</f>
        <v>0</v>
      </c>
      <c r="AC629">
        <f>vlookup("906-424348-110",B:AZ,column(ab1),0)*e629</f>
        <v>0</v>
      </c>
      <c r="AD629">
        <f>vlookup("906-424348-110",B:AZ,column(ac1),0)*e629</f>
        <v>0</v>
      </c>
      <c r="AE629">
        <f>vlookup("906-424348-110",B:AZ,column(ad1),0)*e629</f>
        <v>0</v>
      </c>
      <c r="AF629">
        <f>vlookup("906-424348-110",B:AZ,column(ae1),0)*e629</f>
        <v>0</v>
      </c>
      <c r="AG629">
        <f>vlookup("906-424348-110",B:AZ,column(af1),0)*e629</f>
        <v>0</v>
      </c>
      <c r="AH629">
        <f>vlookup("906-424348-110",B:AZ,column(ag1),0)*e629</f>
        <v>0</v>
      </c>
      <c r="AI629">
        <f>vlookup("906-424348-110",B:AZ,column(ah1),0)*e629</f>
        <v>0</v>
      </c>
      <c r="AJ629">
        <f>vlookup("906-424348-110",B:AZ,column(ai1),0)*e629</f>
        <v>0</v>
      </c>
      <c r="AK629">
        <f>vlookup("906-424348-110",B:AZ,column(aj1),0)*e629</f>
        <v>0</v>
      </c>
      <c r="AL629">
        <f>vlookup("906-424348-110",B:AZ,column(ak1),0)*e629</f>
        <v>0</v>
      </c>
      <c r="AM629">
        <f>vlookup("906-424348-110",B:AZ,column(al1),0)*e629</f>
        <v>0</v>
      </c>
      <c r="AN629">
        <f>vlookup("906-424348-110",B:AZ,column(am1),0)*e629</f>
        <v>0</v>
      </c>
      <c r="AO629">
        <f>vlookup("906-424348-110",B:AZ,column(an1),0)*e629</f>
        <v>0</v>
      </c>
    </row>
    <row r="630" spans="1:41">
      <c r="A630" t="s">
        <v>22</v>
      </c>
      <c r="B630" t="s">
        <v>605</v>
      </c>
      <c r="C630" t="s">
        <v>652</v>
      </c>
      <c r="E630">
        <v>1</v>
      </c>
      <c r="F630" t="s">
        <v>13</v>
      </c>
      <c r="I630" t="s">
        <v>15</v>
      </c>
      <c r="J630">
        <f>vlookup("906-424348-110",B:AZ,column(i1),0)*e630</f>
        <v>0</v>
      </c>
      <c r="K630">
        <f>vlookup("906-424348-110",B:AZ,column(j1),0)*e630</f>
        <v>0</v>
      </c>
      <c r="L630">
        <f>vlookup("906-424348-110",B:AZ,column(k1),0)*e630</f>
        <v>0</v>
      </c>
      <c r="M630">
        <f>vlookup("906-424348-110",B:AZ,column(l1),0)*e630</f>
        <v>0</v>
      </c>
      <c r="N630">
        <f>vlookup("906-424348-110",B:AZ,column(m1),0)*e630</f>
        <v>0</v>
      </c>
      <c r="O630">
        <f>vlookup("906-424348-110",B:AZ,column(n1),0)*e630</f>
        <v>0</v>
      </c>
      <c r="P630">
        <f>vlookup("906-424348-110",B:AZ,column(o1),0)*e630</f>
        <v>0</v>
      </c>
      <c r="Q630">
        <f>vlookup("906-424348-110",B:AZ,column(p1),0)*e630</f>
        <v>0</v>
      </c>
      <c r="R630">
        <f>vlookup("906-424348-110",B:AZ,column(q1),0)*e630</f>
        <v>0</v>
      </c>
      <c r="S630">
        <f>vlookup("906-424348-110",B:AZ,column(r1),0)*e630</f>
        <v>0</v>
      </c>
      <c r="T630">
        <f>vlookup("906-424348-110",B:AZ,column(s1),0)*e630</f>
        <v>0</v>
      </c>
      <c r="U630">
        <f>vlookup("906-424348-110",B:AZ,column(t1),0)*e630</f>
        <v>0</v>
      </c>
      <c r="V630">
        <f>vlookup("906-424348-110",B:AZ,column(u1),0)*e630</f>
        <v>0</v>
      </c>
      <c r="W630">
        <f>vlookup("906-424348-110",B:AZ,column(v1),0)*e630</f>
        <v>0</v>
      </c>
      <c r="X630">
        <f>vlookup("906-424348-110",B:AZ,column(w1),0)*e630</f>
        <v>0</v>
      </c>
      <c r="Y630">
        <f>vlookup("906-424348-110",B:AZ,column(x1),0)*e630</f>
        <v>0</v>
      </c>
      <c r="Z630">
        <f>vlookup("906-424348-110",B:AZ,column(y1),0)*e630</f>
        <v>0</v>
      </c>
      <c r="AA630">
        <f>vlookup("906-424348-110",B:AZ,column(z1),0)*e630</f>
        <v>0</v>
      </c>
      <c r="AB630">
        <f>vlookup("906-424348-110",B:AZ,column(aa1),0)*e630</f>
        <v>0</v>
      </c>
      <c r="AC630">
        <f>vlookup("906-424348-110",B:AZ,column(ab1),0)*e630</f>
        <v>0</v>
      </c>
      <c r="AD630">
        <f>vlookup("906-424348-110",B:AZ,column(ac1),0)*e630</f>
        <v>0</v>
      </c>
      <c r="AE630">
        <f>vlookup("906-424348-110",B:AZ,column(ad1),0)*e630</f>
        <v>0</v>
      </c>
      <c r="AF630">
        <f>vlookup("906-424348-110",B:AZ,column(ae1),0)*e630</f>
        <v>0</v>
      </c>
      <c r="AG630">
        <f>vlookup("906-424348-110",B:AZ,column(af1),0)*e630</f>
        <v>0</v>
      </c>
      <c r="AH630">
        <f>vlookup("906-424348-110",B:AZ,column(ag1),0)*e630</f>
        <v>0</v>
      </c>
      <c r="AI630">
        <f>vlookup("906-424348-110",B:AZ,column(ah1),0)*e630</f>
        <v>0</v>
      </c>
      <c r="AJ630">
        <f>vlookup("906-424348-110",B:AZ,column(ai1),0)*e630</f>
        <v>0</v>
      </c>
      <c r="AK630">
        <f>vlookup("906-424348-110",B:AZ,column(aj1),0)*e630</f>
        <v>0</v>
      </c>
      <c r="AL630">
        <f>vlookup("906-424348-110",B:AZ,column(ak1),0)*e630</f>
        <v>0</v>
      </c>
      <c r="AM630">
        <f>vlookup("906-424348-110",B:AZ,column(al1),0)*e630</f>
        <v>0</v>
      </c>
      <c r="AN630">
        <f>vlookup("906-424348-110",B:AZ,column(am1),0)*e630</f>
        <v>0</v>
      </c>
      <c r="AO630">
        <f>vlookup("906-424348-110",B:AZ,column(an1),0)*e630</f>
        <v>0</v>
      </c>
    </row>
    <row r="631" spans="1:41">
      <c r="A631" t="s">
        <v>22</v>
      </c>
      <c r="B631" t="s">
        <v>508</v>
      </c>
      <c r="C631" t="s">
        <v>653</v>
      </c>
      <c r="E631">
        <v>2</v>
      </c>
      <c r="F631" t="s">
        <v>13</v>
      </c>
      <c r="I631" t="s">
        <v>15</v>
      </c>
      <c r="J631">
        <f>vlookup("906-424348-110",B:AZ,column(i1),0)*e631</f>
        <v>0</v>
      </c>
      <c r="K631">
        <f>vlookup("906-424348-110",B:AZ,column(j1),0)*e631</f>
        <v>0</v>
      </c>
      <c r="L631">
        <f>vlookup("906-424348-110",B:AZ,column(k1),0)*e631</f>
        <v>0</v>
      </c>
      <c r="M631">
        <f>vlookup("906-424348-110",B:AZ,column(l1),0)*e631</f>
        <v>0</v>
      </c>
      <c r="N631">
        <f>vlookup("906-424348-110",B:AZ,column(m1),0)*e631</f>
        <v>0</v>
      </c>
      <c r="O631">
        <f>vlookup("906-424348-110",B:AZ,column(n1),0)*e631</f>
        <v>0</v>
      </c>
      <c r="P631">
        <f>vlookup("906-424348-110",B:AZ,column(o1),0)*e631</f>
        <v>0</v>
      </c>
      <c r="Q631">
        <f>vlookup("906-424348-110",B:AZ,column(p1),0)*e631</f>
        <v>0</v>
      </c>
      <c r="R631">
        <f>vlookup("906-424348-110",B:AZ,column(q1),0)*e631</f>
        <v>0</v>
      </c>
      <c r="S631">
        <f>vlookup("906-424348-110",B:AZ,column(r1),0)*e631</f>
        <v>0</v>
      </c>
      <c r="T631">
        <f>vlookup("906-424348-110",B:AZ,column(s1),0)*e631</f>
        <v>0</v>
      </c>
      <c r="U631">
        <f>vlookup("906-424348-110",B:AZ,column(t1),0)*e631</f>
        <v>0</v>
      </c>
      <c r="V631">
        <f>vlookup("906-424348-110",B:AZ,column(u1),0)*e631</f>
        <v>0</v>
      </c>
      <c r="W631">
        <f>vlookup("906-424348-110",B:AZ,column(v1),0)*e631</f>
        <v>0</v>
      </c>
      <c r="X631">
        <f>vlookup("906-424348-110",B:AZ,column(w1),0)*e631</f>
        <v>0</v>
      </c>
      <c r="Y631">
        <f>vlookup("906-424348-110",B:AZ,column(x1),0)*e631</f>
        <v>0</v>
      </c>
      <c r="Z631">
        <f>vlookup("906-424348-110",B:AZ,column(y1),0)*e631</f>
        <v>0</v>
      </c>
      <c r="AA631">
        <f>vlookup("906-424348-110",B:AZ,column(z1),0)*e631</f>
        <v>0</v>
      </c>
      <c r="AB631">
        <f>vlookup("906-424348-110",B:AZ,column(aa1),0)*e631</f>
        <v>0</v>
      </c>
      <c r="AC631">
        <f>vlookup("906-424348-110",B:AZ,column(ab1),0)*e631</f>
        <v>0</v>
      </c>
      <c r="AD631">
        <f>vlookup("906-424348-110",B:AZ,column(ac1),0)*e631</f>
        <v>0</v>
      </c>
      <c r="AE631">
        <f>vlookup("906-424348-110",B:AZ,column(ad1),0)*e631</f>
        <v>0</v>
      </c>
      <c r="AF631">
        <f>vlookup("906-424348-110",B:AZ,column(ae1),0)*e631</f>
        <v>0</v>
      </c>
      <c r="AG631">
        <f>vlookup("906-424348-110",B:AZ,column(af1),0)*e631</f>
        <v>0</v>
      </c>
      <c r="AH631">
        <f>vlookup("906-424348-110",B:AZ,column(ag1),0)*e631</f>
        <v>0</v>
      </c>
      <c r="AI631">
        <f>vlookup("906-424348-110",B:AZ,column(ah1),0)*e631</f>
        <v>0</v>
      </c>
      <c r="AJ631">
        <f>vlookup("906-424348-110",B:AZ,column(ai1),0)*e631</f>
        <v>0</v>
      </c>
      <c r="AK631">
        <f>vlookup("906-424348-110",B:AZ,column(aj1),0)*e631</f>
        <v>0</v>
      </c>
      <c r="AL631">
        <f>vlookup("906-424348-110",B:AZ,column(ak1),0)*e631</f>
        <v>0</v>
      </c>
      <c r="AM631">
        <f>vlookup("906-424348-110",B:AZ,column(al1),0)*e631</f>
        <v>0</v>
      </c>
      <c r="AN631">
        <f>vlookup("906-424348-110",B:AZ,column(am1),0)*e631</f>
        <v>0</v>
      </c>
      <c r="AO631">
        <f>vlookup("906-424348-110",B:AZ,column(an1),0)*e631</f>
        <v>0</v>
      </c>
    </row>
    <row r="632" spans="1:41">
      <c r="A632" t="s">
        <v>22</v>
      </c>
      <c r="B632" t="s">
        <v>654</v>
      </c>
      <c r="C632" t="s">
        <v>655</v>
      </c>
      <c r="E632">
        <v>1</v>
      </c>
      <c r="F632" t="s">
        <v>13</v>
      </c>
      <c r="I632" t="s">
        <v>15</v>
      </c>
      <c r="J632">
        <f>vlookup("906-424348-110",B:AZ,column(i1),0)*e632</f>
        <v>0</v>
      </c>
      <c r="K632">
        <f>vlookup("906-424348-110",B:AZ,column(j1),0)*e632</f>
        <v>0</v>
      </c>
      <c r="L632">
        <f>vlookup("906-424348-110",B:AZ,column(k1),0)*e632</f>
        <v>0</v>
      </c>
      <c r="M632">
        <f>vlookup("906-424348-110",B:AZ,column(l1),0)*e632</f>
        <v>0</v>
      </c>
      <c r="N632">
        <f>vlookup("906-424348-110",B:AZ,column(m1),0)*e632</f>
        <v>0</v>
      </c>
      <c r="O632">
        <f>vlookup("906-424348-110",B:AZ,column(n1),0)*e632</f>
        <v>0</v>
      </c>
      <c r="P632">
        <f>vlookup("906-424348-110",B:AZ,column(o1),0)*e632</f>
        <v>0</v>
      </c>
      <c r="Q632">
        <f>vlookup("906-424348-110",B:AZ,column(p1),0)*e632</f>
        <v>0</v>
      </c>
      <c r="R632">
        <f>vlookup("906-424348-110",B:AZ,column(q1),0)*e632</f>
        <v>0</v>
      </c>
      <c r="S632">
        <f>vlookup("906-424348-110",B:AZ,column(r1),0)*e632</f>
        <v>0</v>
      </c>
      <c r="T632">
        <f>vlookup("906-424348-110",B:AZ,column(s1),0)*e632</f>
        <v>0</v>
      </c>
      <c r="U632">
        <f>vlookup("906-424348-110",B:AZ,column(t1),0)*e632</f>
        <v>0</v>
      </c>
      <c r="V632">
        <f>vlookup("906-424348-110",B:AZ,column(u1),0)*e632</f>
        <v>0</v>
      </c>
      <c r="W632">
        <f>vlookup("906-424348-110",B:AZ,column(v1),0)*e632</f>
        <v>0</v>
      </c>
      <c r="X632">
        <f>vlookup("906-424348-110",B:AZ,column(w1),0)*e632</f>
        <v>0</v>
      </c>
      <c r="Y632">
        <f>vlookup("906-424348-110",B:AZ,column(x1),0)*e632</f>
        <v>0</v>
      </c>
      <c r="Z632">
        <f>vlookup("906-424348-110",B:AZ,column(y1),0)*e632</f>
        <v>0</v>
      </c>
      <c r="AA632">
        <f>vlookup("906-424348-110",B:AZ,column(z1),0)*e632</f>
        <v>0</v>
      </c>
      <c r="AB632">
        <f>vlookup("906-424348-110",B:AZ,column(aa1),0)*e632</f>
        <v>0</v>
      </c>
      <c r="AC632">
        <f>vlookup("906-424348-110",B:AZ,column(ab1),0)*e632</f>
        <v>0</v>
      </c>
      <c r="AD632">
        <f>vlookup("906-424348-110",B:AZ,column(ac1),0)*e632</f>
        <v>0</v>
      </c>
      <c r="AE632">
        <f>vlookup("906-424348-110",B:AZ,column(ad1),0)*e632</f>
        <v>0</v>
      </c>
      <c r="AF632">
        <f>vlookup("906-424348-110",B:AZ,column(ae1),0)*e632</f>
        <v>0</v>
      </c>
      <c r="AG632">
        <f>vlookup("906-424348-110",B:AZ,column(af1),0)*e632</f>
        <v>0</v>
      </c>
      <c r="AH632">
        <f>vlookup("906-424348-110",B:AZ,column(ag1),0)*e632</f>
        <v>0</v>
      </c>
      <c r="AI632">
        <f>vlookup("906-424348-110",B:AZ,column(ah1),0)*e632</f>
        <v>0</v>
      </c>
      <c r="AJ632">
        <f>vlookup("906-424348-110",B:AZ,column(ai1),0)*e632</f>
        <v>0</v>
      </c>
      <c r="AK632">
        <f>vlookup("906-424348-110",B:AZ,column(aj1),0)*e632</f>
        <v>0</v>
      </c>
      <c r="AL632">
        <f>vlookup("906-424348-110",B:AZ,column(ak1),0)*e632</f>
        <v>0</v>
      </c>
      <c r="AM632">
        <f>vlookup("906-424348-110",B:AZ,column(al1),0)*e632</f>
        <v>0</v>
      </c>
      <c r="AN632">
        <f>vlookup("906-424348-110",B:AZ,column(am1),0)*e632</f>
        <v>0</v>
      </c>
      <c r="AO632">
        <f>vlookup("906-424348-110",B:AZ,column(an1),0)*e632</f>
        <v>0</v>
      </c>
    </row>
    <row r="633" spans="1:41">
      <c r="A633" t="s">
        <v>22</v>
      </c>
      <c r="B633" t="s">
        <v>609</v>
      </c>
      <c r="C633" t="s">
        <v>658</v>
      </c>
      <c r="E633">
        <v>1</v>
      </c>
      <c r="F633" t="s">
        <v>13</v>
      </c>
      <c r="I633" t="s">
        <v>15</v>
      </c>
      <c r="J633">
        <f>vlookup("906-424348-110",B:AZ,column(i1),0)*e633</f>
        <v>0</v>
      </c>
      <c r="K633">
        <f>vlookup("906-424348-110",B:AZ,column(j1),0)*e633</f>
        <v>0</v>
      </c>
      <c r="L633">
        <f>vlookup("906-424348-110",B:AZ,column(k1),0)*e633</f>
        <v>0</v>
      </c>
      <c r="M633">
        <f>vlookup("906-424348-110",B:AZ,column(l1),0)*e633</f>
        <v>0</v>
      </c>
      <c r="N633">
        <f>vlookup("906-424348-110",B:AZ,column(m1),0)*e633</f>
        <v>0</v>
      </c>
      <c r="O633">
        <f>vlookup("906-424348-110",B:AZ,column(n1),0)*e633</f>
        <v>0</v>
      </c>
      <c r="P633">
        <f>vlookup("906-424348-110",B:AZ,column(o1),0)*e633</f>
        <v>0</v>
      </c>
      <c r="Q633">
        <f>vlookup("906-424348-110",B:AZ,column(p1),0)*e633</f>
        <v>0</v>
      </c>
      <c r="R633">
        <f>vlookup("906-424348-110",B:AZ,column(q1),0)*e633</f>
        <v>0</v>
      </c>
      <c r="S633">
        <f>vlookup("906-424348-110",B:AZ,column(r1),0)*e633</f>
        <v>0</v>
      </c>
      <c r="T633">
        <f>vlookup("906-424348-110",B:AZ,column(s1),0)*e633</f>
        <v>0</v>
      </c>
      <c r="U633">
        <f>vlookup("906-424348-110",B:AZ,column(t1),0)*e633</f>
        <v>0</v>
      </c>
      <c r="V633">
        <f>vlookup("906-424348-110",B:AZ,column(u1),0)*e633</f>
        <v>0</v>
      </c>
      <c r="W633">
        <f>vlookup("906-424348-110",B:AZ,column(v1),0)*e633</f>
        <v>0</v>
      </c>
      <c r="X633">
        <f>vlookup("906-424348-110",B:AZ,column(w1),0)*e633</f>
        <v>0</v>
      </c>
      <c r="Y633">
        <f>vlookup("906-424348-110",B:AZ,column(x1),0)*e633</f>
        <v>0</v>
      </c>
      <c r="Z633">
        <f>vlookup("906-424348-110",B:AZ,column(y1),0)*e633</f>
        <v>0</v>
      </c>
      <c r="AA633">
        <f>vlookup("906-424348-110",B:AZ,column(z1),0)*e633</f>
        <v>0</v>
      </c>
      <c r="AB633">
        <f>vlookup("906-424348-110",B:AZ,column(aa1),0)*e633</f>
        <v>0</v>
      </c>
      <c r="AC633">
        <f>vlookup("906-424348-110",B:AZ,column(ab1),0)*e633</f>
        <v>0</v>
      </c>
      <c r="AD633">
        <f>vlookup("906-424348-110",B:AZ,column(ac1),0)*e633</f>
        <v>0</v>
      </c>
      <c r="AE633">
        <f>vlookup("906-424348-110",B:AZ,column(ad1),0)*e633</f>
        <v>0</v>
      </c>
      <c r="AF633">
        <f>vlookup("906-424348-110",B:AZ,column(ae1),0)*e633</f>
        <v>0</v>
      </c>
      <c r="AG633">
        <f>vlookup("906-424348-110",B:AZ,column(af1),0)*e633</f>
        <v>0</v>
      </c>
      <c r="AH633">
        <f>vlookup("906-424348-110",B:AZ,column(ag1),0)*e633</f>
        <v>0</v>
      </c>
      <c r="AI633">
        <f>vlookup("906-424348-110",B:AZ,column(ah1),0)*e633</f>
        <v>0</v>
      </c>
      <c r="AJ633">
        <f>vlookup("906-424348-110",B:AZ,column(ai1),0)*e633</f>
        <v>0</v>
      </c>
      <c r="AK633">
        <f>vlookup("906-424348-110",B:AZ,column(aj1),0)*e633</f>
        <v>0</v>
      </c>
      <c r="AL633">
        <f>vlookup("906-424348-110",B:AZ,column(ak1),0)*e633</f>
        <v>0</v>
      </c>
      <c r="AM633">
        <f>vlookup("906-424348-110",B:AZ,column(al1),0)*e633</f>
        <v>0</v>
      </c>
      <c r="AN633">
        <f>vlookup("906-424348-110",B:AZ,column(am1),0)*e633</f>
        <v>0</v>
      </c>
      <c r="AO633">
        <f>vlookup("906-424348-110",B:AZ,column(an1),0)*e633</f>
        <v>0</v>
      </c>
    </row>
    <row r="634" spans="1:41">
      <c r="A634" t="s">
        <v>22</v>
      </c>
      <c r="B634" t="s">
        <v>607</v>
      </c>
      <c r="C634" t="s">
        <v>622</v>
      </c>
      <c r="E634">
        <v>1</v>
      </c>
      <c r="F634" t="s">
        <v>13</v>
      </c>
      <c r="I634" t="s">
        <v>15</v>
      </c>
      <c r="J634">
        <f>vlookup("906-424348-110",B:AZ,column(i1),0)*e634</f>
        <v>0</v>
      </c>
      <c r="K634">
        <f>vlookup("906-424348-110",B:AZ,column(j1),0)*e634</f>
        <v>0</v>
      </c>
      <c r="L634">
        <f>vlookup("906-424348-110",B:AZ,column(k1),0)*e634</f>
        <v>0</v>
      </c>
      <c r="M634">
        <f>vlookup("906-424348-110",B:AZ,column(l1),0)*e634</f>
        <v>0</v>
      </c>
      <c r="N634">
        <f>vlookup("906-424348-110",B:AZ,column(m1),0)*e634</f>
        <v>0</v>
      </c>
      <c r="O634">
        <f>vlookup("906-424348-110",B:AZ,column(n1),0)*e634</f>
        <v>0</v>
      </c>
      <c r="P634">
        <f>vlookup("906-424348-110",B:AZ,column(o1),0)*e634</f>
        <v>0</v>
      </c>
      <c r="Q634">
        <f>vlookup("906-424348-110",B:AZ,column(p1),0)*e634</f>
        <v>0</v>
      </c>
      <c r="R634">
        <f>vlookup("906-424348-110",B:AZ,column(q1),0)*e634</f>
        <v>0</v>
      </c>
      <c r="S634">
        <f>vlookup("906-424348-110",B:AZ,column(r1),0)*e634</f>
        <v>0</v>
      </c>
      <c r="T634">
        <f>vlookup("906-424348-110",B:AZ,column(s1),0)*e634</f>
        <v>0</v>
      </c>
      <c r="U634">
        <f>vlookup("906-424348-110",B:AZ,column(t1),0)*e634</f>
        <v>0</v>
      </c>
      <c r="V634">
        <f>vlookup("906-424348-110",B:AZ,column(u1),0)*e634</f>
        <v>0</v>
      </c>
      <c r="W634">
        <f>vlookup("906-424348-110",B:AZ,column(v1),0)*e634</f>
        <v>0</v>
      </c>
      <c r="X634">
        <f>vlookup("906-424348-110",B:AZ,column(w1),0)*e634</f>
        <v>0</v>
      </c>
      <c r="Y634">
        <f>vlookup("906-424348-110",B:AZ,column(x1),0)*e634</f>
        <v>0</v>
      </c>
      <c r="Z634">
        <f>vlookup("906-424348-110",B:AZ,column(y1),0)*e634</f>
        <v>0</v>
      </c>
      <c r="AA634">
        <f>vlookup("906-424348-110",B:AZ,column(z1),0)*e634</f>
        <v>0</v>
      </c>
      <c r="AB634">
        <f>vlookup("906-424348-110",B:AZ,column(aa1),0)*e634</f>
        <v>0</v>
      </c>
      <c r="AC634">
        <f>vlookup("906-424348-110",B:AZ,column(ab1),0)*e634</f>
        <v>0</v>
      </c>
      <c r="AD634">
        <f>vlookup("906-424348-110",B:AZ,column(ac1),0)*e634</f>
        <v>0</v>
      </c>
      <c r="AE634">
        <f>vlookup("906-424348-110",B:AZ,column(ad1),0)*e634</f>
        <v>0</v>
      </c>
      <c r="AF634">
        <f>vlookup("906-424348-110",B:AZ,column(ae1),0)*e634</f>
        <v>0</v>
      </c>
      <c r="AG634">
        <f>vlookup("906-424348-110",B:AZ,column(af1),0)*e634</f>
        <v>0</v>
      </c>
      <c r="AH634">
        <f>vlookup("906-424348-110",B:AZ,column(ag1),0)*e634</f>
        <v>0</v>
      </c>
      <c r="AI634">
        <f>vlookup("906-424348-110",B:AZ,column(ah1),0)*e634</f>
        <v>0</v>
      </c>
      <c r="AJ634">
        <f>vlookup("906-424348-110",B:AZ,column(ai1),0)*e634</f>
        <v>0</v>
      </c>
      <c r="AK634">
        <f>vlookup("906-424348-110",B:AZ,column(aj1),0)*e634</f>
        <v>0</v>
      </c>
      <c r="AL634">
        <f>vlookup("906-424348-110",B:AZ,column(ak1),0)*e634</f>
        <v>0</v>
      </c>
      <c r="AM634">
        <f>vlookup("906-424348-110",B:AZ,column(al1),0)*e634</f>
        <v>0</v>
      </c>
      <c r="AN634">
        <f>vlookup("906-424348-110",B:AZ,column(am1),0)*e634</f>
        <v>0</v>
      </c>
      <c r="AO634">
        <f>vlookup("906-424348-110",B:AZ,column(an1),0)*e634</f>
        <v>0</v>
      </c>
    </row>
    <row r="635" spans="1:41">
      <c r="A635" t="s">
        <v>22</v>
      </c>
      <c r="B635" t="s">
        <v>611</v>
      </c>
      <c r="C635" t="s">
        <v>656</v>
      </c>
      <c r="E635">
        <v>1</v>
      </c>
      <c r="F635" t="s">
        <v>13</v>
      </c>
      <c r="I635" t="s">
        <v>15</v>
      </c>
      <c r="J635">
        <f>vlookup("906-424348-110",B:AZ,column(i1),0)*e635</f>
        <v>0</v>
      </c>
      <c r="K635">
        <f>vlookup("906-424348-110",B:AZ,column(j1),0)*e635</f>
        <v>0</v>
      </c>
      <c r="L635">
        <f>vlookup("906-424348-110",B:AZ,column(k1),0)*e635</f>
        <v>0</v>
      </c>
      <c r="M635">
        <f>vlookup("906-424348-110",B:AZ,column(l1),0)*e635</f>
        <v>0</v>
      </c>
      <c r="N635">
        <f>vlookup("906-424348-110",B:AZ,column(m1),0)*e635</f>
        <v>0</v>
      </c>
      <c r="O635">
        <f>vlookup("906-424348-110",B:AZ,column(n1),0)*e635</f>
        <v>0</v>
      </c>
      <c r="P635">
        <f>vlookup("906-424348-110",B:AZ,column(o1),0)*e635</f>
        <v>0</v>
      </c>
      <c r="Q635">
        <f>vlookup("906-424348-110",B:AZ,column(p1),0)*e635</f>
        <v>0</v>
      </c>
      <c r="R635">
        <f>vlookup("906-424348-110",B:AZ,column(q1),0)*e635</f>
        <v>0</v>
      </c>
      <c r="S635">
        <f>vlookup("906-424348-110",B:AZ,column(r1),0)*e635</f>
        <v>0</v>
      </c>
      <c r="T635">
        <f>vlookup("906-424348-110",B:AZ,column(s1),0)*e635</f>
        <v>0</v>
      </c>
      <c r="U635">
        <f>vlookup("906-424348-110",B:AZ,column(t1),0)*e635</f>
        <v>0</v>
      </c>
      <c r="V635">
        <f>vlookup("906-424348-110",B:AZ,column(u1),0)*e635</f>
        <v>0</v>
      </c>
      <c r="W635">
        <f>vlookup("906-424348-110",B:AZ,column(v1),0)*e635</f>
        <v>0</v>
      </c>
      <c r="X635">
        <f>vlookup("906-424348-110",B:AZ,column(w1),0)*e635</f>
        <v>0</v>
      </c>
      <c r="Y635">
        <f>vlookup("906-424348-110",B:AZ,column(x1),0)*e635</f>
        <v>0</v>
      </c>
      <c r="Z635">
        <f>vlookup("906-424348-110",B:AZ,column(y1),0)*e635</f>
        <v>0</v>
      </c>
      <c r="AA635">
        <f>vlookup("906-424348-110",B:AZ,column(z1),0)*e635</f>
        <v>0</v>
      </c>
      <c r="AB635">
        <f>vlookup("906-424348-110",B:AZ,column(aa1),0)*e635</f>
        <v>0</v>
      </c>
      <c r="AC635">
        <f>vlookup("906-424348-110",B:AZ,column(ab1),0)*e635</f>
        <v>0</v>
      </c>
      <c r="AD635">
        <f>vlookup("906-424348-110",B:AZ,column(ac1),0)*e635</f>
        <v>0</v>
      </c>
      <c r="AE635">
        <f>vlookup("906-424348-110",B:AZ,column(ad1),0)*e635</f>
        <v>0</v>
      </c>
      <c r="AF635">
        <f>vlookup("906-424348-110",B:AZ,column(ae1),0)*e635</f>
        <v>0</v>
      </c>
      <c r="AG635">
        <f>vlookup("906-424348-110",B:AZ,column(af1),0)*e635</f>
        <v>0</v>
      </c>
      <c r="AH635">
        <f>vlookup("906-424348-110",B:AZ,column(ag1),0)*e635</f>
        <v>0</v>
      </c>
      <c r="AI635">
        <f>vlookup("906-424348-110",B:AZ,column(ah1),0)*e635</f>
        <v>0</v>
      </c>
      <c r="AJ635">
        <f>vlookup("906-424348-110",B:AZ,column(ai1),0)*e635</f>
        <v>0</v>
      </c>
      <c r="AK635">
        <f>vlookup("906-424348-110",B:AZ,column(aj1),0)*e635</f>
        <v>0</v>
      </c>
      <c r="AL635">
        <f>vlookup("906-424348-110",B:AZ,column(ak1),0)*e635</f>
        <v>0</v>
      </c>
      <c r="AM635">
        <f>vlookup("906-424348-110",B:AZ,column(al1),0)*e635</f>
        <v>0</v>
      </c>
      <c r="AN635">
        <f>vlookup("906-424348-110",B:AZ,column(am1),0)*e635</f>
        <v>0</v>
      </c>
      <c r="AO635">
        <f>vlookup("906-424348-110",B:AZ,column(an1),0)*e635</f>
        <v>0</v>
      </c>
    </row>
    <row r="636" spans="1:41">
      <c r="A636" t="s">
        <v>22</v>
      </c>
      <c r="B636" t="s">
        <v>613</v>
      </c>
      <c r="C636" t="s">
        <v>656</v>
      </c>
      <c r="E636">
        <v>1</v>
      </c>
      <c r="F636" t="s">
        <v>13</v>
      </c>
      <c r="I636" t="s">
        <v>15</v>
      </c>
      <c r="J636">
        <f>vlookup("906-424348-110",B:AZ,column(i1),0)*e636</f>
        <v>0</v>
      </c>
      <c r="K636">
        <f>vlookup("906-424348-110",B:AZ,column(j1),0)*e636</f>
        <v>0</v>
      </c>
      <c r="L636">
        <f>vlookup("906-424348-110",B:AZ,column(k1),0)*e636</f>
        <v>0</v>
      </c>
      <c r="M636">
        <f>vlookup("906-424348-110",B:AZ,column(l1),0)*e636</f>
        <v>0</v>
      </c>
      <c r="N636">
        <f>vlookup("906-424348-110",B:AZ,column(m1),0)*e636</f>
        <v>0</v>
      </c>
      <c r="O636">
        <f>vlookup("906-424348-110",B:AZ,column(n1),0)*e636</f>
        <v>0</v>
      </c>
      <c r="P636">
        <f>vlookup("906-424348-110",B:AZ,column(o1),0)*e636</f>
        <v>0</v>
      </c>
      <c r="Q636">
        <f>vlookup("906-424348-110",B:AZ,column(p1),0)*e636</f>
        <v>0</v>
      </c>
      <c r="R636">
        <f>vlookup("906-424348-110",B:AZ,column(q1),0)*e636</f>
        <v>0</v>
      </c>
      <c r="S636">
        <f>vlookup("906-424348-110",B:AZ,column(r1),0)*e636</f>
        <v>0</v>
      </c>
      <c r="T636">
        <f>vlookup("906-424348-110",B:AZ,column(s1),0)*e636</f>
        <v>0</v>
      </c>
      <c r="U636">
        <f>vlookup("906-424348-110",B:AZ,column(t1),0)*e636</f>
        <v>0</v>
      </c>
      <c r="V636">
        <f>vlookup("906-424348-110",B:AZ,column(u1),0)*e636</f>
        <v>0</v>
      </c>
      <c r="W636">
        <f>vlookup("906-424348-110",B:AZ,column(v1),0)*e636</f>
        <v>0</v>
      </c>
      <c r="X636">
        <f>vlookup("906-424348-110",B:AZ,column(w1),0)*e636</f>
        <v>0</v>
      </c>
      <c r="Y636">
        <f>vlookup("906-424348-110",B:AZ,column(x1),0)*e636</f>
        <v>0</v>
      </c>
      <c r="Z636">
        <f>vlookup("906-424348-110",B:AZ,column(y1),0)*e636</f>
        <v>0</v>
      </c>
      <c r="AA636">
        <f>vlookup("906-424348-110",B:AZ,column(z1),0)*e636</f>
        <v>0</v>
      </c>
      <c r="AB636">
        <f>vlookup("906-424348-110",B:AZ,column(aa1),0)*e636</f>
        <v>0</v>
      </c>
      <c r="AC636">
        <f>vlookup("906-424348-110",B:AZ,column(ab1),0)*e636</f>
        <v>0</v>
      </c>
      <c r="AD636">
        <f>vlookup("906-424348-110",B:AZ,column(ac1),0)*e636</f>
        <v>0</v>
      </c>
      <c r="AE636">
        <f>vlookup("906-424348-110",B:AZ,column(ad1),0)*e636</f>
        <v>0</v>
      </c>
      <c r="AF636">
        <f>vlookup("906-424348-110",B:AZ,column(ae1),0)*e636</f>
        <v>0</v>
      </c>
      <c r="AG636">
        <f>vlookup("906-424348-110",B:AZ,column(af1),0)*e636</f>
        <v>0</v>
      </c>
      <c r="AH636">
        <f>vlookup("906-424348-110",B:AZ,column(ag1),0)*e636</f>
        <v>0</v>
      </c>
      <c r="AI636">
        <f>vlookup("906-424348-110",B:AZ,column(ah1),0)*e636</f>
        <v>0</v>
      </c>
      <c r="AJ636">
        <f>vlookup("906-424348-110",B:AZ,column(ai1),0)*e636</f>
        <v>0</v>
      </c>
      <c r="AK636">
        <f>vlookup("906-424348-110",B:AZ,column(aj1),0)*e636</f>
        <v>0</v>
      </c>
      <c r="AL636">
        <f>vlookup("906-424348-110",B:AZ,column(ak1),0)*e636</f>
        <v>0</v>
      </c>
      <c r="AM636">
        <f>vlookup("906-424348-110",B:AZ,column(al1),0)*e636</f>
        <v>0</v>
      </c>
      <c r="AN636">
        <f>vlookup("906-424348-110",B:AZ,column(am1),0)*e636</f>
        <v>0</v>
      </c>
      <c r="AO636">
        <f>vlookup("906-424348-110",B:AZ,column(an1),0)*e636</f>
        <v>0</v>
      </c>
    </row>
    <row r="637" spans="1:41">
      <c r="A637" t="s">
        <v>22</v>
      </c>
      <c r="B637" t="s">
        <v>615</v>
      </c>
      <c r="C637" t="s">
        <v>657</v>
      </c>
      <c r="E637">
        <v>1</v>
      </c>
      <c r="F637" t="s">
        <v>13</v>
      </c>
      <c r="I637" t="s">
        <v>15</v>
      </c>
      <c r="J637">
        <f>vlookup("906-424348-110",B:AZ,column(i1),0)*e637</f>
        <v>0</v>
      </c>
      <c r="K637">
        <f>vlookup("906-424348-110",B:AZ,column(j1),0)*e637</f>
        <v>0</v>
      </c>
      <c r="L637">
        <f>vlookup("906-424348-110",B:AZ,column(k1),0)*e637</f>
        <v>0</v>
      </c>
      <c r="M637">
        <f>vlookup("906-424348-110",B:AZ,column(l1),0)*e637</f>
        <v>0</v>
      </c>
      <c r="N637">
        <f>vlookup("906-424348-110",B:AZ,column(m1),0)*e637</f>
        <v>0</v>
      </c>
      <c r="O637">
        <f>vlookup("906-424348-110",B:AZ,column(n1),0)*e637</f>
        <v>0</v>
      </c>
      <c r="P637">
        <f>vlookup("906-424348-110",B:AZ,column(o1),0)*e637</f>
        <v>0</v>
      </c>
      <c r="Q637">
        <f>vlookup("906-424348-110",B:AZ,column(p1),0)*e637</f>
        <v>0</v>
      </c>
      <c r="R637">
        <f>vlookup("906-424348-110",B:AZ,column(q1),0)*e637</f>
        <v>0</v>
      </c>
      <c r="S637">
        <f>vlookup("906-424348-110",B:AZ,column(r1),0)*e637</f>
        <v>0</v>
      </c>
      <c r="T637">
        <f>vlookup("906-424348-110",B:AZ,column(s1),0)*e637</f>
        <v>0</v>
      </c>
      <c r="U637">
        <f>vlookup("906-424348-110",B:AZ,column(t1),0)*e637</f>
        <v>0</v>
      </c>
      <c r="V637">
        <f>vlookup("906-424348-110",B:AZ,column(u1),0)*e637</f>
        <v>0</v>
      </c>
      <c r="W637">
        <f>vlookup("906-424348-110",B:AZ,column(v1),0)*e637</f>
        <v>0</v>
      </c>
      <c r="X637">
        <f>vlookup("906-424348-110",B:AZ,column(w1),0)*e637</f>
        <v>0</v>
      </c>
      <c r="Y637">
        <f>vlookup("906-424348-110",B:AZ,column(x1),0)*e637</f>
        <v>0</v>
      </c>
      <c r="Z637">
        <f>vlookup("906-424348-110",B:AZ,column(y1),0)*e637</f>
        <v>0</v>
      </c>
      <c r="AA637">
        <f>vlookup("906-424348-110",B:AZ,column(z1),0)*e637</f>
        <v>0</v>
      </c>
      <c r="AB637">
        <f>vlookup("906-424348-110",B:AZ,column(aa1),0)*e637</f>
        <v>0</v>
      </c>
      <c r="AC637">
        <f>vlookup("906-424348-110",B:AZ,column(ab1),0)*e637</f>
        <v>0</v>
      </c>
      <c r="AD637">
        <f>vlookup("906-424348-110",B:AZ,column(ac1),0)*e637</f>
        <v>0</v>
      </c>
      <c r="AE637">
        <f>vlookup("906-424348-110",B:AZ,column(ad1),0)*e637</f>
        <v>0</v>
      </c>
      <c r="AF637">
        <f>vlookup("906-424348-110",B:AZ,column(ae1),0)*e637</f>
        <v>0</v>
      </c>
      <c r="AG637">
        <f>vlookup("906-424348-110",B:AZ,column(af1),0)*e637</f>
        <v>0</v>
      </c>
      <c r="AH637">
        <f>vlookup("906-424348-110",B:AZ,column(ag1),0)*e637</f>
        <v>0</v>
      </c>
      <c r="AI637">
        <f>vlookup("906-424348-110",B:AZ,column(ah1),0)*e637</f>
        <v>0</v>
      </c>
      <c r="AJ637">
        <f>vlookup("906-424348-110",B:AZ,column(ai1),0)*e637</f>
        <v>0</v>
      </c>
      <c r="AK637">
        <f>vlookup("906-424348-110",B:AZ,column(aj1),0)*e637</f>
        <v>0</v>
      </c>
      <c r="AL637">
        <f>vlookup("906-424348-110",B:AZ,column(ak1),0)*e637</f>
        <v>0</v>
      </c>
      <c r="AM637">
        <f>vlookup("906-424348-110",B:AZ,column(al1),0)*e637</f>
        <v>0</v>
      </c>
      <c r="AN637">
        <f>vlookup("906-424348-110",B:AZ,column(am1),0)*e637</f>
        <v>0</v>
      </c>
      <c r="AO637">
        <f>vlookup("906-424348-110",B:AZ,column(an1),0)*e637</f>
        <v>0</v>
      </c>
    </row>
    <row r="638" spans="1:41">
      <c r="A638" t="s">
        <v>43</v>
      </c>
      <c r="B638" t="s">
        <v>615</v>
      </c>
      <c r="C638" t="s">
        <v>43</v>
      </c>
      <c r="E638">
        <v>0.063</v>
      </c>
      <c r="F638" t="s">
        <v>13</v>
      </c>
      <c r="I638" t="s">
        <v>15</v>
      </c>
      <c r="J638">
        <f>vlookup("906-424348-110",B:AZ,column(i1),0)*e638</f>
        <v>0</v>
      </c>
      <c r="K638">
        <f>vlookup("906-424348-110",B:AZ,column(j1),0)*e638</f>
        <v>0</v>
      </c>
      <c r="L638">
        <f>vlookup("906-424348-110",B:AZ,column(k1),0)*e638</f>
        <v>0</v>
      </c>
      <c r="M638">
        <f>vlookup("906-424348-110",B:AZ,column(l1),0)*e638</f>
        <v>0</v>
      </c>
      <c r="N638">
        <f>vlookup("906-424348-110",B:AZ,column(m1),0)*e638</f>
        <v>0</v>
      </c>
      <c r="O638">
        <f>vlookup("906-424348-110",B:AZ,column(n1),0)*e638</f>
        <v>0</v>
      </c>
      <c r="P638">
        <f>vlookup("906-424348-110",B:AZ,column(o1),0)*e638</f>
        <v>0</v>
      </c>
      <c r="Q638">
        <f>vlookup("906-424348-110",B:AZ,column(p1),0)*e638</f>
        <v>0</v>
      </c>
      <c r="R638">
        <f>vlookup("906-424348-110",B:AZ,column(q1),0)*e638</f>
        <v>0</v>
      </c>
      <c r="S638">
        <f>vlookup("906-424348-110",B:AZ,column(r1),0)*e638</f>
        <v>0</v>
      </c>
      <c r="T638">
        <f>vlookup("906-424348-110",B:AZ,column(s1),0)*e638</f>
        <v>0</v>
      </c>
      <c r="U638">
        <f>vlookup("906-424348-110",B:AZ,column(t1),0)*e638</f>
        <v>0</v>
      </c>
      <c r="V638">
        <f>vlookup("906-424348-110",B:AZ,column(u1),0)*e638</f>
        <v>0</v>
      </c>
      <c r="W638">
        <f>vlookup("906-424348-110",B:AZ,column(v1),0)*e638</f>
        <v>0</v>
      </c>
      <c r="X638">
        <f>vlookup("906-424348-110",B:AZ,column(w1),0)*e638</f>
        <v>0</v>
      </c>
      <c r="Y638">
        <f>vlookup("906-424348-110",B:AZ,column(x1),0)*e638</f>
        <v>0</v>
      </c>
      <c r="Z638">
        <f>vlookup("906-424348-110",B:AZ,column(y1),0)*e638</f>
        <v>0</v>
      </c>
      <c r="AA638">
        <f>vlookup("906-424348-110",B:AZ,column(z1),0)*e638</f>
        <v>0</v>
      </c>
      <c r="AB638">
        <f>vlookup("906-424348-110",B:AZ,column(aa1),0)*e638</f>
        <v>0</v>
      </c>
      <c r="AC638">
        <f>vlookup("906-424348-110",B:AZ,column(ab1),0)*e638</f>
        <v>0</v>
      </c>
      <c r="AD638">
        <f>vlookup("906-424348-110",B:AZ,column(ac1),0)*e638</f>
        <v>0</v>
      </c>
      <c r="AE638">
        <f>vlookup("906-424348-110",B:AZ,column(ad1),0)*e638</f>
        <v>0</v>
      </c>
      <c r="AF638">
        <f>vlookup("906-424348-110",B:AZ,column(ae1),0)*e638</f>
        <v>0</v>
      </c>
      <c r="AG638">
        <f>vlookup("906-424348-110",B:AZ,column(af1),0)*e638</f>
        <v>0</v>
      </c>
      <c r="AH638">
        <f>vlookup("906-424348-110",B:AZ,column(ag1),0)*e638</f>
        <v>0</v>
      </c>
      <c r="AI638">
        <f>vlookup("906-424348-110",B:AZ,column(ah1),0)*e638</f>
        <v>0</v>
      </c>
      <c r="AJ638">
        <f>vlookup("906-424348-110",B:AZ,column(ai1),0)*e638</f>
        <v>0</v>
      </c>
      <c r="AK638">
        <f>vlookup("906-424348-110",B:AZ,column(aj1),0)*e638</f>
        <v>0</v>
      </c>
      <c r="AL638">
        <f>vlookup("906-424348-110",B:AZ,column(ak1),0)*e638</f>
        <v>0</v>
      </c>
      <c r="AM638">
        <f>vlookup("906-424348-110",B:AZ,column(al1),0)*e638</f>
        <v>0</v>
      </c>
      <c r="AN638">
        <f>vlookup("906-424348-110",B:AZ,column(am1),0)*e638</f>
        <v>0</v>
      </c>
      <c r="AO638">
        <f>vlookup("906-424348-110",B:AZ,column(an1),0)*e638</f>
        <v>0</v>
      </c>
    </row>
    <row r="639" spans="1:41">
      <c r="A639" t="s">
        <v>10</v>
      </c>
      <c r="B639" t="s">
        <v>659</v>
      </c>
      <c r="C639" t="s">
        <v>660</v>
      </c>
      <c r="E639">
        <v>1</v>
      </c>
      <c r="F639" t="s">
        <v>13</v>
      </c>
      <c r="I639" t="s">
        <v>14</v>
      </c>
      <c r="AO639">
        <f>sum(j639:an639)</f>
        <v>0</v>
      </c>
    </row>
    <row r="640" spans="1:41">
      <c r="I640" t="s">
        <v>15</v>
      </c>
      <c r="J640">
        <f>vlookup("906-460000-310",Out!B:AZ,column(i1),0)</f>
        <v>0</v>
      </c>
      <c r="K640">
        <f>vlookup("906-460000-310",Out!B:AZ,column(j1),0)</f>
        <v>0</v>
      </c>
      <c r="L640">
        <f>vlookup("906-460000-310",Out!B:AZ,column(k1),0)</f>
        <v>0</v>
      </c>
      <c r="M640">
        <f>vlookup("906-460000-310",Out!B:AZ,column(l1),0)</f>
        <v>0</v>
      </c>
      <c r="N640">
        <f>vlookup("906-460000-310",Out!B:AZ,column(m1),0)</f>
        <v>0</v>
      </c>
      <c r="O640">
        <f>vlookup("906-460000-310",Out!B:AZ,column(n1),0)</f>
        <v>0</v>
      </c>
      <c r="P640">
        <f>vlookup("906-460000-310",Out!B:AZ,column(o1),0)</f>
        <v>0</v>
      </c>
      <c r="Q640">
        <f>vlookup("906-460000-310",Out!B:AZ,column(p1),0)</f>
        <v>0</v>
      </c>
      <c r="R640">
        <f>vlookup("906-460000-310",Out!B:AZ,column(q1),0)</f>
        <v>0</v>
      </c>
      <c r="S640">
        <f>vlookup("906-460000-310",Out!B:AZ,column(r1),0)</f>
        <v>0</v>
      </c>
      <c r="T640">
        <f>vlookup("906-460000-310",Out!B:AZ,column(s1),0)</f>
        <v>0</v>
      </c>
      <c r="U640">
        <f>vlookup("906-460000-310",Out!B:AZ,column(t1),0)</f>
        <v>0</v>
      </c>
      <c r="V640">
        <f>vlookup("906-460000-310",Out!B:AZ,column(u1),0)</f>
        <v>0</v>
      </c>
      <c r="W640">
        <f>vlookup("906-460000-310",Out!B:AZ,column(v1),0)</f>
        <v>0</v>
      </c>
      <c r="X640">
        <f>vlookup("906-460000-310",Out!B:AZ,column(w1),0)</f>
        <v>0</v>
      </c>
      <c r="Y640">
        <f>vlookup("906-460000-310",Out!B:AZ,column(x1),0)</f>
        <v>0</v>
      </c>
      <c r="Z640">
        <f>vlookup("906-460000-310",Out!B:AZ,column(y1),0)</f>
        <v>0</v>
      </c>
      <c r="AA640">
        <f>vlookup("906-460000-310",Out!B:AZ,column(z1),0)</f>
        <v>0</v>
      </c>
      <c r="AB640">
        <f>vlookup("906-460000-310",Out!B:AZ,column(aa1),0)</f>
        <v>0</v>
      </c>
      <c r="AC640">
        <f>vlookup("906-460000-310",Out!B:AZ,column(ab1),0)</f>
        <v>0</v>
      </c>
      <c r="AD640">
        <f>vlookup("906-460000-310",Out!B:AZ,column(ac1),0)</f>
        <v>0</v>
      </c>
      <c r="AE640">
        <f>vlookup("906-460000-310",Out!B:AZ,column(ad1),0)</f>
        <v>0</v>
      </c>
      <c r="AF640">
        <f>vlookup("906-460000-310",Out!B:AZ,column(ae1),0)</f>
        <v>0</v>
      </c>
      <c r="AG640">
        <f>vlookup("906-460000-310",Out!B:AZ,column(af1),0)</f>
        <v>0</v>
      </c>
      <c r="AH640">
        <f>vlookup("906-460000-310",Out!B:AZ,column(ag1),0)</f>
        <v>0</v>
      </c>
      <c r="AI640">
        <f>vlookup("906-460000-310",Out!B:AZ,column(ah1),0)</f>
        <v>0</v>
      </c>
      <c r="AJ640">
        <f>vlookup("906-460000-310",Out!B:AZ,column(ai1),0)</f>
        <v>0</v>
      </c>
      <c r="AK640">
        <f>vlookup("906-460000-310",Out!B:AZ,column(aj1),0)</f>
        <v>0</v>
      </c>
      <c r="AL640">
        <f>vlookup("906-460000-310",Out!B:AZ,column(ak1),0)</f>
        <v>0</v>
      </c>
      <c r="AM640">
        <f>vlookup("906-460000-310",Out!B:AZ,column(al1),0)</f>
        <v>0</v>
      </c>
      <c r="AN640">
        <f>vlookup("906-460000-310",Out!B:AZ,column(am1),0)</f>
        <v>0</v>
      </c>
      <c r="AO640">
        <f>vlookup("906-460000-310",Out!B:AZ,column(an1),0)</f>
        <v>0</v>
      </c>
    </row>
    <row r="641" spans="1:41">
      <c r="H641" t="s">
        <v>16</v>
      </c>
      <c r="J641">
        <f>indirect(address(641,9))+indirect(address(639,10))-indirect(address(640,10))</f>
        <v>0</v>
      </c>
      <c r="K641">
        <f>indirect(address(641,10))+indirect(address(639,11))-indirect(address(640,11))</f>
        <v>0</v>
      </c>
      <c r="L641">
        <f>indirect(address(641,11))+indirect(address(639,12))-indirect(address(640,12))</f>
        <v>0</v>
      </c>
      <c r="M641">
        <f>indirect(address(641,12))+indirect(address(639,13))-indirect(address(640,13))</f>
        <v>0</v>
      </c>
      <c r="N641">
        <f>indirect(address(641,13))+indirect(address(639,14))-indirect(address(640,14))</f>
        <v>0</v>
      </c>
      <c r="O641">
        <f>indirect(address(641,14))+indirect(address(639,15))-indirect(address(640,15))</f>
        <v>0</v>
      </c>
      <c r="P641">
        <f>indirect(address(641,15))+indirect(address(639,16))-indirect(address(640,16))</f>
        <v>0</v>
      </c>
      <c r="Q641">
        <f>indirect(address(641,16))+indirect(address(639,17))-indirect(address(640,17))</f>
        <v>0</v>
      </c>
      <c r="R641">
        <f>indirect(address(641,17))+indirect(address(639,18))-indirect(address(640,18))</f>
        <v>0</v>
      </c>
      <c r="S641">
        <f>indirect(address(641,18))+indirect(address(639,19))-indirect(address(640,19))</f>
        <v>0</v>
      </c>
      <c r="T641">
        <f>indirect(address(641,19))+indirect(address(639,20))-indirect(address(640,20))</f>
        <v>0</v>
      </c>
      <c r="U641">
        <f>indirect(address(641,20))+indirect(address(639,21))-indirect(address(640,21))</f>
        <v>0</v>
      </c>
      <c r="V641">
        <f>indirect(address(641,21))+indirect(address(639,22))-indirect(address(640,22))</f>
        <v>0</v>
      </c>
      <c r="W641">
        <f>indirect(address(641,22))+indirect(address(639,23))-indirect(address(640,23))</f>
        <v>0</v>
      </c>
      <c r="X641">
        <f>indirect(address(641,23))+indirect(address(639,24))-indirect(address(640,24))</f>
        <v>0</v>
      </c>
      <c r="Y641">
        <f>indirect(address(641,24))+indirect(address(639,25))-indirect(address(640,25))</f>
        <v>0</v>
      </c>
      <c r="Z641">
        <f>indirect(address(641,25))+indirect(address(639,26))-indirect(address(640,26))</f>
        <v>0</v>
      </c>
      <c r="AA641">
        <f>indirect(address(641,26))+indirect(address(639,27))-indirect(address(640,27))</f>
        <v>0</v>
      </c>
      <c r="AB641">
        <f>indirect(address(641,27))+indirect(address(639,28))-indirect(address(640,28))</f>
        <v>0</v>
      </c>
      <c r="AC641">
        <f>indirect(address(641,28))+indirect(address(639,29))-indirect(address(640,29))</f>
        <v>0</v>
      </c>
      <c r="AD641">
        <f>indirect(address(641,29))+indirect(address(639,30))-indirect(address(640,30))</f>
        <v>0</v>
      </c>
      <c r="AE641">
        <f>indirect(address(641,30))+indirect(address(639,31))-indirect(address(640,31))</f>
        <v>0</v>
      </c>
      <c r="AF641">
        <f>indirect(address(641,31))+indirect(address(639,32))-indirect(address(640,32))</f>
        <v>0</v>
      </c>
      <c r="AG641">
        <f>indirect(address(641,32))+indirect(address(639,33))-indirect(address(640,33))</f>
        <v>0</v>
      </c>
      <c r="AH641">
        <f>indirect(address(641,33))+indirect(address(639,34))-indirect(address(640,34))</f>
        <v>0</v>
      </c>
      <c r="AI641">
        <f>indirect(address(641,34))+indirect(address(639,35))-indirect(address(640,35))</f>
        <v>0</v>
      </c>
      <c r="AJ641">
        <f>indirect(address(641,35))+indirect(address(639,36))-indirect(address(640,36))</f>
        <v>0</v>
      </c>
      <c r="AK641">
        <f>indirect(address(641,36))+indirect(address(639,37))-indirect(address(640,37))</f>
        <v>0</v>
      </c>
      <c r="AL641">
        <f>indirect(address(641,37))+indirect(address(639,38))-indirect(address(640,38))</f>
        <v>0</v>
      </c>
      <c r="AM641">
        <f>indirect(address(641,38))+indirect(address(639,39))-indirect(address(640,39))</f>
        <v>0</v>
      </c>
      <c r="AN641">
        <f>indirect(address(641,39))+indirect(address(639,40))-indirect(address(640,40))</f>
        <v>0</v>
      </c>
      <c r="AO641">
        <f>indirect(address(641,40))</f>
        <v>0</v>
      </c>
    </row>
    <row r="642" spans="1:41">
      <c r="A642" t="s">
        <v>17</v>
      </c>
      <c r="B642" t="s">
        <v>661</v>
      </c>
      <c r="C642" t="s">
        <v>662</v>
      </c>
      <c r="E642">
        <v>1</v>
      </c>
      <c r="F642" t="s">
        <v>13</v>
      </c>
      <c r="I642" t="s">
        <v>15</v>
      </c>
      <c r="J642">
        <f>vlookup("906-460000-310",B:AZ,column(i1),0)*e642</f>
        <v>0</v>
      </c>
      <c r="K642">
        <f>vlookup("906-460000-310",B:AZ,column(j1),0)*e642</f>
        <v>0</v>
      </c>
      <c r="L642">
        <f>vlookup("906-460000-310",B:AZ,column(k1),0)*e642</f>
        <v>0</v>
      </c>
      <c r="M642">
        <f>vlookup("906-460000-310",B:AZ,column(l1),0)*e642</f>
        <v>0</v>
      </c>
      <c r="N642">
        <f>vlookup("906-460000-310",B:AZ,column(m1),0)*e642</f>
        <v>0</v>
      </c>
      <c r="O642">
        <f>vlookup("906-460000-310",B:AZ,column(n1),0)*e642</f>
        <v>0</v>
      </c>
      <c r="P642">
        <f>vlookup("906-460000-310",B:AZ,column(o1),0)*e642</f>
        <v>0</v>
      </c>
      <c r="Q642">
        <f>vlookup("906-460000-310",B:AZ,column(p1),0)*e642</f>
        <v>0</v>
      </c>
      <c r="R642">
        <f>vlookup("906-460000-310",B:AZ,column(q1),0)*e642</f>
        <v>0</v>
      </c>
      <c r="S642">
        <f>vlookup("906-460000-310",B:AZ,column(r1),0)*e642</f>
        <v>0</v>
      </c>
      <c r="T642">
        <f>vlookup("906-460000-310",B:AZ,column(s1),0)*e642</f>
        <v>0</v>
      </c>
      <c r="U642">
        <f>vlookup("906-460000-310",B:AZ,column(t1),0)*e642</f>
        <v>0</v>
      </c>
      <c r="V642">
        <f>vlookup("906-460000-310",B:AZ,column(u1),0)*e642</f>
        <v>0</v>
      </c>
      <c r="W642">
        <f>vlookup("906-460000-310",B:AZ,column(v1),0)*e642</f>
        <v>0</v>
      </c>
      <c r="X642">
        <f>vlookup("906-460000-310",B:AZ,column(w1),0)*e642</f>
        <v>0</v>
      </c>
      <c r="Y642">
        <f>vlookup("906-460000-310",B:AZ,column(x1),0)*e642</f>
        <v>0</v>
      </c>
      <c r="Z642">
        <f>vlookup("906-460000-310",B:AZ,column(y1),0)*e642</f>
        <v>0</v>
      </c>
      <c r="AA642">
        <f>vlookup("906-460000-310",B:AZ,column(z1),0)*e642</f>
        <v>0</v>
      </c>
      <c r="AB642">
        <f>vlookup("906-460000-310",B:AZ,column(aa1),0)*e642</f>
        <v>0</v>
      </c>
      <c r="AC642">
        <f>vlookup("906-460000-310",B:AZ,column(ab1),0)*e642</f>
        <v>0</v>
      </c>
      <c r="AD642">
        <f>vlookup("906-460000-310",B:AZ,column(ac1),0)*e642</f>
        <v>0</v>
      </c>
      <c r="AE642">
        <f>vlookup("906-460000-310",B:AZ,column(ad1),0)*e642</f>
        <v>0</v>
      </c>
      <c r="AF642">
        <f>vlookup("906-460000-310",B:AZ,column(ae1),0)*e642</f>
        <v>0</v>
      </c>
      <c r="AG642">
        <f>vlookup("906-460000-310",B:AZ,column(af1),0)*e642</f>
        <v>0</v>
      </c>
      <c r="AH642">
        <f>vlookup("906-460000-310",B:AZ,column(ag1),0)*e642</f>
        <v>0</v>
      </c>
      <c r="AI642">
        <f>vlookup("906-460000-310",B:AZ,column(ah1),0)*e642</f>
        <v>0</v>
      </c>
      <c r="AJ642">
        <f>vlookup("906-460000-310",B:AZ,column(ai1),0)*e642</f>
        <v>0</v>
      </c>
      <c r="AK642">
        <f>vlookup("906-460000-310",B:AZ,column(aj1),0)*e642</f>
        <v>0</v>
      </c>
      <c r="AL642">
        <f>vlookup("906-460000-310",B:AZ,column(ak1),0)*e642</f>
        <v>0</v>
      </c>
      <c r="AM642">
        <f>vlookup("906-460000-310",B:AZ,column(al1),0)*e642</f>
        <v>0</v>
      </c>
      <c r="AN642">
        <f>vlookup("906-460000-310",B:AZ,column(am1),0)*e642</f>
        <v>0</v>
      </c>
      <c r="AO642">
        <f>vlookup("906-460000-310",B:AZ,column(an1),0)*e642</f>
        <v>0</v>
      </c>
    </row>
    <row r="643" spans="1:41">
      <c r="A643" t="s">
        <v>17</v>
      </c>
      <c r="B643" t="s">
        <v>663</v>
      </c>
      <c r="C643" t="s">
        <v>664</v>
      </c>
      <c r="E643">
        <v>1</v>
      </c>
      <c r="F643" t="s">
        <v>13</v>
      </c>
      <c r="I643" t="s">
        <v>15</v>
      </c>
      <c r="J643">
        <f>vlookup("906-460000-310",B:AZ,column(i1),0)*e643</f>
        <v>0</v>
      </c>
      <c r="K643">
        <f>vlookup("906-460000-310",B:AZ,column(j1),0)*e643</f>
        <v>0</v>
      </c>
      <c r="L643">
        <f>vlookup("906-460000-310",B:AZ,column(k1),0)*e643</f>
        <v>0</v>
      </c>
      <c r="M643">
        <f>vlookup("906-460000-310",B:AZ,column(l1),0)*e643</f>
        <v>0</v>
      </c>
      <c r="N643">
        <f>vlookup("906-460000-310",B:AZ,column(m1),0)*e643</f>
        <v>0</v>
      </c>
      <c r="O643">
        <f>vlookup("906-460000-310",B:AZ,column(n1),0)*e643</f>
        <v>0</v>
      </c>
      <c r="P643">
        <f>vlookup("906-460000-310",B:AZ,column(o1),0)*e643</f>
        <v>0</v>
      </c>
      <c r="Q643">
        <f>vlookup("906-460000-310",B:AZ,column(p1),0)*e643</f>
        <v>0</v>
      </c>
      <c r="R643">
        <f>vlookup("906-460000-310",B:AZ,column(q1),0)*e643</f>
        <v>0</v>
      </c>
      <c r="S643">
        <f>vlookup("906-460000-310",B:AZ,column(r1),0)*e643</f>
        <v>0</v>
      </c>
      <c r="T643">
        <f>vlookup("906-460000-310",B:AZ,column(s1),0)*e643</f>
        <v>0</v>
      </c>
      <c r="U643">
        <f>vlookup("906-460000-310",B:AZ,column(t1),0)*e643</f>
        <v>0</v>
      </c>
      <c r="V643">
        <f>vlookup("906-460000-310",B:AZ,column(u1),0)*e643</f>
        <v>0</v>
      </c>
      <c r="W643">
        <f>vlookup("906-460000-310",B:AZ,column(v1),0)*e643</f>
        <v>0</v>
      </c>
      <c r="X643">
        <f>vlookup("906-460000-310",B:AZ,column(w1),0)*e643</f>
        <v>0</v>
      </c>
      <c r="Y643">
        <f>vlookup("906-460000-310",B:AZ,column(x1),0)*e643</f>
        <v>0</v>
      </c>
      <c r="Z643">
        <f>vlookup("906-460000-310",B:AZ,column(y1),0)*e643</f>
        <v>0</v>
      </c>
      <c r="AA643">
        <f>vlookup("906-460000-310",B:AZ,column(z1),0)*e643</f>
        <v>0</v>
      </c>
      <c r="AB643">
        <f>vlookup("906-460000-310",B:AZ,column(aa1),0)*e643</f>
        <v>0</v>
      </c>
      <c r="AC643">
        <f>vlookup("906-460000-310",B:AZ,column(ab1),0)*e643</f>
        <v>0</v>
      </c>
      <c r="AD643">
        <f>vlookup("906-460000-310",B:AZ,column(ac1),0)*e643</f>
        <v>0</v>
      </c>
      <c r="AE643">
        <f>vlookup("906-460000-310",B:AZ,column(ad1),0)*e643</f>
        <v>0</v>
      </c>
      <c r="AF643">
        <f>vlookup("906-460000-310",B:AZ,column(ae1),0)*e643</f>
        <v>0</v>
      </c>
      <c r="AG643">
        <f>vlookup("906-460000-310",B:AZ,column(af1),0)*e643</f>
        <v>0</v>
      </c>
      <c r="AH643">
        <f>vlookup("906-460000-310",B:AZ,column(ag1),0)*e643</f>
        <v>0</v>
      </c>
      <c r="AI643">
        <f>vlookup("906-460000-310",B:AZ,column(ah1),0)*e643</f>
        <v>0</v>
      </c>
      <c r="AJ643">
        <f>vlookup("906-460000-310",B:AZ,column(ai1),0)*e643</f>
        <v>0</v>
      </c>
      <c r="AK643">
        <f>vlookup("906-460000-310",B:AZ,column(aj1),0)*e643</f>
        <v>0</v>
      </c>
      <c r="AL643">
        <f>vlookup("906-460000-310",B:AZ,column(ak1),0)*e643</f>
        <v>0</v>
      </c>
      <c r="AM643">
        <f>vlookup("906-460000-310",B:AZ,column(al1),0)*e643</f>
        <v>0</v>
      </c>
      <c r="AN643">
        <f>vlookup("906-460000-310",B:AZ,column(am1),0)*e643</f>
        <v>0</v>
      </c>
      <c r="AO643">
        <f>vlookup("906-460000-310",B:AZ,column(an1),0)*e643</f>
        <v>0</v>
      </c>
    </row>
    <row r="644" spans="1:41">
      <c r="A644" t="s">
        <v>22</v>
      </c>
      <c r="B644" t="s">
        <v>665</v>
      </c>
      <c r="C644" t="s">
        <v>666</v>
      </c>
      <c r="E644">
        <v>0.002</v>
      </c>
      <c r="F644" t="s">
        <v>13</v>
      </c>
      <c r="I644" t="s">
        <v>15</v>
      </c>
      <c r="J644">
        <f>vlookup("906-460000-310",B:AZ,column(i1),0)*e644</f>
        <v>0</v>
      </c>
      <c r="K644">
        <f>vlookup("906-460000-310",B:AZ,column(j1),0)*e644</f>
        <v>0</v>
      </c>
      <c r="L644">
        <f>vlookup("906-460000-310",B:AZ,column(k1),0)*e644</f>
        <v>0</v>
      </c>
      <c r="M644">
        <f>vlookup("906-460000-310",B:AZ,column(l1),0)*e644</f>
        <v>0</v>
      </c>
      <c r="N644">
        <f>vlookup("906-460000-310",B:AZ,column(m1),0)*e644</f>
        <v>0</v>
      </c>
      <c r="O644">
        <f>vlookup("906-460000-310",B:AZ,column(n1),0)*e644</f>
        <v>0</v>
      </c>
      <c r="P644">
        <f>vlookup("906-460000-310",B:AZ,column(o1),0)*e644</f>
        <v>0</v>
      </c>
      <c r="Q644">
        <f>vlookup("906-460000-310",B:AZ,column(p1),0)*e644</f>
        <v>0</v>
      </c>
      <c r="R644">
        <f>vlookup("906-460000-310",B:AZ,column(q1),0)*e644</f>
        <v>0</v>
      </c>
      <c r="S644">
        <f>vlookup("906-460000-310",B:AZ,column(r1),0)*e644</f>
        <v>0</v>
      </c>
      <c r="T644">
        <f>vlookup("906-460000-310",B:AZ,column(s1),0)*e644</f>
        <v>0</v>
      </c>
      <c r="U644">
        <f>vlookup("906-460000-310",B:AZ,column(t1),0)*e644</f>
        <v>0</v>
      </c>
      <c r="V644">
        <f>vlookup("906-460000-310",B:AZ,column(u1),0)*e644</f>
        <v>0</v>
      </c>
      <c r="W644">
        <f>vlookup("906-460000-310",B:AZ,column(v1),0)*e644</f>
        <v>0</v>
      </c>
      <c r="X644">
        <f>vlookup("906-460000-310",B:AZ,column(w1),0)*e644</f>
        <v>0</v>
      </c>
      <c r="Y644">
        <f>vlookup("906-460000-310",B:AZ,column(x1),0)*e644</f>
        <v>0</v>
      </c>
      <c r="Z644">
        <f>vlookup("906-460000-310",B:AZ,column(y1),0)*e644</f>
        <v>0</v>
      </c>
      <c r="AA644">
        <f>vlookup("906-460000-310",B:AZ,column(z1),0)*e644</f>
        <v>0</v>
      </c>
      <c r="AB644">
        <f>vlookup("906-460000-310",B:AZ,column(aa1),0)*e644</f>
        <v>0</v>
      </c>
      <c r="AC644">
        <f>vlookup("906-460000-310",B:AZ,column(ab1),0)*e644</f>
        <v>0</v>
      </c>
      <c r="AD644">
        <f>vlookup("906-460000-310",B:AZ,column(ac1),0)*e644</f>
        <v>0</v>
      </c>
      <c r="AE644">
        <f>vlookup("906-460000-310",B:AZ,column(ad1),0)*e644</f>
        <v>0</v>
      </c>
      <c r="AF644">
        <f>vlookup("906-460000-310",B:AZ,column(ae1),0)*e644</f>
        <v>0</v>
      </c>
      <c r="AG644">
        <f>vlookup("906-460000-310",B:AZ,column(af1),0)*e644</f>
        <v>0</v>
      </c>
      <c r="AH644">
        <f>vlookup("906-460000-310",B:AZ,column(ag1),0)*e644</f>
        <v>0</v>
      </c>
      <c r="AI644">
        <f>vlookup("906-460000-310",B:AZ,column(ah1),0)*e644</f>
        <v>0</v>
      </c>
      <c r="AJ644">
        <f>vlookup("906-460000-310",B:AZ,column(ai1),0)*e644</f>
        <v>0</v>
      </c>
      <c r="AK644">
        <f>vlookup("906-460000-310",B:AZ,column(aj1),0)*e644</f>
        <v>0</v>
      </c>
      <c r="AL644">
        <f>vlookup("906-460000-310",B:AZ,column(ak1),0)*e644</f>
        <v>0</v>
      </c>
      <c r="AM644">
        <f>vlookup("906-460000-310",B:AZ,column(al1),0)*e644</f>
        <v>0</v>
      </c>
      <c r="AN644">
        <f>vlookup("906-460000-310",B:AZ,column(am1),0)*e644</f>
        <v>0</v>
      </c>
      <c r="AO644">
        <f>vlookup("906-460000-310",B:AZ,column(an1),0)*e644</f>
        <v>0</v>
      </c>
    </row>
    <row r="645" spans="1:41">
      <c r="A645" t="s">
        <v>22</v>
      </c>
      <c r="B645" t="s">
        <v>667</v>
      </c>
      <c r="C645" t="s">
        <v>668</v>
      </c>
      <c r="E645">
        <v>1</v>
      </c>
      <c r="F645" t="s">
        <v>13</v>
      </c>
      <c r="I645" t="s">
        <v>15</v>
      </c>
      <c r="J645">
        <f>vlookup("906-460000-310",B:AZ,column(i1),0)*e645</f>
        <v>0</v>
      </c>
      <c r="K645">
        <f>vlookup("906-460000-310",B:AZ,column(j1),0)*e645</f>
        <v>0</v>
      </c>
      <c r="L645">
        <f>vlookup("906-460000-310",B:AZ,column(k1),0)*e645</f>
        <v>0</v>
      </c>
      <c r="M645">
        <f>vlookup("906-460000-310",B:AZ,column(l1),0)*e645</f>
        <v>0</v>
      </c>
      <c r="N645">
        <f>vlookup("906-460000-310",B:AZ,column(m1),0)*e645</f>
        <v>0</v>
      </c>
      <c r="O645">
        <f>vlookup("906-460000-310",B:AZ,column(n1),0)*e645</f>
        <v>0</v>
      </c>
      <c r="P645">
        <f>vlookup("906-460000-310",B:AZ,column(o1),0)*e645</f>
        <v>0</v>
      </c>
      <c r="Q645">
        <f>vlookup("906-460000-310",B:AZ,column(p1),0)*e645</f>
        <v>0</v>
      </c>
      <c r="R645">
        <f>vlookup("906-460000-310",B:AZ,column(q1),0)*e645</f>
        <v>0</v>
      </c>
      <c r="S645">
        <f>vlookup("906-460000-310",B:AZ,column(r1),0)*e645</f>
        <v>0</v>
      </c>
      <c r="T645">
        <f>vlookup("906-460000-310",B:AZ,column(s1),0)*e645</f>
        <v>0</v>
      </c>
      <c r="U645">
        <f>vlookup("906-460000-310",B:AZ,column(t1),0)*e645</f>
        <v>0</v>
      </c>
      <c r="V645">
        <f>vlookup("906-460000-310",B:AZ,column(u1),0)*e645</f>
        <v>0</v>
      </c>
      <c r="W645">
        <f>vlookup("906-460000-310",B:AZ,column(v1),0)*e645</f>
        <v>0</v>
      </c>
      <c r="X645">
        <f>vlookup("906-460000-310",B:AZ,column(w1),0)*e645</f>
        <v>0</v>
      </c>
      <c r="Y645">
        <f>vlookup("906-460000-310",B:AZ,column(x1),0)*e645</f>
        <v>0</v>
      </c>
      <c r="Z645">
        <f>vlookup("906-460000-310",B:AZ,column(y1),0)*e645</f>
        <v>0</v>
      </c>
      <c r="AA645">
        <f>vlookup("906-460000-310",B:AZ,column(z1),0)*e645</f>
        <v>0</v>
      </c>
      <c r="AB645">
        <f>vlookup("906-460000-310",B:AZ,column(aa1),0)*e645</f>
        <v>0</v>
      </c>
      <c r="AC645">
        <f>vlookup("906-460000-310",B:AZ,column(ab1),0)*e645</f>
        <v>0</v>
      </c>
      <c r="AD645">
        <f>vlookup("906-460000-310",B:AZ,column(ac1),0)*e645</f>
        <v>0</v>
      </c>
      <c r="AE645">
        <f>vlookup("906-460000-310",B:AZ,column(ad1),0)*e645</f>
        <v>0</v>
      </c>
      <c r="AF645">
        <f>vlookup("906-460000-310",B:AZ,column(ae1),0)*e645</f>
        <v>0</v>
      </c>
      <c r="AG645">
        <f>vlookup("906-460000-310",B:AZ,column(af1),0)*e645</f>
        <v>0</v>
      </c>
      <c r="AH645">
        <f>vlookup("906-460000-310",B:AZ,column(ag1),0)*e645</f>
        <v>0</v>
      </c>
      <c r="AI645">
        <f>vlookup("906-460000-310",B:AZ,column(ah1),0)*e645</f>
        <v>0</v>
      </c>
      <c r="AJ645">
        <f>vlookup("906-460000-310",B:AZ,column(ai1),0)*e645</f>
        <v>0</v>
      </c>
      <c r="AK645">
        <f>vlookup("906-460000-310",B:AZ,column(aj1),0)*e645</f>
        <v>0</v>
      </c>
      <c r="AL645">
        <f>vlookup("906-460000-310",B:AZ,column(ak1),0)*e645</f>
        <v>0</v>
      </c>
      <c r="AM645">
        <f>vlookup("906-460000-310",B:AZ,column(al1),0)*e645</f>
        <v>0</v>
      </c>
      <c r="AN645">
        <f>vlookup("906-460000-310",B:AZ,column(am1),0)*e645</f>
        <v>0</v>
      </c>
      <c r="AO645">
        <f>vlookup("906-460000-310",B:AZ,column(an1),0)*e645</f>
        <v>0</v>
      </c>
    </row>
    <row r="646" spans="1:41">
      <c r="A646" t="s">
        <v>22</v>
      </c>
      <c r="B646" t="s">
        <v>667</v>
      </c>
      <c r="C646" t="s">
        <v>669</v>
      </c>
      <c r="E646">
        <v>1</v>
      </c>
      <c r="F646" t="s">
        <v>13</v>
      </c>
      <c r="I646" t="s">
        <v>15</v>
      </c>
      <c r="J646">
        <f>vlookup("906-460000-310",B:AZ,column(i1),0)*e646</f>
        <v>0</v>
      </c>
      <c r="K646">
        <f>vlookup("906-460000-310",B:AZ,column(j1),0)*e646</f>
        <v>0</v>
      </c>
      <c r="L646">
        <f>vlookup("906-460000-310",B:AZ,column(k1),0)*e646</f>
        <v>0</v>
      </c>
      <c r="M646">
        <f>vlookup("906-460000-310",B:AZ,column(l1),0)*e646</f>
        <v>0</v>
      </c>
      <c r="N646">
        <f>vlookup("906-460000-310",B:AZ,column(m1),0)*e646</f>
        <v>0</v>
      </c>
      <c r="O646">
        <f>vlookup("906-460000-310",B:AZ,column(n1),0)*e646</f>
        <v>0</v>
      </c>
      <c r="P646">
        <f>vlookup("906-460000-310",B:AZ,column(o1),0)*e646</f>
        <v>0</v>
      </c>
      <c r="Q646">
        <f>vlookup("906-460000-310",B:AZ,column(p1),0)*e646</f>
        <v>0</v>
      </c>
      <c r="R646">
        <f>vlookup("906-460000-310",B:AZ,column(q1),0)*e646</f>
        <v>0</v>
      </c>
      <c r="S646">
        <f>vlookup("906-460000-310",B:AZ,column(r1),0)*e646</f>
        <v>0</v>
      </c>
      <c r="T646">
        <f>vlookup("906-460000-310",B:AZ,column(s1),0)*e646</f>
        <v>0</v>
      </c>
      <c r="U646">
        <f>vlookup("906-460000-310",B:AZ,column(t1),0)*e646</f>
        <v>0</v>
      </c>
      <c r="V646">
        <f>vlookup("906-460000-310",B:AZ,column(u1),0)*e646</f>
        <v>0</v>
      </c>
      <c r="W646">
        <f>vlookup("906-460000-310",B:AZ,column(v1),0)*e646</f>
        <v>0</v>
      </c>
      <c r="X646">
        <f>vlookup("906-460000-310",B:AZ,column(w1),0)*e646</f>
        <v>0</v>
      </c>
      <c r="Y646">
        <f>vlookup("906-460000-310",B:AZ,column(x1),0)*e646</f>
        <v>0</v>
      </c>
      <c r="Z646">
        <f>vlookup("906-460000-310",B:AZ,column(y1),0)*e646</f>
        <v>0</v>
      </c>
      <c r="AA646">
        <f>vlookup("906-460000-310",B:AZ,column(z1),0)*e646</f>
        <v>0</v>
      </c>
      <c r="AB646">
        <f>vlookup("906-460000-310",B:AZ,column(aa1),0)*e646</f>
        <v>0</v>
      </c>
      <c r="AC646">
        <f>vlookup("906-460000-310",B:AZ,column(ab1),0)*e646</f>
        <v>0</v>
      </c>
      <c r="AD646">
        <f>vlookup("906-460000-310",B:AZ,column(ac1),0)*e646</f>
        <v>0</v>
      </c>
      <c r="AE646">
        <f>vlookup("906-460000-310",B:AZ,column(ad1),0)*e646</f>
        <v>0</v>
      </c>
      <c r="AF646">
        <f>vlookup("906-460000-310",B:AZ,column(ae1),0)*e646</f>
        <v>0</v>
      </c>
      <c r="AG646">
        <f>vlookup("906-460000-310",B:AZ,column(af1),0)*e646</f>
        <v>0</v>
      </c>
      <c r="AH646">
        <f>vlookup("906-460000-310",B:AZ,column(ag1),0)*e646</f>
        <v>0</v>
      </c>
      <c r="AI646">
        <f>vlookup("906-460000-310",B:AZ,column(ah1),0)*e646</f>
        <v>0</v>
      </c>
      <c r="AJ646">
        <f>vlookup("906-460000-310",B:AZ,column(ai1),0)*e646</f>
        <v>0</v>
      </c>
      <c r="AK646">
        <f>vlookup("906-460000-310",B:AZ,column(aj1),0)*e646</f>
        <v>0</v>
      </c>
      <c r="AL646">
        <f>vlookup("906-460000-310",B:AZ,column(ak1),0)*e646</f>
        <v>0</v>
      </c>
      <c r="AM646">
        <f>vlookup("906-460000-310",B:AZ,column(al1),0)*e646</f>
        <v>0</v>
      </c>
      <c r="AN646">
        <f>vlookup("906-460000-310",B:AZ,column(am1),0)*e646</f>
        <v>0</v>
      </c>
      <c r="AO646">
        <f>vlookup("906-460000-310",B:AZ,column(an1),0)*e646</f>
        <v>0</v>
      </c>
    </row>
    <row r="647" spans="1:41">
      <c r="A647" t="s">
        <v>43</v>
      </c>
      <c r="B647" t="s">
        <v>667</v>
      </c>
      <c r="C647" t="s">
        <v>669</v>
      </c>
      <c r="E647">
        <v>1</v>
      </c>
      <c r="F647" t="s">
        <v>13</v>
      </c>
      <c r="I647" t="s">
        <v>15</v>
      </c>
      <c r="J647">
        <f>vlookup("906-460000-310",B:AZ,column(i1),0)*e647</f>
        <v>0</v>
      </c>
      <c r="K647">
        <f>vlookup("906-460000-310",B:AZ,column(j1),0)*e647</f>
        <v>0</v>
      </c>
      <c r="L647">
        <f>vlookup("906-460000-310",B:AZ,column(k1),0)*e647</f>
        <v>0</v>
      </c>
      <c r="M647">
        <f>vlookup("906-460000-310",B:AZ,column(l1),0)*e647</f>
        <v>0</v>
      </c>
      <c r="N647">
        <f>vlookup("906-460000-310",B:AZ,column(m1),0)*e647</f>
        <v>0</v>
      </c>
      <c r="O647">
        <f>vlookup("906-460000-310",B:AZ,column(n1),0)*e647</f>
        <v>0</v>
      </c>
      <c r="P647">
        <f>vlookup("906-460000-310",B:AZ,column(o1),0)*e647</f>
        <v>0</v>
      </c>
      <c r="Q647">
        <f>vlookup("906-460000-310",B:AZ,column(p1),0)*e647</f>
        <v>0</v>
      </c>
      <c r="R647">
        <f>vlookup("906-460000-310",B:AZ,column(q1),0)*e647</f>
        <v>0</v>
      </c>
      <c r="S647">
        <f>vlookup("906-460000-310",B:AZ,column(r1),0)*e647</f>
        <v>0</v>
      </c>
      <c r="T647">
        <f>vlookup("906-460000-310",B:AZ,column(s1),0)*e647</f>
        <v>0</v>
      </c>
      <c r="U647">
        <f>vlookup("906-460000-310",B:AZ,column(t1),0)*e647</f>
        <v>0</v>
      </c>
      <c r="V647">
        <f>vlookup("906-460000-310",B:AZ,column(u1),0)*e647</f>
        <v>0</v>
      </c>
      <c r="W647">
        <f>vlookup("906-460000-310",B:AZ,column(v1),0)*e647</f>
        <v>0</v>
      </c>
      <c r="X647">
        <f>vlookup("906-460000-310",B:AZ,column(w1),0)*e647</f>
        <v>0</v>
      </c>
      <c r="Y647">
        <f>vlookup("906-460000-310",B:AZ,column(x1),0)*e647</f>
        <v>0</v>
      </c>
      <c r="Z647">
        <f>vlookup("906-460000-310",B:AZ,column(y1),0)*e647</f>
        <v>0</v>
      </c>
      <c r="AA647">
        <f>vlookup("906-460000-310",B:AZ,column(z1),0)*e647</f>
        <v>0</v>
      </c>
      <c r="AB647">
        <f>vlookup("906-460000-310",B:AZ,column(aa1),0)*e647</f>
        <v>0</v>
      </c>
      <c r="AC647">
        <f>vlookup("906-460000-310",B:AZ,column(ab1),0)*e647</f>
        <v>0</v>
      </c>
      <c r="AD647">
        <f>vlookup("906-460000-310",B:AZ,column(ac1),0)*e647</f>
        <v>0</v>
      </c>
      <c r="AE647">
        <f>vlookup("906-460000-310",B:AZ,column(ad1),0)*e647</f>
        <v>0</v>
      </c>
      <c r="AF647">
        <f>vlookup("906-460000-310",B:AZ,column(ae1),0)*e647</f>
        <v>0</v>
      </c>
      <c r="AG647">
        <f>vlookup("906-460000-310",B:AZ,column(af1),0)*e647</f>
        <v>0</v>
      </c>
      <c r="AH647">
        <f>vlookup("906-460000-310",B:AZ,column(ag1),0)*e647</f>
        <v>0</v>
      </c>
      <c r="AI647">
        <f>vlookup("906-460000-310",B:AZ,column(ah1),0)*e647</f>
        <v>0</v>
      </c>
      <c r="AJ647">
        <f>vlookup("906-460000-310",B:AZ,column(ai1),0)*e647</f>
        <v>0</v>
      </c>
      <c r="AK647">
        <f>vlookup("906-460000-310",B:AZ,column(aj1),0)*e647</f>
        <v>0</v>
      </c>
      <c r="AL647">
        <f>vlookup("906-460000-310",B:AZ,column(ak1),0)*e647</f>
        <v>0</v>
      </c>
      <c r="AM647">
        <f>vlookup("906-460000-310",B:AZ,column(al1),0)*e647</f>
        <v>0</v>
      </c>
      <c r="AN647">
        <f>vlookup("906-460000-310",B:AZ,column(am1),0)*e647</f>
        <v>0</v>
      </c>
      <c r="AO647">
        <f>vlookup("906-460000-310",B:AZ,column(an1),0)*e647</f>
        <v>0</v>
      </c>
    </row>
    <row r="648" spans="1:41">
      <c r="A648" t="s">
        <v>10</v>
      </c>
      <c r="B648" t="s">
        <v>670</v>
      </c>
      <c r="C648" t="s">
        <v>660</v>
      </c>
      <c r="E648">
        <v>1</v>
      </c>
      <c r="F648" t="s">
        <v>13</v>
      </c>
      <c r="I648" t="s">
        <v>14</v>
      </c>
      <c r="AO648">
        <f>sum(j648:an648)</f>
        <v>0</v>
      </c>
    </row>
    <row r="649" spans="1:41">
      <c r="I649" t="s">
        <v>15</v>
      </c>
      <c r="J649">
        <f>vlookup("906-394000-210",Out!B:AZ,column(i1),0)</f>
        <v>0</v>
      </c>
      <c r="K649">
        <f>vlookup("906-394000-210",Out!B:AZ,column(j1),0)</f>
        <v>0</v>
      </c>
      <c r="L649">
        <f>vlookup("906-394000-210",Out!B:AZ,column(k1),0)</f>
        <v>0</v>
      </c>
      <c r="M649">
        <f>vlookup("906-394000-210",Out!B:AZ,column(l1),0)</f>
        <v>0</v>
      </c>
      <c r="N649">
        <f>vlookup("906-394000-210",Out!B:AZ,column(m1),0)</f>
        <v>0</v>
      </c>
      <c r="O649">
        <f>vlookup("906-394000-210",Out!B:AZ,column(n1),0)</f>
        <v>0</v>
      </c>
      <c r="P649">
        <f>vlookup("906-394000-210",Out!B:AZ,column(o1),0)</f>
        <v>0</v>
      </c>
      <c r="Q649">
        <f>vlookup("906-394000-210",Out!B:AZ,column(p1),0)</f>
        <v>0</v>
      </c>
      <c r="R649">
        <f>vlookup("906-394000-210",Out!B:AZ,column(q1),0)</f>
        <v>0</v>
      </c>
      <c r="S649">
        <f>vlookup("906-394000-210",Out!B:AZ,column(r1),0)</f>
        <v>0</v>
      </c>
      <c r="T649">
        <f>vlookup("906-394000-210",Out!B:AZ,column(s1),0)</f>
        <v>0</v>
      </c>
      <c r="U649">
        <f>vlookup("906-394000-210",Out!B:AZ,column(t1),0)</f>
        <v>0</v>
      </c>
      <c r="V649">
        <f>vlookup("906-394000-210",Out!B:AZ,column(u1),0)</f>
        <v>0</v>
      </c>
      <c r="W649">
        <f>vlookup("906-394000-210",Out!B:AZ,column(v1),0)</f>
        <v>0</v>
      </c>
      <c r="X649">
        <f>vlookup("906-394000-210",Out!B:AZ,column(w1),0)</f>
        <v>0</v>
      </c>
      <c r="Y649">
        <f>vlookup("906-394000-210",Out!B:AZ,column(x1),0)</f>
        <v>0</v>
      </c>
      <c r="Z649">
        <f>vlookup("906-394000-210",Out!B:AZ,column(y1),0)</f>
        <v>0</v>
      </c>
      <c r="AA649">
        <f>vlookup("906-394000-210",Out!B:AZ,column(z1),0)</f>
        <v>0</v>
      </c>
      <c r="AB649">
        <f>vlookup("906-394000-210",Out!B:AZ,column(aa1),0)</f>
        <v>0</v>
      </c>
      <c r="AC649">
        <f>vlookup("906-394000-210",Out!B:AZ,column(ab1),0)</f>
        <v>0</v>
      </c>
      <c r="AD649">
        <f>vlookup("906-394000-210",Out!B:AZ,column(ac1),0)</f>
        <v>0</v>
      </c>
      <c r="AE649">
        <f>vlookup("906-394000-210",Out!B:AZ,column(ad1),0)</f>
        <v>0</v>
      </c>
      <c r="AF649">
        <f>vlookup("906-394000-210",Out!B:AZ,column(ae1),0)</f>
        <v>0</v>
      </c>
      <c r="AG649">
        <f>vlookup("906-394000-210",Out!B:AZ,column(af1),0)</f>
        <v>0</v>
      </c>
      <c r="AH649">
        <f>vlookup("906-394000-210",Out!B:AZ,column(ag1),0)</f>
        <v>0</v>
      </c>
      <c r="AI649">
        <f>vlookup("906-394000-210",Out!B:AZ,column(ah1),0)</f>
        <v>0</v>
      </c>
      <c r="AJ649">
        <f>vlookup("906-394000-210",Out!B:AZ,column(ai1),0)</f>
        <v>0</v>
      </c>
      <c r="AK649">
        <f>vlookup("906-394000-210",Out!B:AZ,column(aj1),0)</f>
        <v>0</v>
      </c>
      <c r="AL649">
        <f>vlookup("906-394000-210",Out!B:AZ,column(ak1),0)</f>
        <v>0</v>
      </c>
      <c r="AM649">
        <f>vlookup("906-394000-210",Out!B:AZ,column(al1),0)</f>
        <v>0</v>
      </c>
      <c r="AN649">
        <f>vlookup("906-394000-210",Out!B:AZ,column(am1),0)</f>
        <v>0</v>
      </c>
      <c r="AO649">
        <f>vlookup("906-394000-210",Out!B:AZ,column(an1),0)</f>
        <v>0</v>
      </c>
    </row>
    <row r="650" spans="1:41">
      <c r="H650" t="s">
        <v>16</v>
      </c>
      <c r="J650">
        <f>indirect(address(650,9))+indirect(address(648,10))-indirect(address(649,10))</f>
        <v>0</v>
      </c>
      <c r="K650">
        <f>indirect(address(650,10))+indirect(address(648,11))-indirect(address(649,11))</f>
        <v>0</v>
      </c>
      <c r="L650">
        <f>indirect(address(650,11))+indirect(address(648,12))-indirect(address(649,12))</f>
        <v>0</v>
      </c>
      <c r="M650">
        <f>indirect(address(650,12))+indirect(address(648,13))-indirect(address(649,13))</f>
        <v>0</v>
      </c>
      <c r="N650">
        <f>indirect(address(650,13))+indirect(address(648,14))-indirect(address(649,14))</f>
        <v>0</v>
      </c>
      <c r="O650">
        <f>indirect(address(650,14))+indirect(address(648,15))-indirect(address(649,15))</f>
        <v>0</v>
      </c>
      <c r="P650">
        <f>indirect(address(650,15))+indirect(address(648,16))-indirect(address(649,16))</f>
        <v>0</v>
      </c>
      <c r="Q650">
        <f>indirect(address(650,16))+indirect(address(648,17))-indirect(address(649,17))</f>
        <v>0</v>
      </c>
      <c r="R650">
        <f>indirect(address(650,17))+indirect(address(648,18))-indirect(address(649,18))</f>
        <v>0</v>
      </c>
      <c r="S650">
        <f>indirect(address(650,18))+indirect(address(648,19))-indirect(address(649,19))</f>
        <v>0</v>
      </c>
      <c r="T650">
        <f>indirect(address(650,19))+indirect(address(648,20))-indirect(address(649,20))</f>
        <v>0</v>
      </c>
      <c r="U650">
        <f>indirect(address(650,20))+indirect(address(648,21))-indirect(address(649,21))</f>
        <v>0</v>
      </c>
      <c r="V650">
        <f>indirect(address(650,21))+indirect(address(648,22))-indirect(address(649,22))</f>
        <v>0</v>
      </c>
      <c r="W650">
        <f>indirect(address(650,22))+indirect(address(648,23))-indirect(address(649,23))</f>
        <v>0</v>
      </c>
      <c r="X650">
        <f>indirect(address(650,23))+indirect(address(648,24))-indirect(address(649,24))</f>
        <v>0</v>
      </c>
      <c r="Y650">
        <f>indirect(address(650,24))+indirect(address(648,25))-indirect(address(649,25))</f>
        <v>0</v>
      </c>
      <c r="Z650">
        <f>indirect(address(650,25))+indirect(address(648,26))-indirect(address(649,26))</f>
        <v>0</v>
      </c>
      <c r="AA650">
        <f>indirect(address(650,26))+indirect(address(648,27))-indirect(address(649,27))</f>
        <v>0</v>
      </c>
      <c r="AB650">
        <f>indirect(address(650,27))+indirect(address(648,28))-indirect(address(649,28))</f>
        <v>0</v>
      </c>
      <c r="AC650">
        <f>indirect(address(650,28))+indirect(address(648,29))-indirect(address(649,29))</f>
        <v>0</v>
      </c>
      <c r="AD650">
        <f>indirect(address(650,29))+indirect(address(648,30))-indirect(address(649,30))</f>
        <v>0</v>
      </c>
      <c r="AE650">
        <f>indirect(address(650,30))+indirect(address(648,31))-indirect(address(649,31))</f>
        <v>0</v>
      </c>
      <c r="AF650">
        <f>indirect(address(650,31))+indirect(address(648,32))-indirect(address(649,32))</f>
        <v>0</v>
      </c>
      <c r="AG650">
        <f>indirect(address(650,32))+indirect(address(648,33))-indirect(address(649,33))</f>
        <v>0</v>
      </c>
      <c r="AH650">
        <f>indirect(address(650,33))+indirect(address(648,34))-indirect(address(649,34))</f>
        <v>0</v>
      </c>
      <c r="AI650">
        <f>indirect(address(650,34))+indirect(address(648,35))-indirect(address(649,35))</f>
        <v>0</v>
      </c>
      <c r="AJ650">
        <f>indirect(address(650,35))+indirect(address(648,36))-indirect(address(649,36))</f>
        <v>0</v>
      </c>
      <c r="AK650">
        <f>indirect(address(650,36))+indirect(address(648,37))-indirect(address(649,37))</f>
        <v>0</v>
      </c>
      <c r="AL650">
        <f>indirect(address(650,37))+indirect(address(648,38))-indirect(address(649,38))</f>
        <v>0</v>
      </c>
      <c r="AM650">
        <f>indirect(address(650,38))+indirect(address(648,39))-indirect(address(649,39))</f>
        <v>0</v>
      </c>
      <c r="AN650">
        <f>indirect(address(650,39))+indirect(address(648,40))-indirect(address(649,40))</f>
        <v>0</v>
      </c>
      <c r="AO650">
        <f>indirect(address(650,40))</f>
        <v>0</v>
      </c>
    </row>
    <row r="651" spans="1:41">
      <c r="A651" t="s">
        <v>17</v>
      </c>
      <c r="B651" t="s">
        <v>671</v>
      </c>
      <c r="C651" t="s">
        <v>672</v>
      </c>
      <c r="E651">
        <v>1</v>
      </c>
      <c r="F651" t="s">
        <v>13</v>
      </c>
      <c r="I651" t="s">
        <v>15</v>
      </c>
      <c r="J651">
        <f>vlookup("906-394000-210",B:AZ,column(i1),0)*e651</f>
        <v>0</v>
      </c>
      <c r="K651">
        <f>vlookup("906-394000-210",B:AZ,column(j1),0)*e651</f>
        <v>0</v>
      </c>
      <c r="L651">
        <f>vlookup("906-394000-210",B:AZ,column(k1),0)*e651</f>
        <v>0</v>
      </c>
      <c r="M651">
        <f>vlookup("906-394000-210",B:AZ,column(l1),0)*e651</f>
        <v>0</v>
      </c>
      <c r="N651">
        <f>vlookup("906-394000-210",B:AZ,column(m1),0)*e651</f>
        <v>0</v>
      </c>
      <c r="O651">
        <f>vlookup("906-394000-210",B:AZ,column(n1),0)*e651</f>
        <v>0</v>
      </c>
      <c r="P651">
        <f>vlookup("906-394000-210",B:AZ,column(o1),0)*e651</f>
        <v>0</v>
      </c>
      <c r="Q651">
        <f>vlookup("906-394000-210",B:AZ,column(p1),0)*e651</f>
        <v>0</v>
      </c>
      <c r="R651">
        <f>vlookup("906-394000-210",B:AZ,column(q1),0)*e651</f>
        <v>0</v>
      </c>
      <c r="S651">
        <f>vlookup("906-394000-210",B:AZ,column(r1),0)*e651</f>
        <v>0</v>
      </c>
      <c r="T651">
        <f>vlookup("906-394000-210",B:AZ,column(s1),0)*e651</f>
        <v>0</v>
      </c>
      <c r="U651">
        <f>vlookup("906-394000-210",B:AZ,column(t1),0)*e651</f>
        <v>0</v>
      </c>
      <c r="V651">
        <f>vlookup("906-394000-210",B:AZ,column(u1),0)*e651</f>
        <v>0</v>
      </c>
      <c r="W651">
        <f>vlookup("906-394000-210",B:AZ,column(v1),0)*e651</f>
        <v>0</v>
      </c>
      <c r="X651">
        <f>vlookup("906-394000-210",B:AZ,column(w1),0)*e651</f>
        <v>0</v>
      </c>
      <c r="Y651">
        <f>vlookup("906-394000-210",B:AZ,column(x1),0)*e651</f>
        <v>0</v>
      </c>
      <c r="Z651">
        <f>vlookup("906-394000-210",B:AZ,column(y1),0)*e651</f>
        <v>0</v>
      </c>
      <c r="AA651">
        <f>vlookup("906-394000-210",B:AZ,column(z1),0)*e651</f>
        <v>0</v>
      </c>
      <c r="AB651">
        <f>vlookup("906-394000-210",B:AZ,column(aa1),0)*e651</f>
        <v>0</v>
      </c>
      <c r="AC651">
        <f>vlookup("906-394000-210",B:AZ,column(ab1),0)*e651</f>
        <v>0</v>
      </c>
      <c r="AD651">
        <f>vlookup("906-394000-210",B:AZ,column(ac1),0)*e651</f>
        <v>0</v>
      </c>
      <c r="AE651">
        <f>vlookup("906-394000-210",B:AZ,column(ad1),0)*e651</f>
        <v>0</v>
      </c>
      <c r="AF651">
        <f>vlookup("906-394000-210",B:AZ,column(ae1),0)*e651</f>
        <v>0</v>
      </c>
      <c r="AG651">
        <f>vlookup("906-394000-210",B:AZ,column(af1),0)*e651</f>
        <v>0</v>
      </c>
      <c r="AH651">
        <f>vlookup("906-394000-210",B:AZ,column(ag1),0)*e651</f>
        <v>0</v>
      </c>
      <c r="AI651">
        <f>vlookup("906-394000-210",B:AZ,column(ah1),0)*e651</f>
        <v>0</v>
      </c>
      <c r="AJ651">
        <f>vlookup("906-394000-210",B:AZ,column(ai1),0)*e651</f>
        <v>0</v>
      </c>
      <c r="AK651">
        <f>vlookup("906-394000-210",B:AZ,column(aj1),0)*e651</f>
        <v>0</v>
      </c>
      <c r="AL651">
        <f>vlookup("906-394000-210",B:AZ,column(ak1),0)*e651</f>
        <v>0</v>
      </c>
      <c r="AM651">
        <f>vlookup("906-394000-210",B:AZ,column(al1),0)*e651</f>
        <v>0</v>
      </c>
      <c r="AN651">
        <f>vlookup("906-394000-210",B:AZ,column(am1),0)*e651</f>
        <v>0</v>
      </c>
      <c r="AO651">
        <f>vlookup("906-394000-210",B:AZ,column(an1),0)*e651</f>
        <v>0</v>
      </c>
    </row>
    <row r="652" spans="1:41">
      <c r="A652" t="s">
        <v>22</v>
      </c>
      <c r="B652" t="s">
        <v>673</v>
      </c>
      <c r="C652" t="s">
        <v>674</v>
      </c>
      <c r="E652">
        <v>1</v>
      </c>
      <c r="F652" t="s">
        <v>13</v>
      </c>
      <c r="I652" t="s">
        <v>15</v>
      </c>
      <c r="J652">
        <f>vlookup("906-394000-210",B:AZ,column(i1),0)*e652</f>
        <v>0</v>
      </c>
      <c r="K652">
        <f>vlookup("906-394000-210",B:AZ,column(j1),0)*e652</f>
        <v>0</v>
      </c>
      <c r="L652">
        <f>vlookup("906-394000-210",B:AZ,column(k1),0)*e652</f>
        <v>0</v>
      </c>
      <c r="M652">
        <f>vlookup("906-394000-210",B:AZ,column(l1),0)*e652</f>
        <v>0</v>
      </c>
      <c r="N652">
        <f>vlookup("906-394000-210",B:AZ,column(m1),0)*e652</f>
        <v>0</v>
      </c>
      <c r="O652">
        <f>vlookup("906-394000-210",B:AZ,column(n1),0)*e652</f>
        <v>0</v>
      </c>
      <c r="P652">
        <f>vlookup("906-394000-210",B:AZ,column(o1),0)*e652</f>
        <v>0</v>
      </c>
      <c r="Q652">
        <f>vlookup("906-394000-210",B:AZ,column(p1),0)*e652</f>
        <v>0</v>
      </c>
      <c r="R652">
        <f>vlookup("906-394000-210",B:AZ,column(q1),0)*e652</f>
        <v>0</v>
      </c>
      <c r="S652">
        <f>vlookup("906-394000-210",B:AZ,column(r1),0)*e652</f>
        <v>0</v>
      </c>
      <c r="T652">
        <f>vlookup("906-394000-210",B:AZ,column(s1),0)*e652</f>
        <v>0</v>
      </c>
      <c r="U652">
        <f>vlookup("906-394000-210",B:AZ,column(t1),0)*e652</f>
        <v>0</v>
      </c>
      <c r="V652">
        <f>vlookup("906-394000-210",B:AZ,column(u1),0)*e652</f>
        <v>0</v>
      </c>
      <c r="W652">
        <f>vlookup("906-394000-210",B:AZ,column(v1),0)*e652</f>
        <v>0</v>
      </c>
      <c r="X652">
        <f>vlookup("906-394000-210",B:AZ,column(w1),0)*e652</f>
        <v>0</v>
      </c>
      <c r="Y652">
        <f>vlookup("906-394000-210",B:AZ,column(x1),0)*e652</f>
        <v>0</v>
      </c>
      <c r="Z652">
        <f>vlookup("906-394000-210",B:AZ,column(y1),0)*e652</f>
        <v>0</v>
      </c>
      <c r="AA652">
        <f>vlookup("906-394000-210",B:AZ,column(z1),0)*e652</f>
        <v>0</v>
      </c>
      <c r="AB652">
        <f>vlookup("906-394000-210",B:AZ,column(aa1),0)*e652</f>
        <v>0</v>
      </c>
      <c r="AC652">
        <f>vlookup("906-394000-210",B:AZ,column(ab1),0)*e652</f>
        <v>0</v>
      </c>
      <c r="AD652">
        <f>vlookup("906-394000-210",B:AZ,column(ac1),0)*e652</f>
        <v>0</v>
      </c>
      <c r="AE652">
        <f>vlookup("906-394000-210",B:AZ,column(ad1),0)*e652</f>
        <v>0</v>
      </c>
      <c r="AF652">
        <f>vlookup("906-394000-210",B:AZ,column(ae1),0)*e652</f>
        <v>0</v>
      </c>
      <c r="AG652">
        <f>vlookup("906-394000-210",B:AZ,column(af1),0)*e652</f>
        <v>0</v>
      </c>
      <c r="AH652">
        <f>vlookup("906-394000-210",B:AZ,column(ag1),0)*e652</f>
        <v>0</v>
      </c>
      <c r="AI652">
        <f>vlookup("906-394000-210",B:AZ,column(ah1),0)*e652</f>
        <v>0</v>
      </c>
      <c r="AJ652">
        <f>vlookup("906-394000-210",B:AZ,column(ai1),0)*e652</f>
        <v>0</v>
      </c>
      <c r="AK652">
        <f>vlookup("906-394000-210",B:AZ,column(aj1),0)*e652</f>
        <v>0</v>
      </c>
      <c r="AL652">
        <f>vlookup("906-394000-210",B:AZ,column(ak1),0)*e652</f>
        <v>0</v>
      </c>
      <c r="AM652">
        <f>vlookup("906-394000-210",B:AZ,column(al1),0)*e652</f>
        <v>0</v>
      </c>
      <c r="AN652">
        <f>vlookup("906-394000-210",B:AZ,column(am1),0)*e652</f>
        <v>0</v>
      </c>
      <c r="AO652">
        <f>vlookup("906-394000-210",B:AZ,column(an1),0)*e652</f>
        <v>0</v>
      </c>
    </row>
    <row r="653" spans="1:41">
      <c r="A653" t="s">
        <v>22</v>
      </c>
      <c r="B653" t="s">
        <v>675</v>
      </c>
      <c r="C653" t="s">
        <v>676</v>
      </c>
      <c r="E653">
        <v>0.003</v>
      </c>
      <c r="F653" t="s">
        <v>13</v>
      </c>
      <c r="I653" t="s">
        <v>15</v>
      </c>
      <c r="J653">
        <f>vlookup("906-394000-210",B:AZ,column(i1),0)*e653</f>
        <v>0</v>
      </c>
      <c r="K653">
        <f>vlookup("906-394000-210",B:AZ,column(j1),0)*e653</f>
        <v>0</v>
      </c>
      <c r="L653">
        <f>vlookup("906-394000-210",B:AZ,column(k1),0)*e653</f>
        <v>0</v>
      </c>
      <c r="M653">
        <f>vlookup("906-394000-210",B:AZ,column(l1),0)*e653</f>
        <v>0</v>
      </c>
      <c r="N653">
        <f>vlookup("906-394000-210",B:AZ,column(m1),0)*e653</f>
        <v>0</v>
      </c>
      <c r="O653">
        <f>vlookup("906-394000-210",B:AZ,column(n1),0)*e653</f>
        <v>0</v>
      </c>
      <c r="P653">
        <f>vlookup("906-394000-210",B:AZ,column(o1),0)*e653</f>
        <v>0</v>
      </c>
      <c r="Q653">
        <f>vlookup("906-394000-210",B:AZ,column(p1),0)*e653</f>
        <v>0</v>
      </c>
      <c r="R653">
        <f>vlookup("906-394000-210",B:AZ,column(q1),0)*e653</f>
        <v>0</v>
      </c>
      <c r="S653">
        <f>vlookup("906-394000-210",B:AZ,column(r1),0)*e653</f>
        <v>0</v>
      </c>
      <c r="T653">
        <f>vlookup("906-394000-210",B:AZ,column(s1),0)*e653</f>
        <v>0</v>
      </c>
      <c r="U653">
        <f>vlookup("906-394000-210",B:AZ,column(t1),0)*e653</f>
        <v>0</v>
      </c>
      <c r="V653">
        <f>vlookup("906-394000-210",B:AZ,column(u1),0)*e653</f>
        <v>0</v>
      </c>
      <c r="W653">
        <f>vlookup("906-394000-210",B:AZ,column(v1),0)*e653</f>
        <v>0</v>
      </c>
      <c r="X653">
        <f>vlookup("906-394000-210",B:AZ,column(w1),0)*e653</f>
        <v>0</v>
      </c>
      <c r="Y653">
        <f>vlookup("906-394000-210",B:AZ,column(x1),0)*e653</f>
        <v>0</v>
      </c>
      <c r="Z653">
        <f>vlookup("906-394000-210",B:AZ,column(y1),0)*e653</f>
        <v>0</v>
      </c>
      <c r="AA653">
        <f>vlookup("906-394000-210",B:AZ,column(z1),0)*e653</f>
        <v>0</v>
      </c>
      <c r="AB653">
        <f>vlookup("906-394000-210",B:AZ,column(aa1),0)*e653</f>
        <v>0</v>
      </c>
      <c r="AC653">
        <f>vlookup("906-394000-210",B:AZ,column(ab1),0)*e653</f>
        <v>0</v>
      </c>
      <c r="AD653">
        <f>vlookup("906-394000-210",B:AZ,column(ac1),0)*e653</f>
        <v>0</v>
      </c>
      <c r="AE653">
        <f>vlookup("906-394000-210",B:AZ,column(ad1),0)*e653</f>
        <v>0</v>
      </c>
      <c r="AF653">
        <f>vlookup("906-394000-210",B:AZ,column(ae1),0)*e653</f>
        <v>0</v>
      </c>
      <c r="AG653">
        <f>vlookup("906-394000-210",B:AZ,column(af1),0)*e653</f>
        <v>0</v>
      </c>
      <c r="AH653">
        <f>vlookup("906-394000-210",B:AZ,column(ag1),0)*e653</f>
        <v>0</v>
      </c>
      <c r="AI653">
        <f>vlookup("906-394000-210",B:AZ,column(ah1),0)*e653</f>
        <v>0</v>
      </c>
      <c r="AJ653">
        <f>vlookup("906-394000-210",B:AZ,column(ai1),0)*e653</f>
        <v>0</v>
      </c>
      <c r="AK653">
        <f>vlookup("906-394000-210",B:AZ,column(aj1),0)*e653</f>
        <v>0</v>
      </c>
      <c r="AL653">
        <f>vlookup("906-394000-210",B:AZ,column(ak1),0)*e653</f>
        <v>0</v>
      </c>
      <c r="AM653">
        <f>vlookup("906-394000-210",B:AZ,column(al1),0)*e653</f>
        <v>0</v>
      </c>
      <c r="AN653">
        <f>vlookup("906-394000-210",B:AZ,column(am1),0)*e653</f>
        <v>0</v>
      </c>
      <c r="AO653">
        <f>vlookup("906-394000-210",B:AZ,column(an1),0)*e653</f>
        <v>0</v>
      </c>
    </row>
    <row r="654" spans="1:41">
      <c r="A654" t="s">
        <v>22</v>
      </c>
      <c r="B654" t="s">
        <v>677</v>
      </c>
      <c r="C654" t="s">
        <v>678</v>
      </c>
      <c r="E654">
        <v>0.003</v>
      </c>
      <c r="F654" t="s">
        <v>13</v>
      </c>
      <c r="I654" t="s">
        <v>15</v>
      </c>
      <c r="J654">
        <f>vlookup("906-394000-210",B:AZ,column(i1),0)*e654</f>
        <v>0</v>
      </c>
      <c r="K654">
        <f>vlookup("906-394000-210",B:AZ,column(j1),0)*e654</f>
        <v>0</v>
      </c>
      <c r="L654">
        <f>vlookup("906-394000-210",B:AZ,column(k1),0)*e654</f>
        <v>0</v>
      </c>
      <c r="M654">
        <f>vlookup("906-394000-210",B:AZ,column(l1),0)*e654</f>
        <v>0</v>
      </c>
      <c r="N654">
        <f>vlookup("906-394000-210",B:AZ,column(m1),0)*e654</f>
        <v>0</v>
      </c>
      <c r="O654">
        <f>vlookup("906-394000-210",B:AZ,column(n1),0)*e654</f>
        <v>0</v>
      </c>
      <c r="P654">
        <f>vlookup("906-394000-210",B:AZ,column(o1),0)*e654</f>
        <v>0</v>
      </c>
      <c r="Q654">
        <f>vlookup("906-394000-210",B:AZ,column(p1),0)*e654</f>
        <v>0</v>
      </c>
      <c r="R654">
        <f>vlookup("906-394000-210",B:AZ,column(q1),0)*e654</f>
        <v>0</v>
      </c>
      <c r="S654">
        <f>vlookup("906-394000-210",B:AZ,column(r1),0)*e654</f>
        <v>0</v>
      </c>
      <c r="T654">
        <f>vlookup("906-394000-210",B:AZ,column(s1),0)*e654</f>
        <v>0</v>
      </c>
      <c r="U654">
        <f>vlookup("906-394000-210",B:AZ,column(t1),0)*e654</f>
        <v>0</v>
      </c>
      <c r="V654">
        <f>vlookup("906-394000-210",B:AZ,column(u1),0)*e654</f>
        <v>0</v>
      </c>
      <c r="W654">
        <f>vlookup("906-394000-210",B:AZ,column(v1),0)*e654</f>
        <v>0</v>
      </c>
      <c r="X654">
        <f>vlookup("906-394000-210",B:AZ,column(w1),0)*e654</f>
        <v>0</v>
      </c>
      <c r="Y654">
        <f>vlookup("906-394000-210",B:AZ,column(x1),0)*e654</f>
        <v>0</v>
      </c>
      <c r="Z654">
        <f>vlookup("906-394000-210",B:AZ,column(y1),0)*e654</f>
        <v>0</v>
      </c>
      <c r="AA654">
        <f>vlookup("906-394000-210",B:AZ,column(z1),0)*e654</f>
        <v>0</v>
      </c>
      <c r="AB654">
        <f>vlookup("906-394000-210",B:AZ,column(aa1),0)*e654</f>
        <v>0</v>
      </c>
      <c r="AC654">
        <f>vlookup("906-394000-210",B:AZ,column(ab1),0)*e654</f>
        <v>0</v>
      </c>
      <c r="AD654">
        <f>vlookup("906-394000-210",B:AZ,column(ac1),0)*e654</f>
        <v>0</v>
      </c>
      <c r="AE654">
        <f>vlookup("906-394000-210",B:AZ,column(ad1),0)*e654</f>
        <v>0</v>
      </c>
      <c r="AF654">
        <f>vlookup("906-394000-210",B:AZ,column(ae1),0)*e654</f>
        <v>0</v>
      </c>
      <c r="AG654">
        <f>vlookup("906-394000-210",B:AZ,column(af1),0)*e654</f>
        <v>0</v>
      </c>
      <c r="AH654">
        <f>vlookup("906-394000-210",B:AZ,column(ag1),0)*e654</f>
        <v>0</v>
      </c>
      <c r="AI654">
        <f>vlookup("906-394000-210",B:AZ,column(ah1),0)*e654</f>
        <v>0</v>
      </c>
      <c r="AJ654">
        <f>vlookup("906-394000-210",B:AZ,column(ai1),0)*e654</f>
        <v>0</v>
      </c>
      <c r="AK654">
        <f>vlookup("906-394000-210",B:AZ,column(aj1),0)*e654</f>
        <v>0</v>
      </c>
      <c r="AL654">
        <f>vlookup("906-394000-210",B:AZ,column(ak1),0)*e654</f>
        <v>0</v>
      </c>
      <c r="AM654">
        <f>vlookup("906-394000-210",B:AZ,column(al1),0)*e654</f>
        <v>0</v>
      </c>
      <c r="AN654">
        <f>vlookup("906-394000-210",B:AZ,column(am1),0)*e654</f>
        <v>0</v>
      </c>
      <c r="AO654">
        <f>vlookup("906-394000-210",B:AZ,column(an1),0)*e654</f>
        <v>0</v>
      </c>
    </row>
    <row r="655" spans="1:41">
      <c r="A655" t="s">
        <v>43</v>
      </c>
      <c r="B655" t="s">
        <v>677</v>
      </c>
      <c r="C655" t="s">
        <v>678</v>
      </c>
      <c r="E655">
        <v>0.012987013</v>
      </c>
      <c r="F655" t="s">
        <v>13</v>
      </c>
      <c r="I655" t="s">
        <v>15</v>
      </c>
      <c r="J655">
        <f>vlookup("906-394000-210",B:AZ,column(i1),0)*e655</f>
        <v>0</v>
      </c>
      <c r="K655">
        <f>vlookup("906-394000-210",B:AZ,column(j1),0)*e655</f>
        <v>0</v>
      </c>
      <c r="L655">
        <f>vlookup("906-394000-210",B:AZ,column(k1),0)*e655</f>
        <v>0</v>
      </c>
      <c r="M655">
        <f>vlookup("906-394000-210",B:AZ,column(l1),0)*e655</f>
        <v>0</v>
      </c>
      <c r="N655">
        <f>vlookup("906-394000-210",B:AZ,column(m1),0)*e655</f>
        <v>0</v>
      </c>
      <c r="O655">
        <f>vlookup("906-394000-210",B:AZ,column(n1),0)*e655</f>
        <v>0</v>
      </c>
      <c r="P655">
        <f>vlookup("906-394000-210",B:AZ,column(o1),0)*e655</f>
        <v>0</v>
      </c>
      <c r="Q655">
        <f>vlookup("906-394000-210",B:AZ,column(p1),0)*e655</f>
        <v>0</v>
      </c>
      <c r="R655">
        <f>vlookup("906-394000-210",B:AZ,column(q1),0)*e655</f>
        <v>0</v>
      </c>
      <c r="S655">
        <f>vlookup("906-394000-210",B:AZ,column(r1),0)*e655</f>
        <v>0</v>
      </c>
      <c r="T655">
        <f>vlookup("906-394000-210",B:AZ,column(s1),0)*e655</f>
        <v>0</v>
      </c>
      <c r="U655">
        <f>vlookup("906-394000-210",B:AZ,column(t1),0)*e655</f>
        <v>0</v>
      </c>
      <c r="V655">
        <f>vlookup("906-394000-210",B:AZ,column(u1),0)*e655</f>
        <v>0</v>
      </c>
      <c r="W655">
        <f>vlookup("906-394000-210",B:AZ,column(v1),0)*e655</f>
        <v>0</v>
      </c>
      <c r="X655">
        <f>vlookup("906-394000-210",B:AZ,column(w1),0)*e655</f>
        <v>0</v>
      </c>
      <c r="Y655">
        <f>vlookup("906-394000-210",B:AZ,column(x1),0)*e655</f>
        <v>0</v>
      </c>
      <c r="Z655">
        <f>vlookup("906-394000-210",B:AZ,column(y1),0)*e655</f>
        <v>0</v>
      </c>
      <c r="AA655">
        <f>vlookup("906-394000-210",B:AZ,column(z1),0)*e655</f>
        <v>0</v>
      </c>
      <c r="AB655">
        <f>vlookup("906-394000-210",B:AZ,column(aa1),0)*e655</f>
        <v>0</v>
      </c>
      <c r="AC655">
        <f>vlookup("906-394000-210",B:AZ,column(ab1),0)*e655</f>
        <v>0</v>
      </c>
      <c r="AD655">
        <f>vlookup("906-394000-210",B:AZ,column(ac1),0)*e655</f>
        <v>0</v>
      </c>
      <c r="AE655">
        <f>vlookup("906-394000-210",B:AZ,column(ad1),0)*e655</f>
        <v>0</v>
      </c>
      <c r="AF655">
        <f>vlookup("906-394000-210",B:AZ,column(ae1),0)*e655</f>
        <v>0</v>
      </c>
      <c r="AG655">
        <f>vlookup("906-394000-210",B:AZ,column(af1),0)*e655</f>
        <v>0</v>
      </c>
      <c r="AH655">
        <f>vlookup("906-394000-210",B:AZ,column(ag1),0)*e655</f>
        <v>0</v>
      </c>
      <c r="AI655">
        <f>vlookup("906-394000-210",B:AZ,column(ah1),0)*e655</f>
        <v>0</v>
      </c>
      <c r="AJ655">
        <f>vlookup("906-394000-210",B:AZ,column(ai1),0)*e655</f>
        <v>0</v>
      </c>
      <c r="AK655">
        <f>vlookup("906-394000-210",B:AZ,column(aj1),0)*e655</f>
        <v>0</v>
      </c>
      <c r="AL655">
        <f>vlookup("906-394000-210",B:AZ,column(ak1),0)*e655</f>
        <v>0</v>
      </c>
      <c r="AM655">
        <f>vlookup("906-394000-210",B:AZ,column(al1),0)*e655</f>
        <v>0</v>
      </c>
      <c r="AN655">
        <f>vlookup("906-394000-210",B:AZ,column(am1),0)*e655</f>
        <v>0</v>
      </c>
      <c r="AO655">
        <f>vlookup("906-394000-210",B:AZ,column(an1),0)*e655</f>
        <v>0</v>
      </c>
    </row>
    <row r="656" spans="1:41">
      <c r="A656" t="s">
        <v>43</v>
      </c>
      <c r="B656" t="s">
        <v>677</v>
      </c>
      <c r="C656" t="s">
        <v>678</v>
      </c>
      <c r="E656">
        <v>0.012987013</v>
      </c>
      <c r="F656" t="s">
        <v>13</v>
      </c>
      <c r="I656" t="s">
        <v>15</v>
      </c>
      <c r="J656">
        <f>vlookup("906-394000-210",B:AZ,column(i1),0)*e656</f>
        <v>0</v>
      </c>
      <c r="K656">
        <f>vlookup("906-394000-210",B:AZ,column(j1),0)*e656</f>
        <v>0</v>
      </c>
      <c r="L656">
        <f>vlookup("906-394000-210",B:AZ,column(k1),0)*e656</f>
        <v>0</v>
      </c>
      <c r="M656">
        <f>vlookup("906-394000-210",B:AZ,column(l1),0)*e656</f>
        <v>0</v>
      </c>
      <c r="N656">
        <f>vlookup("906-394000-210",B:AZ,column(m1),0)*e656</f>
        <v>0</v>
      </c>
      <c r="O656">
        <f>vlookup("906-394000-210",B:AZ,column(n1),0)*e656</f>
        <v>0</v>
      </c>
      <c r="P656">
        <f>vlookup("906-394000-210",B:AZ,column(o1),0)*e656</f>
        <v>0</v>
      </c>
      <c r="Q656">
        <f>vlookup("906-394000-210",B:AZ,column(p1),0)*e656</f>
        <v>0</v>
      </c>
      <c r="R656">
        <f>vlookup("906-394000-210",B:AZ,column(q1),0)*e656</f>
        <v>0</v>
      </c>
      <c r="S656">
        <f>vlookup("906-394000-210",B:AZ,column(r1),0)*e656</f>
        <v>0</v>
      </c>
      <c r="T656">
        <f>vlookup("906-394000-210",B:AZ,column(s1),0)*e656</f>
        <v>0</v>
      </c>
      <c r="U656">
        <f>vlookup("906-394000-210",B:AZ,column(t1),0)*e656</f>
        <v>0</v>
      </c>
      <c r="V656">
        <f>vlookup("906-394000-210",B:AZ,column(u1),0)*e656</f>
        <v>0</v>
      </c>
      <c r="W656">
        <f>vlookup("906-394000-210",B:AZ,column(v1),0)*e656</f>
        <v>0</v>
      </c>
      <c r="X656">
        <f>vlookup("906-394000-210",B:AZ,column(w1),0)*e656</f>
        <v>0</v>
      </c>
      <c r="Y656">
        <f>vlookup("906-394000-210",B:AZ,column(x1),0)*e656</f>
        <v>0</v>
      </c>
      <c r="Z656">
        <f>vlookup("906-394000-210",B:AZ,column(y1),0)*e656</f>
        <v>0</v>
      </c>
      <c r="AA656">
        <f>vlookup("906-394000-210",B:AZ,column(z1),0)*e656</f>
        <v>0</v>
      </c>
      <c r="AB656">
        <f>vlookup("906-394000-210",B:AZ,column(aa1),0)*e656</f>
        <v>0</v>
      </c>
      <c r="AC656">
        <f>vlookup("906-394000-210",B:AZ,column(ab1),0)*e656</f>
        <v>0</v>
      </c>
      <c r="AD656">
        <f>vlookup("906-394000-210",B:AZ,column(ac1),0)*e656</f>
        <v>0</v>
      </c>
      <c r="AE656">
        <f>vlookup("906-394000-210",B:AZ,column(ad1),0)*e656</f>
        <v>0</v>
      </c>
      <c r="AF656">
        <f>vlookup("906-394000-210",B:AZ,column(ae1),0)*e656</f>
        <v>0</v>
      </c>
      <c r="AG656">
        <f>vlookup("906-394000-210",B:AZ,column(af1),0)*e656</f>
        <v>0</v>
      </c>
      <c r="AH656">
        <f>vlookup("906-394000-210",B:AZ,column(ag1),0)*e656</f>
        <v>0</v>
      </c>
      <c r="AI656">
        <f>vlookup("906-394000-210",B:AZ,column(ah1),0)*e656</f>
        <v>0</v>
      </c>
      <c r="AJ656">
        <f>vlookup("906-394000-210",B:AZ,column(ai1),0)*e656</f>
        <v>0</v>
      </c>
      <c r="AK656">
        <f>vlookup("906-394000-210",B:AZ,column(aj1),0)*e656</f>
        <v>0</v>
      </c>
      <c r="AL656">
        <f>vlookup("906-394000-210",B:AZ,column(ak1),0)*e656</f>
        <v>0</v>
      </c>
      <c r="AM656">
        <f>vlookup("906-394000-210",B:AZ,column(al1),0)*e656</f>
        <v>0</v>
      </c>
      <c r="AN656">
        <f>vlookup("906-394000-210",B:AZ,column(am1),0)*e656</f>
        <v>0</v>
      </c>
      <c r="AO656">
        <f>vlookup("906-394000-210",B:AZ,column(an1),0)*e656</f>
        <v>0</v>
      </c>
    </row>
    <row r="657" spans="1:41">
      <c r="A657" t="s">
        <v>10</v>
      </c>
      <c r="B657" t="s">
        <v>677</v>
      </c>
      <c r="C657" t="s">
        <v>679</v>
      </c>
      <c r="E657">
        <v>1</v>
      </c>
      <c r="F657" t="s">
        <v>13</v>
      </c>
      <c r="I657" t="s">
        <v>14</v>
      </c>
      <c r="AO657">
        <f>sum(j657:an657)</f>
        <v>0</v>
      </c>
    </row>
    <row r="658" spans="1:41">
      <c r="I658" t="s">
        <v>15</v>
      </c>
      <c r="J658">
        <f>vlookup("211-020200-000",Out!B:AZ,column(i1),0)</f>
        <v>0</v>
      </c>
      <c r="K658">
        <f>vlookup("211-020200-000",Out!B:AZ,column(j1),0)</f>
        <v>0</v>
      </c>
      <c r="L658">
        <f>vlookup("211-020200-000",Out!B:AZ,column(k1),0)</f>
        <v>0</v>
      </c>
      <c r="M658">
        <f>vlookup("211-020200-000",Out!B:AZ,column(l1),0)</f>
        <v>0</v>
      </c>
      <c r="N658">
        <f>vlookup("211-020200-000",Out!B:AZ,column(m1),0)</f>
        <v>0</v>
      </c>
      <c r="O658">
        <f>vlookup("211-020200-000",Out!B:AZ,column(n1),0)</f>
        <v>0</v>
      </c>
      <c r="P658">
        <f>vlookup("211-020200-000",Out!B:AZ,column(o1),0)</f>
        <v>0</v>
      </c>
      <c r="Q658">
        <f>vlookup("211-020200-000",Out!B:AZ,column(p1),0)</f>
        <v>0</v>
      </c>
      <c r="R658">
        <f>vlookup("211-020200-000",Out!B:AZ,column(q1),0)</f>
        <v>0</v>
      </c>
      <c r="S658">
        <f>vlookup("211-020200-000",Out!B:AZ,column(r1),0)</f>
        <v>0</v>
      </c>
      <c r="T658">
        <f>vlookup("211-020200-000",Out!B:AZ,column(s1),0)</f>
        <v>0</v>
      </c>
      <c r="U658">
        <f>vlookup("211-020200-000",Out!B:AZ,column(t1),0)</f>
        <v>0</v>
      </c>
      <c r="V658">
        <f>vlookup("211-020200-000",Out!B:AZ,column(u1),0)</f>
        <v>0</v>
      </c>
      <c r="W658">
        <f>vlookup("211-020200-000",Out!B:AZ,column(v1),0)</f>
        <v>0</v>
      </c>
      <c r="X658">
        <f>vlookup("211-020200-000",Out!B:AZ,column(w1),0)</f>
        <v>0</v>
      </c>
      <c r="Y658">
        <f>vlookup("211-020200-000",Out!B:AZ,column(x1),0)</f>
        <v>0</v>
      </c>
      <c r="Z658">
        <f>vlookup("211-020200-000",Out!B:AZ,column(y1),0)</f>
        <v>0</v>
      </c>
      <c r="AA658">
        <f>vlookup("211-020200-000",Out!B:AZ,column(z1),0)</f>
        <v>0</v>
      </c>
      <c r="AB658">
        <f>vlookup("211-020200-000",Out!B:AZ,column(aa1),0)</f>
        <v>0</v>
      </c>
      <c r="AC658">
        <f>vlookup("211-020200-000",Out!B:AZ,column(ab1),0)</f>
        <v>0</v>
      </c>
      <c r="AD658">
        <f>vlookup("211-020200-000",Out!B:AZ,column(ac1),0)</f>
        <v>0</v>
      </c>
      <c r="AE658">
        <f>vlookup("211-020200-000",Out!B:AZ,column(ad1),0)</f>
        <v>0</v>
      </c>
      <c r="AF658">
        <f>vlookup("211-020200-000",Out!B:AZ,column(ae1),0)</f>
        <v>0</v>
      </c>
      <c r="AG658">
        <f>vlookup("211-020200-000",Out!B:AZ,column(af1),0)</f>
        <v>0</v>
      </c>
      <c r="AH658">
        <f>vlookup("211-020200-000",Out!B:AZ,column(ag1),0)</f>
        <v>0</v>
      </c>
      <c r="AI658">
        <f>vlookup("211-020200-000",Out!B:AZ,column(ah1),0)</f>
        <v>0</v>
      </c>
      <c r="AJ658">
        <f>vlookup("211-020200-000",Out!B:AZ,column(ai1),0)</f>
        <v>0</v>
      </c>
      <c r="AK658">
        <f>vlookup("211-020200-000",Out!B:AZ,column(aj1),0)</f>
        <v>0</v>
      </c>
      <c r="AL658">
        <f>vlookup("211-020200-000",Out!B:AZ,column(ak1),0)</f>
        <v>0</v>
      </c>
      <c r="AM658">
        <f>vlookup("211-020200-000",Out!B:AZ,column(al1),0)</f>
        <v>0</v>
      </c>
      <c r="AN658">
        <f>vlookup("211-020200-000",Out!B:AZ,column(am1),0)</f>
        <v>0</v>
      </c>
      <c r="AO658">
        <f>vlookup("211-020200-000",Out!B:AZ,column(an1),0)</f>
        <v>0</v>
      </c>
    </row>
    <row r="659" spans="1:41">
      <c r="H659" t="s">
        <v>16</v>
      </c>
      <c r="J659">
        <f>indirect(address(659,9))+indirect(address(657,10))-indirect(address(658,10))</f>
        <v>0</v>
      </c>
      <c r="K659">
        <f>indirect(address(659,10))+indirect(address(657,11))-indirect(address(658,11))</f>
        <v>0</v>
      </c>
      <c r="L659">
        <f>indirect(address(659,11))+indirect(address(657,12))-indirect(address(658,12))</f>
        <v>0</v>
      </c>
      <c r="M659">
        <f>indirect(address(659,12))+indirect(address(657,13))-indirect(address(658,13))</f>
        <v>0</v>
      </c>
      <c r="N659">
        <f>indirect(address(659,13))+indirect(address(657,14))-indirect(address(658,14))</f>
        <v>0</v>
      </c>
      <c r="O659">
        <f>indirect(address(659,14))+indirect(address(657,15))-indirect(address(658,15))</f>
        <v>0</v>
      </c>
      <c r="P659">
        <f>indirect(address(659,15))+indirect(address(657,16))-indirect(address(658,16))</f>
        <v>0</v>
      </c>
      <c r="Q659">
        <f>indirect(address(659,16))+indirect(address(657,17))-indirect(address(658,17))</f>
        <v>0</v>
      </c>
      <c r="R659">
        <f>indirect(address(659,17))+indirect(address(657,18))-indirect(address(658,18))</f>
        <v>0</v>
      </c>
      <c r="S659">
        <f>indirect(address(659,18))+indirect(address(657,19))-indirect(address(658,19))</f>
        <v>0</v>
      </c>
      <c r="T659">
        <f>indirect(address(659,19))+indirect(address(657,20))-indirect(address(658,20))</f>
        <v>0</v>
      </c>
      <c r="U659">
        <f>indirect(address(659,20))+indirect(address(657,21))-indirect(address(658,21))</f>
        <v>0</v>
      </c>
      <c r="V659">
        <f>indirect(address(659,21))+indirect(address(657,22))-indirect(address(658,22))</f>
        <v>0</v>
      </c>
      <c r="W659">
        <f>indirect(address(659,22))+indirect(address(657,23))-indirect(address(658,23))</f>
        <v>0</v>
      </c>
      <c r="X659">
        <f>indirect(address(659,23))+indirect(address(657,24))-indirect(address(658,24))</f>
        <v>0</v>
      </c>
      <c r="Y659">
        <f>indirect(address(659,24))+indirect(address(657,25))-indirect(address(658,25))</f>
        <v>0</v>
      </c>
      <c r="Z659">
        <f>indirect(address(659,25))+indirect(address(657,26))-indirect(address(658,26))</f>
        <v>0</v>
      </c>
      <c r="AA659">
        <f>indirect(address(659,26))+indirect(address(657,27))-indirect(address(658,27))</f>
        <v>0</v>
      </c>
      <c r="AB659">
        <f>indirect(address(659,27))+indirect(address(657,28))-indirect(address(658,28))</f>
        <v>0</v>
      </c>
      <c r="AC659">
        <f>indirect(address(659,28))+indirect(address(657,29))-indirect(address(658,29))</f>
        <v>0</v>
      </c>
      <c r="AD659">
        <f>indirect(address(659,29))+indirect(address(657,30))-indirect(address(658,30))</f>
        <v>0</v>
      </c>
      <c r="AE659">
        <f>indirect(address(659,30))+indirect(address(657,31))-indirect(address(658,31))</f>
        <v>0</v>
      </c>
      <c r="AF659">
        <f>indirect(address(659,31))+indirect(address(657,32))-indirect(address(658,32))</f>
        <v>0</v>
      </c>
      <c r="AG659">
        <f>indirect(address(659,32))+indirect(address(657,33))-indirect(address(658,33))</f>
        <v>0</v>
      </c>
      <c r="AH659">
        <f>indirect(address(659,33))+indirect(address(657,34))-indirect(address(658,34))</f>
        <v>0</v>
      </c>
      <c r="AI659">
        <f>indirect(address(659,34))+indirect(address(657,35))-indirect(address(658,35))</f>
        <v>0</v>
      </c>
      <c r="AJ659">
        <f>indirect(address(659,35))+indirect(address(657,36))-indirect(address(658,36))</f>
        <v>0</v>
      </c>
      <c r="AK659">
        <f>indirect(address(659,36))+indirect(address(657,37))-indirect(address(658,37))</f>
        <v>0</v>
      </c>
      <c r="AL659">
        <f>indirect(address(659,37))+indirect(address(657,38))-indirect(address(658,38))</f>
        <v>0</v>
      </c>
      <c r="AM659">
        <f>indirect(address(659,38))+indirect(address(657,39))-indirect(address(658,39))</f>
        <v>0</v>
      </c>
      <c r="AN659">
        <f>indirect(address(659,39))+indirect(address(657,40))-indirect(address(658,40))</f>
        <v>0</v>
      </c>
      <c r="AO659">
        <f>indirect(address(659,40))</f>
        <v>0</v>
      </c>
    </row>
    <row r="660" spans="1:41">
      <c r="A660" t="s">
        <v>22</v>
      </c>
      <c r="B660" t="s">
        <v>677</v>
      </c>
      <c r="C660" t="s">
        <v>680</v>
      </c>
      <c r="E660">
        <v>1</v>
      </c>
      <c r="F660" t="s">
        <v>13</v>
      </c>
      <c r="I660" t="s">
        <v>15</v>
      </c>
      <c r="J660">
        <f>vlookup("211-020200-000",B:AZ,column(i1),0)*e660</f>
        <v>0</v>
      </c>
      <c r="K660">
        <f>vlookup("211-020200-000",B:AZ,column(j1),0)*e660</f>
        <v>0</v>
      </c>
      <c r="L660">
        <f>vlookup("211-020200-000",B:AZ,column(k1),0)*e660</f>
        <v>0</v>
      </c>
      <c r="M660">
        <f>vlookup("211-020200-000",B:AZ,column(l1),0)*e660</f>
        <v>0</v>
      </c>
      <c r="N660">
        <f>vlookup("211-020200-000",B:AZ,column(m1),0)*e660</f>
        <v>0</v>
      </c>
      <c r="O660">
        <f>vlookup("211-020200-000",B:AZ,column(n1),0)*e660</f>
        <v>0</v>
      </c>
      <c r="P660">
        <f>vlookup("211-020200-000",B:AZ,column(o1),0)*e660</f>
        <v>0</v>
      </c>
      <c r="Q660">
        <f>vlookup("211-020200-000",B:AZ,column(p1),0)*e660</f>
        <v>0</v>
      </c>
      <c r="R660">
        <f>vlookup("211-020200-000",B:AZ,column(q1),0)*e660</f>
        <v>0</v>
      </c>
      <c r="S660">
        <f>vlookup("211-020200-000",B:AZ,column(r1),0)*e660</f>
        <v>0</v>
      </c>
      <c r="T660">
        <f>vlookup("211-020200-000",B:AZ,column(s1),0)*e660</f>
        <v>0</v>
      </c>
      <c r="U660">
        <f>vlookup("211-020200-000",B:AZ,column(t1),0)*e660</f>
        <v>0</v>
      </c>
      <c r="V660">
        <f>vlookup("211-020200-000",B:AZ,column(u1),0)*e660</f>
        <v>0</v>
      </c>
      <c r="W660">
        <f>vlookup("211-020200-000",B:AZ,column(v1),0)*e660</f>
        <v>0</v>
      </c>
      <c r="X660">
        <f>vlookup("211-020200-000",B:AZ,column(w1),0)*e660</f>
        <v>0</v>
      </c>
      <c r="Y660">
        <f>vlookup("211-020200-000",B:AZ,column(x1),0)*e660</f>
        <v>0</v>
      </c>
      <c r="Z660">
        <f>vlookup("211-020200-000",B:AZ,column(y1),0)*e660</f>
        <v>0</v>
      </c>
      <c r="AA660">
        <f>vlookup("211-020200-000",B:AZ,column(z1),0)*e660</f>
        <v>0</v>
      </c>
      <c r="AB660">
        <f>vlookup("211-020200-000",B:AZ,column(aa1),0)*e660</f>
        <v>0</v>
      </c>
      <c r="AC660">
        <f>vlookup("211-020200-000",B:AZ,column(ab1),0)*e660</f>
        <v>0</v>
      </c>
      <c r="AD660">
        <f>vlookup("211-020200-000",B:AZ,column(ac1),0)*e660</f>
        <v>0</v>
      </c>
      <c r="AE660">
        <f>vlookup("211-020200-000",B:AZ,column(ad1),0)*e660</f>
        <v>0</v>
      </c>
      <c r="AF660">
        <f>vlookup("211-020200-000",B:AZ,column(ae1),0)*e660</f>
        <v>0</v>
      </c>
      <c r="AG660">
        <f>vlookup("211-020200-000",B:AZ,column(af1),0)*e660</f>
        <v>0</v>
      </c>
      <c r="AH660">
        <f>vlookup("211-020200-000",B:AZ,column(ag1),0)*e660</f>
        <v>0</v>
      </c>
      <c r="AI660">
        <f>vlookup("211-020200-000",B:AZ,column(ah1),0)*e660</f>
        <v>0</v>
      </c>
      <c r="AJ660">
        <f>vlookup("211-020200-000",B:AZ,column(ai1),0)*e660</f>
        <v>0</v>
      </c>
      <c r="AK660">
        <f>vlookup("211-020200-000",B:AZ,column(aj1),0)*e660</f>
        <v>0</v>
      </c>
      <c r="AL660">
        <f>vlookup("211-020200-000",B:AZ,column(ak1),0)*e660</f>
        <v>0</v>
      </c>
      <c r="AM660">
        <f>vlookup("211-020200-000",B:AZ,column(al1),0)*e660</f>
        <v>0</v>
      </c>
      <c r="AN660">
        <f>vlookup("211-020200-000",B:AZ,column(am1),0)*e660</f>
        <v>0</v>
      </c>
      <c r="AO660">
        <f>vlookup("211-020200-000",B:AZ,column(an1),0)*e660</f>
        <v>0</v>
      </c>
    </row>
    <row r="661" spans="1:41">
      <c r="A661" t="s">
        <v>10</v>
      </c>
      <c r="B661" t="s">
        <v>681</v>
      </c>
      <c r="C661" t="s">
        <v>682</v>
      </c>
      <c r="E661">
        <v>1</v>
      </c>
      <c r="F661" t="s">
        <v>13</v>
      </c>
      <c r="I661" t="s">
        <v>14</v>
      </c>
      <c r="AO661">
        <f>sum(j661:an661)</f>
        <v>0</v>
      </c>
    </row>
    <row r="662" spans="1:41">
      <c r="I662" t="s">
        <v>15</v>
      </c>
      <c r="J662">
        <f>vlookup("906-094000-210",Out!B:AZ,column(i1),0)</f>
        <v>0</v>
      </c>
      <c r="K662">
        <f>vlookup("906-094000-210",Out!B:AZ,column(j1),0)</f>
        <v>0</v>
      </c>
      <c r="L662">
        <f>vlookup("906-094000-210",Out!B:AZ,column(k1),0)</f>
        <v>0</v>
      </c>
      <c r="M662">
        <f>vlookup("906-094000-210",Out!B:AZ,column(l1),0)</f>
        <v>0</v>
      </c>
      <c r="N662">
        <f>vlookup("906-094000-210",Out!B:AZ,column(m1),0)</f>
        <v>0</v>
      </c>
      <c r="O662">
        <f>vlookup("906-094000-210",Out!B:AZ,column(n1),0)</f>
        <v>0</v>
      </c>
      <c r="P662">
        <f>vlookup("906-094000-210",Out!B:AZ,column(o1),0)</f>
        <v>0</v>
      </c>
      <c r="Q662">
        <f>vlookup("906-094000-210",Out!B:AZ,column(p1),0)</f>
        <v>0</v>
      </c>
      <c r="R662">
        <f>vlookup("906-094000-210",Out!B:AZ,column(q1),0)</f>
        <v>0</v>
      </c>
      <c r="S662">
        <f>vlookup("906-094000-210",Out!B:AZ,column(r1),0)</f>
        <v>0</v>
      </c>
      <c r="T662">
        <f>vlookup("906-094000-210",Out!B:AZ,column(s1),0)</f>
        <v>0</v>
      </c>
      <c r="U662">
        <f>vlookup("906-094000-210",Out!B:AZ,column(t1),0)</f>
        <v>0</v>
      </c>
      <c r="V662">
        <f>vlookup("906-094000-210",Out!B:AZ,column(u1),0)</f>
        <v>0</v>
      </c>
      <c r="W662">
        <f>vlookup("906-094000-210",Out!B:AZ,column(v1),0)</f>
        <v>0</v>
      </c>
      <c r="X662">
        <f>vlookup("906-094000-210",Out!B:AZ,column(w1),0)</f>
        <v>0</v>
      </c>
      <c r="Y662">
        <f>vlookup("906-094000-210",Out!B:AZ,column(x1),0)</f>
        <v>0</v>
      </c>
      <c r="Z662">
        <f>vlookup("906-094000-210",Out!B:AZ,column(y1),0)</f>
        <v>0</v>
      </c>
      <c r="AA662">
        <f>vlookup("906-094000-210",Out!B:AZ,column(z1),0)</f>
        <v>0</v>
      </c>
      <c r="AB662">
        <f>vlookup("906-094000-210",Out!B:AZ,column(aa1),0)</f>
        <v>0</v>
      </c>
      <c r="AC662">
        <f>vlookup("906-094000-210",Out!B:AZ,column(ab1),0)</f>
        <v>0</v>
      </c>
      <c r="AD662">
        <f>vlookup("906-094000-210",Out!B:AZ,column(ac1),0)</f>
        <v>0</v>
      </c>
      <c r="AE662">
        <f>vlookup("906-094000-210",Out!B:AZ,column(ad1),0)</f>
        <v>0</v>
      </c>
      <c r="AF662">
        <f>vlookup("906-094000-210",Out!B:AZ,column(ae1),0)</f>
        <v>0</v>
      </c>
      <c r="AG662">
        <f>vlookup("906-094000-210",Out!B:AZ,column(af1),0)</f>
        <v>0</v>
      </c>
      <c r="AH662">
        <f>vlookup("906-094000-210",Out!B:AZ,column(ag1),0)</f>
        <v>0</v>
      </c>
      <c r="AI662">
        <f>vlookup("906-094000-210",Out!B:AZ,column(ah1),0)</f>
        <v>0</v>
      </c>
      <c r="AJ662">
        <f>vlookup("906-094000-210",Out!B:AZ,column(ai1),0)</f>
        <v>0</v>
      </c>
      <c r="AK662">
        <f>vlookup("906-094000-210",Out!B:AZ,column(aj1),0)</f>
        <v>0</v>
      </c>
      <c r="AL662">
        <f>vlookup("906-094000-210",Out!B:AZ,column(ak1),0)</f>
        <v>0</v>
      </c>
      <c r="AM662">
        <f>vlookup("906-094000-210",Out!B:AZ,column(al1),0)</f>
        <v>0</v>
      </c>
      <c r="AN662">
        <f>vlookup("906-094000-210",Out!B:AZ,column(am1),0)</f>
        <v>0</v>
      </c>
      <c r="AO662">
        <f>vlookup("906-094000-210",Out!B:AZ,column(an1),0)</f>
        <v>0</v>
      </c>
    </row>
    <row r="663" spans="1:41">
      <c r="H663" t="s">
        <v>16</v>
      </c>
      <c r="J663">
        <f>indirect(address(663,9))+indirect(address(661,10))-indirect(address(662,10))</f>
        <v>0</v>
      </c>
      <c r="K663">
        <f>indirect(address(663,10))+indirect(address(661,11))-indirect(address(662,11))</f>
        <v>0</v>
      </c>
      <c r="L663">
        <f>indirect(address(663,11))+indirect(address(661,12))-indirect(address(662,12))</f>
        <v>0</v>
      </c>
      <c r="M663">
        <f>indirect(address(663,12))+indirect(address(661,13))-indirect(address(662,13))</f>
        <v>0</v>
      </c>
      <c r="N663">
        <f>indirect(address(663,13))+indirect(address(661,14))-indirect(address(662,14))</f>
        <v>0</v>
      </c>
      <c r="O663">
        <f>indirect(address(663,14))+indirect(address(661,15))-indirect(address(662,15))</f>
        <v>0</v>
      </c>
      <c r="P663">
        <f>indirect(address(663,15))+indirect(address(661,16))-indirect(address(662,16))</f>
        <v>0</v>
      </c>
      <c r="Q663">
        <f>indirect(address(663,16))+indirect(address(661,17))-indirect(address(662,17))</f>
        <v>0</v>
      </c>
      <c r="R663">
        <f>indirect(address(663,17))+indirect(address(661,18))-indirect(address(662,18))</f>
        <v>0</v>
      </c>
      <c r="S663">
        <f>indirect(address(663,18))+indirect(address(661,19))-indirect(address(662,19))</f>
        <v>0</v>
      </c>
      <c r="T663">
        <f>indirect(address(663,19))+indirect(address(661,20))-indirect(address(662,20))</f>
        <v>0</v>
      </c>
      <c r="U663">
        <f>indirect(address(663,20))+indirect(address(661,21))-indirect(address(662,21))</f>
        <v>0</v>
      </c>
      <c r="V663">
        <f>indirect(address(663,21))+indirect(address(661,22))-indirect(address(662,22))</f>
        <v>0</v>
      </c>
      <c r="W663">
        <f>indirect(address(663,22))+indirect(address(661,23))-indirect(address(662,23))</f>
        <v>0</v>
      </c>
      <c r="X663">
        <f>indirect(address(663,23))+indirect(address(661,24))-indirect(address(662,24))</f>
        <v>0</v>
      </c>
      <c r="Y663">
        <f>indirect(address(663,24))+indirect(address(661,25))-indirect(address(662,25))</f>
        <v>0</v>
      </c>
      <c r="Z663">
        <f>indirect(address(663,25))+indirect(address(661,26))-indirect(address(662,26))</f>
        <v>0</v>
      </c>
      <c r="AA663">
        <f>indirect(address(663,26))+indirect(address(661,27))-indirect(address(662,27))</f>
        <v>0</v>
      </c>
      <c r="AB663">
        <f>indirect(address(663,27))+indirect(address(661,28))-indirect(address(662,28))</f>
        <v>0</v>
      </c>
      <c r="AC663">
        <f>indirect(address(663,28))+indirect(address(661,29))-indirect(address(662,29))</f>
        <v>0</v>
      </c>
      <c r="AD663">
        <f>indirect(address(663,29))+indirect(address(661,30))-indirect(address(662,30))</f>
        <v>0</v>
      </c>
      <c r="AE663">
        <f>indirect(address(663,30))+indirect(address(661,31))-indirect(address(662,31))</f>
        <v>0</v>
      </c>
      <c r="AF663">
        <f>indirect(address(663,31))+indirect(address(661,32))-indirect(address(662,32))</f>
        <v>0</v>
      </c>
      <c r="AG663">
        <f>indirect(address(663,32))+indirect(address(661,33))-indirect(address(662,33))</f>
        <v>0</v>
      </c>
      <c r="AH663">
        <f>indirect(address(663,33))+indirect(address(661,34))-indirect(address(662,34))</f>
        <v>0</v>
      </c>
      <c r="AI663">
        <f>indirect(address(663,34))+indirect(address(661,35))-indirect(address(662,35))</f>
        <v>0</v>
      </c>
      <c r="AJ663">
        <f>indirect(address(663,35))+indirect(address(661,36))-indirect(address(662,36))</f>
        <v>0</v>
      </c>
      <c r="AK663">
        <f>indirect(address(663,36))+indirect(address(661,37))-indirect(address(662,37))</f>
        <v>0</v>
      </c>
      <c r="AL663">
        <f>indirect(address(663,37))+indirect(address(661,38))-indirect(address(662,38))</f>
        <v>0</v>
      </c>
      <c r="AM663">
        <f>indirect(address(663,38))+indirect(address(661,39))-indirect(address(662,39))</f>
        <v>0</v>
      </c>
      <c r="AN663">
        <f>indirect(address(663,39))+indirect(address(661,40))-indirect(address(662,40))</f>
        <v>0</v>
      </c>
      <c r="AO663">
        <f>indirect(address(663,40))</f>
        <v>0</v>
      </c>
    </row>
    <row r="664" spans="1:41">
      <c r="A664" t="s">
        <v>17</v>
      </c>
      <c r="B664" t="s">
        <v>683</v>
      </c>
      <c r="C664" t="s">
        <v>684</v>
      </c>
      <c r="E664">
        <v>1</v>
      </c>
      <c r="F664" t="s">
        <v>13</v>
      </c>
      <c r="I664" t="s">
        <v>15</v>
      </c>
      <c r="J664">
        <f>vlookup("906-094000-210",B:AZ,column(i1),0)*e664</f>
        <v>0</v>
      </c>
      <c r="K664">
        <f>vlookup("906-094000-210",B:AZ,column(j1),0)*e664</f>
        <v>0</v>
      </c>
      <c r="L664">
        <f>vlookup("906-094000-210",B:AZ,column(k1),0)*e664</f>
        <v>0</v>
      </c>
      <c r="M664">
        <f>vlookup("906-094000-210",B:AZ,column(l1),0)*e664</f>
        <v>0</v>
      </c>
      <c r="N664">
        <f>vlookup("906-094000-210",B:AZ,column(m1),0)*e664</f>
        <v>0</v>
      </c>
      <c r="O664">
        <f>vlookup("906-094000-210",B:AZ,column(n1),0)*e664</f>
        <v>0</v>
      </c>
      <c r="P664">
        <f>vlookup("906-094000-210",B:AZ,column(o1),0)*e664</f>
        <v>0</v>
      </c>
      <c r="Q664">
        <f>vlookup("906-094000-210",B:AZ,column(p1),0)*e664</f>
        <v>0</v>
      </c>
      <c r="R664">
        <f>vlookup("906-094000-210",B:AZ,column(q1),0)*e664</f>
        <v>0</v>
      </c>
      <c r="S664">
        <f>vlookup("906-094000-210",B:AZ,column(r1),0)*e664</f>
        <v>0</v>
      </c>
      <c r="T664">
        <f>vlookup("906-094000-210",B:AZ,column(s1),0)*e664</f>
        <v>0</v>
      </c>
      <c r="U664">
        <f>vlookup("906-094000-210",B:AZ,column(t1),0)*e664</f>
        <v>0</v>
      </c>
      <c r="V664">
        <f>vlookup("906-094000-210",B:AZ,column(u1),0)*e664</f>
        <v>0</v>
      </c>
      <c r="W664">
        <f>vlookup("906-094000-210",B:AZ,column(v1),0)*e664</f>
        <v>0</v>
      </c>
      <c r="X664">
        <f>vlookup("906-094000-210",B:AZ,column(w1),0)*e664</f>
        <v>0</v>
      </c>
      <c r="Y664">
        <f>vlookup("906-094000-210",B:AZ,column(x1),0)*e664</f>
        <v>0</v>
      </c>
      <c r="Z664">
        <f>vlookup("906-094000-210",B:AZ,column(y1),0)*e664</f>
        <v>0</v>
      </c>
      <c r="AA664">
        <f>vlookup("906-094000-210",B:AZ,column(z1),0)*e664</f>
        <v>0</v>
      </c>
      <c r="AB664">
        <f>vlookup("906-094000-210",B:AZ,column(aa1),0)*e664</f>
        <v>0</v>
      </c>
      <c r="AC664">
        <f>vlookup("906-094000-210",B:AZ,column(ab1),0)*e664</f>
        <v>0</v>
      </c>
      <c r="AD664">
        <f>vlookup("906-094000-210",B:AZ,column(ac1),0)*e664</f>
        <v>0</v>
      </c>
      <c r="AE664">
        <f>vlookup("906-094000-210",B:AZ,column(ad1),0)*e664</f>
        <v>0</v>
      </c>
      <c r="AF664">
        <f>vlookup("906-094000-210",B:AZ,column(ae1),0)*e664</f>
        <v>0</v>
      </c>
      <c r="AG664">
        <f>vlookup("906-094000-210",B:AZ,column(af1),0)*e664</f>
        <v>0</v>
      </c>
      <c r="AH664">
        <f>vlookup("906-094000-210",B:AZ,column(ag1),0)*e664</f>
        <v>0</v>
      </c>
      <c r="AI664">
        <f>vlookup("906-094000-210",B:AZ,column(ah1),0)*e664</f>
        <v>0</v>
      </c>
      <c r="AJ664">
        <f>vlookup("906-094000-210",B:AZ,column(ai1),0)*e664</f>
        <v>0</v>
      </c>
      <c r="AK664">
        <f>vlookup("906-094000-210",B:AZ,column(aj1),0)*e664</f>
        <v>0</v>
      </c>
      <c r="AL664">
        <f>vlookup("906-094000-210",B:AZ,column(ak1),0)*e664</f>
        <v>0</v>
      </c>
      <c r="AM664">
        <f>vlookup("906-094000-210",B:AZ,column(al1),0)*e664</f>
        <v>0</v>
      </c>
      <c r="AN664">
        <f>vlookup("906-094000-210",B:AZ,column(am1),0)*e664</f>
        <v>0</v>
      </c>
      <c r="AO664">
        <f>vlookup("906-094000-210",B:AZ,column(an1),0)*e664</f>
        <v>0</v>
      </c>
    </row>
    <row r="665" spans="1:41">
      <c r="A665" t="s">
        <v>22</v>
      </c>
      <c r="B665" t="s">
        <v>685</v>
      </c>
      <c r="C665" t="s">
        <v>686</v>
      </c>
      <c r="E665">
        <v>1</v>
      </c>
      <c r="F665" t="s">
        <v>13</v>
      </c>
      <c r="I665" t="s">
        <v>15</v>
      </c>
      <c r="J665">
        <f>vlookup("906-094000-210",B:AZ,column(i1),0)*e665</f>
        <v>0</v>
      </c>
      <c r="K665">
        <f>vlookup("906-094000-210",B:AZ,column(j1),0)*e665</f>
        <v>0</v>
      </c>
      <c r="L665">
        <f>vlookup("906-094000-210",B:AZ,column(k1),0)*e665</f>
        <v>0</v>
      </c>
      <c r="M665">
        <f>vlookup("906-094000-210",B:AZ,column(l1),0)*e665</f>
        <v>0</v>
      </c>
      <c r="N665">
        <f>vlookup("906-094000-210",B:AZ,column(m1),0)*e665</f>
        <v>0</v>
      </c>
      <c r="O665">
        <f>vlookup("906-094000-210",B:AZ,column(n1),0)*e665</f>
        <v>0</v>
      </c>
      <c r="P665">
        <f>vlookup("906-094000-210",B:AZ,column(o1),0)*e665</f>
        <v>0</v>
      </c>
      <c r="Q665">
        <f>vlookup("906-094000-210",B:AZ,column(p1),0)*e665</f>
        <v>0</v>
      </c>
      <c r="R665">
        <f>vlookup("906-094000-210",B:AZ,column(q1),0)*e665</f>
        <v>0</v>
      </c>
      <c r="S665">
        <f>vlookup("906-094000-210",B:AZ,column(r1),0)*e665</f>
        <v>0</v>
      </c>
      <c r="T665">
        <f>vlookup("906-094000-210",B:AZ,column(s1),0)*e665</f>
        <v>0</v>
      </c>
      <c r="U665">
        <f>vlookup("906-094000-210",B:AZ,column(t1),0)*e665</f>
        <v>0</v>
      </c>
      <c r="V665">
        <f>vlookup("906-094000-210",B:AZ,column(u1),0)*e665</f>
        <v>0</v>
      </c>
      <c r="W665">
        <f>vlookup("906-094000-210",B:AZ,column(v1),0)*e665</f>
        <v>0</v>
      </c>
      <c r="X665">
        <f>vlookup("906-094000-210",B:AZ,column(w1),0)*e665</f>
        <v>0</v>
      </c>
      <c r="Y665">
        <f>vlookup("906-094000-210",B:AZ,column(x1),0)*e665</f>
        <v>0</v>
      </c>
      <c r="Z665">
        <f>vlookup("906-094000-210",B:AZ,column(y1),0)*e665</f>
        <v>0</v>
      </c>
      <c r="AA665">
        <f>vlookup("906-094000-210",B:AZ,column(z1),0)*e665</f>
        <v>0</v>
      </c>
      <c r="AB665">
        <f>vlookup("906-094000-210",B:AZ,column(aa1),0)*e665</f>
        <v>0</v>
      </c>
      <c r="AC665">
        <f>vlookup("906-094000-210",B:AZ,column(ab1),0)*e665</f>
        <v>0</v>
      </c>
      <c r="AD665">
        <f>vlookup("906-094000-210",B:AZ,column(ac1),0)*e665</f>
        <v>0</v>
      </c>
      <c r="AE665">
        <f>vlookup("906-094000-210",B:AZ,column(ad1),0)*e665</f>
        <v>0</v>
      </c>
      <c r="AF665">
        <f>vlookup("906-094000-210",B:AZ,column(ae1),0)*e665</f>
        <v>0</v>
      </c>
      <c r="AG665">
        <f>vlookup("906-094000-210",B:AZ,column(af1),0)*e665</f>
        <v>0</v>
      </c>
      <c r="AH665">
        <f>vlookup("906-094000-210",B:AZ,column(ag1),0)*e665</f>
        <v>0</v>
      </c>
      <c r="AI665">
        <f>vlookup("906-094000-210",B:AZ,column(ah1),0)*e665</f>
        <v>0</v>
      </c>
      <c r="AJ665">
        <f>vlookup("906-094000-210",B:AZ,column(ai1),0)*e665</f>
        <v>0</v>
      </c>
      <c r="AK665">
        <f>vlookup("906-094000-210",B:AZ,column(aj1),0)*e665</f>
        <v>0</v>
      </c>
      <c r="AL665">
        <f>vlookup("906-094000-210",B:AZ,column(ak1),0)*e665</f>
        <v>0</v>
      </c>
      <c r="AM665">
        <f>vlookup("906-094000-210",B:AZ,column(al1),0)*e665</f>
        <v>0</v>
      </c>
      <c r="AN665">
        <f>vlookup("906-094000-210",B:AZ,column(am1),0)*e665</f>
        <v>0</v>
      </c>
      <c r="AO665">
        <f>vlookup("906-094000-210",B:AZ,column(an1),0)*e665</f>
        <v>0</v>
      </c>
    </row>
    <row r="666" spans="1:41">
      <c r="A666" t="s">
        <v>22</v>
      </c>
      <c r="B666" t="s">
        <v>687</v>
      </c>
      <c r="C666" t="s">
        <v>688</v>
      </c>
      <c r="E666">
        <v>1</v>
      </c>
      <c r="F666" t="s">
        <v>13</v>
      </c>
      <c r="I666" t="s">
        <v>15</v>
      </c>
      <c r="J666">
        <f>vlookup("906-094000-210",B:AZ,column(i1),0)*e666</f>
        <v>0</v>
      </c>
      <c r="K666">
        <f>vlookup("906-094000-210",B:AZ,column(j1),0)*e666</f>
        <v>0</v>
      </c>
      <c r="L666">
        <f>vlookup("906-094000-210",B:AZ,column(k1),0)*e666</f>
        <v>0</v>
      </c>
      <c r="M666">
        <f>vlookup("906-094000-210",B:AZ,column(l1),0)*e666</f>
        <v>0</v>
      </c>
      <c r="N666">
        <f>vlookup("906-094000-210",B:AZ,column(m1),0)*e666</f>
        <v>0</v>
      </c>
      <c r="O666">
        <f>vlookup("906-094000-210",B:AZ,column(n1),0)*e666</f>
        <v>0</v>
      </c>
      <c r="P666">
        <f>vlookup("906-094000-210",B:AZ,column(o1),0)*e666</f>
        <v>0</v>
      </c>
      <c r="Q666">
        <f>vlookup("906-094000-210",B:AZ,column(p1),0)*e666</f>
        <v>0</v>
      </c>
      <c r="R666">
        <f>vlookup("906-094000-210",B:AZ,column(q1),0)*e666</f>
        <v>0</v>
      </c>
      <c r="S666">
        <f>vlookup("906-094000-210",B:AZ,column(r1),0)*e666</f>
        <v>0</v>
      </c>
      <c r="T666">
        <f>vlookup("906-094000-210",B:AZ,column(s1),0)*e666</f>
        <v>0</v>
      </c>
      <c r="U666">
        <f>vlookup("906-094000-210",B:AZ,column(t1),0)*e666</f>
        <v>0</v>
      </c>
      <c r="V666">
        <f>vlookup("906-094000-210",B:AZ,column(u1),0)*e666</f>
        <v>0</v>
      </c>
      <c r="W666">
        <f>vlookup("906-094000-210",B:AZ,column(v1),0)*e666</f>
        <v>0</v>
      </c>
      <c r="X666">
        <f>vlookup("906-094000-210",B:AZ,column(w1),0)*e666</f>
        <v>0</v>
      </c>
      <c r="Y666">
        <f>vlookup("906-094000-210",B:AZ,column(x1),0)*e666</f>
        <v>0</v>
      </c>
      <c r="Z666">
        <f>vlookup("906-094000-210",B:AZ,column(y1),0)*e666</f>
        <v>0</v>
      </c>
      <c r="AA666">
        <f>vlookup("906-094000-210",B:AZ,column(z1),0)*e666</f>
        <v>0</v>
      </c>
      <c r="AB666">
        <f>vlookup("906-094000-210",B:AZ,column(aa1),0)*e666</f>
        <v>0</v>
      </c>
      <c r="AC666">
        <f>vlookup("906-094000-210",B:AZ,column(ab1),0)*e666</f>
        <v>0</v>
      </c>
      <c r="AD666">
        <f>vlookup("906-094000-210",B:AZ,column(ac1),0)*e666</f>
        <v>0</v>
      </c>
      <c r="AE666">
        <f>vlookup("906-094000-210",B:AZ,column(ad1),0)*e666</f>
        <v>0</v>
      </c>
      <c r="AF666">
        <f>vlookup("906-094000-210",B:AZ,column(ae1),0)*e666</f>
        <v>0</v>
      </c>
      <c r="AG666">
        <f>vlookup("906-094000-210",B:AZ,column(af1),0)*e666</f>
        <v>0</v>
      </c>
      <c r="AH666">
        <f>vlookup("906-094000-210",B:AZ,column(ag1),0)*e666</f>
        <v>0</v>
      </c>
      <c r="AI666">
        <f>vlookup("906-094000-210",B:AZ,column(ah1),0)*e666</f>
        <v>0</v>
      </c>
      <c r="AJ666">
        <f>vlookup("906-094000-210",B:AZ,column(ai1),0)*e666</f>
        <v>0</v>
      </c>
      <c r="AK666">
        <f>vlookup("906-094000-210",B:AZ,column(aj1),0)*e666</f>
        <v>0</v>
      </c>
      <c r="AL666">
        <f>vlookup("906-094000-210",B:AZ,column(ak1),0)*e666</f>
        <v>0</v>
      </c>
      <c r="AM666">
        <f>vlookup("906-094000-210",B:AZ,column(al1),0)*e666</f>
        <v>0</v>
      </c>
      <c r="AN666">
        <f>vlookup("906-094000-210",B:AZ,column(am1),0)*e666</f>
        <v>0</v>
      </c>
      <c r="AO666">
        <f>vlookup("906-094000-210",B:AZ,column(an1),0)*e666</f>
        <v>0</v>
      </c>
    </row>
    <row r="667" spans="1:41">
      <c r="A667" t="s">
        <v>10</v>
      </c>
      <c r="B667" t="s">
        <v>689</v>
      </c>
      <c r="C667" t="s">
        <v>690</v>
      </c>
      <c r="E667">
        <v>1</v>
      </c>
      <c r="F667" t="s">
        <v>13</v>
      </c>
      <c r="I667" t="s">
        <v>14</v>
      </c>
      <c r="AO667">
        <f>sum(j667:an667)</f>
        <v>0</v>
      </c>
    </row>
    <row r="668" spans="1:41">
      <c r="I668" t="s">
        <v>15</v>
      </c>
      <c r="J668">
        <f>vlookup("906-257000-210",Out!B:AZ,column(i1),0)</f>
        <v>0</v>
      </c>
      <c r="K668">
        <f>vlookup("906-257000-210",Out!B:AZ,column(j1),0)</f>
        <v>0</v>
      </c>
      <c r="L668">
        <f>vlookup("906-257000-210",Out!B:AZ,column(k1),0)</f>
        <v>0</v>
      </c>
      <c r="M668">
        <f>vlookup("906-257000-210",Out!B:AZ,column(l1),0)</f>
        <v>0</v>
      </c>
      <c r="N668">
        <f>vlookup("906-257000-210",Out!B:AZ,column(m1),0)</f>
        <v>0</v>
      </c>
      <c r="O668">
        <f>vlookup("906-257000-210",Out!B:AZ,column(n1),0)</f>
        <v>0</v>
      </c>
      <c r="P668">
        <f>vlookup("906-257000-210",Out!B:AZ,column(o1),0)</f>
        <v>0</v>
      </c>
      <c r="Q668">
        <f>vlookup("906-257000-210",Out!B:AZ,column(p1),0)</f>
        <v>0</v>
      </c>
      <c r="R668">
        <f>vlookup("906-257000-210",Out!B:AZ,column(q1),0)</f>
        <v>0</v>
      </c>
      <c r="S668">
        <f>vlookup("906-257000-210",Out!B:AZ,column(r1),0)</f>
        <v>0</v>
      </c>
      <c r="T668">
        <f>vlookup("906-257000-210",Out!B:AZ,column(s1),0)</f>
        <v>0</v>
      </c>
      <c r="U668">
        <f>vlookup("906-257000-210",Out!B:AZ,column(t1),0)</f>
        <v>0</v>
      </c>
      <c r="V668">
        <f>vlookup("906-257000-210",Out!B:AZ,column(u1),0)</f>
        <v>0</v>
      </c>
      <c r="W668">
        <f>vlookup("906-257000-210",Out!B:AZ,column(v1),0)</f>
        <v>0</v>
      </c>
      <c r="X668">
        <f>vlookup("906-257000-210",Out!B:AZ,column(w1),0)</f>
        <v>0</v>
      </c>
      <c r="Y668">
        <f>vlookup("906-257000-210",Out!B:AZ,column(x1),0)</f>
        <v>0</v>
      </c>
      <c r="Z668">
        <f>vlookup("906-257000-210",Out!B:AZ,column(y1),0)</f>
        <v>0</v>
      </c>
      <c r="AA668">
        <f>vlookup("906-257000-210",Out!B:AZ,column(z1),0)</f>
        <v>0</v>
      </c>
      <c r="AB668">
        <f>vlookup("906-257000-210",Out!B:AZ,column(aa1),0)</f>
        <v>0</v>
      </c>
      <c r="AC668">
        <f>vlookup("906-257000-210",Out!B:AZ,column(ab1),0)</f>
        <v>0</v>
      </c>
      <c r="AD668">
        <f>vlookup("906-257000-210",Out!B:AZ,column(ac1),0)</f>
        <v>0</v>
      </c>
      <c r="AE668">
        <f>vlookup("906-257000-210",Out!B:AZ,column(ad1),0)</f>
        <v>0</v>
      </c>
      <c r="AF668">
        <f>vlookup("906-257000-210",Out!B:AZ,column(ae1),0)</f>
        <v>0</v>
      </c>
      <c r="AG668">
        <f>vlookup("906-257000-210",Out!B:AZ,column(af1),0)</f>
        <v>0</v>
      </c>
      <c r="AH668">
        <f>vlookup("906-257000-210",Out!B:AZ,column(ag1),0)</f>
        <v>0</v>
      </c>
      <c r="AI668">
        <f>vlookup("906-257000-210",Out!B:AZ,column(ah1),0)</f>
        <v>0</v>
      </c>
      <c r="AJ668">
        <f>vlookup("906-257000-210",Out!B:AZ,column(ai1),0)</f>
        <v>0</v>
      </c>
      <c r="AK668">
        <f>vlookup("906-257000-210",Out!B:AZ,column(aj1),0)</f>
        <v>0</v>
      </c>
      <c r="AL668">
        <f>vlookup("906-257000-210",Out!B:AZ,column(ak1),0)</f>
        <v>0</v>
      </c>
      <c r="AM668">
        <f>vlookup("906-257000-210",Out!B:AZ,column(al1),0)</f>
        <v>0</v>
      </c>
      <c r="AN668">
        <f>vlookup("906-257000-210",Out!B:AZ,column(am1),0)</f>
        <v>0</v>
      </c>
      <c r="AO668">
        <f>vlookup("906-257000-210",Out!B:AZ,column(an1),0)</f>
        <v>0</v>
      </c>
    </row>
    <row r="669" spans="1:41">
      <c r="H669" t="s">
        <v>16</v>
      </c>
      <c r="J669">
        <f>indirect(address(669,9))+indirect(address(667,10))-indirect(address(668,10))</f>
        <v>0</v>
      </c>
      <c r="K669">
        <f>indirect(address(669,10))+indirect(address(667,11))-indirect(address(668,11))</f>
        <v>0</v>
      </c>
      <c r="L669">
        <f>indirect(address(669,11))+indirect(address(667,12))-indirect(address(668,12))</f>
        <v>0</v>
      </c>
      <c r="M669">
        <f>indirect(address(669,12))+indirect(address(667,13))-indirect(address(668,13))</f>
        <v>0</v>
      </c>
      <c r="N669">
        <f>indirect(address(669,13))+indirect(address(667,14))-indirect(address(668,14))</f>
        <v>0</v>
      </c>
      <c r="O669">
        <f>indirect(address(669,14))+indirect(address(667,15))-indirect(address(668,15))</f>
        <v>0</v>
      </c>
      <c r="P669">
        <f>indirect(address(669,15))+indirect(address(667,16))-indirect(address(668,16))</f>
        <v>0</v>
      </c>
      <c r="Q669">
        <f>indirect(address(669,16))+indirect(address(667,17))-indirect(address(668,17))</f>
        <v>0</v>
      </c>
      <c r="R669">
        <f>indirect(address(669,17))+indirect(address(667,18))-indirect(address(668,18))</f>
        <v>0</v>
      </c>
      <c r="S669">
        <f>indirect(address(669,18))+indirect(address(667,19))-indirect(address(668,19))</f>
        <v>0</v>
      </c>
      <c r="T669">
        <f>indirect(address(669,19))+indirect(address(667,20))-indirect(address(668,20))</f>
        <v>0</v>
      </c>
      <c r="U669">
        <f>indirect(address(669,20))+indirect(address(667,21))-indirect(address(668,21))</f>
        <v>0</v>
      </c>
      <c r="V669">
        <f>indirect(address(669,21))+indirect(address(667,22))-indirect(address(668,22))</f>
        <v>0</v>
      </c>
      <c r="W669">
        <f>indirect(address(669,22))+indirect(address(667,23))-indirect(address(668,23))</f>
        <v>0</v>
      </c>
      <c r="X669">
        <f>indirect(address(669,23))+indirect(address(667,24))-indirect(address(668,24))</f>
        <v>0</v>
      </c>
      <c r="Y669">
        <f>indirect(address(669,24))+indirect(address(667,25))-indirect(address(668,25))</f>
        <v>0</v>
      </c>
      <c r="Z669">
        <f>indirect(address(669,25))+indirect(address(667,26))-indirect(address(668,26))</f>
        <v>0</v>
      </c>
      <c r="AA669">
        <f>indirect(address(669,26))+indirect(address(667,27))-indirect(address(668,27))</f>
        <v>0</v>
      </c>
      <c r="AB669">
        <f>indirect(address(669,27))+indirect(address(667,28))-indirect(address(668,28))</f>
        <v>0</v>
      </c>
      <c r="AC669">
        <f>indirect(address(669,28))+indirect(address(667,29))-indirect(address(668,29))</f>
        <v>0</v>
      </c>
      <c r="AD669">
        <f>indirect(address(669,29))+indirect(address(667,30))-indirect(address(668,30))</f>
        <v>0</v>
      </c>
      <c r="AE669">
        <f>indirect(address(669,30))+indirect(address(667,31))-indirect(address(668,31))</f>
        <v>0</v>
      </c>
      <c r="AF669">
        <f>indirect(address(669,31))+indirect(address(667,32))-indirect(address(668,32))</f>
        <v>0</v>
      </c>
      <c r="AG669">
        <f>indirect(address(669,32))+indirect(address(667,33))-indirect(address(668,33))</f>
        <v>0</v>
      </c>
      <c r="AH669">
        <f>indirect(address(669,33))+indirect(address(667,34))-indirect(address(668,34))</f>
        <v>0</v>
      </c>
      <c r="AI669">
        <f>indirect(address(669,34))+indirect(address(667,35))-indirect(address(668,35))</f>
        <v>0</v>
      </c>
      <c r="AJ669">
        <f>indirect(address(669,35))+indirect(address(667,36))-indirect(address(668,36))</f>
        <v>0</v>
      </c>
      <c r="AK669">
        <f>indirect(address(669,36))+indirect(address(667,37))-indirect(address(668,37))</f>
        <v>0</v>
      </c>
      <c r="AL669">
        <f>indirect(address(669,37))+indirect(address(667,38))-indirect(address(668,38))</f>
        <v>0</v>
      </c>
      <c r="AM669">
        <f>indirect(address(669,38))+indirect(address(667,39))-indirect(address(668,39))</f>
        <v>0</v>
      </c>
      <c r="AN669">
        <f>indirect(address(669,39))+indirect(address(667,40))-indirect(address(668,40))</f>
        <v>0</v>
      </c>
      <c r="AO669">
        <f>indirect(address(669,40))</f>
        <v>0</v>
      </c>
    </row>
    <row r="670" spans="1:41">
      <c r="A670" t="s">
        <v>17</v>
      </c>
      <c r="B670" t="s">
        <v>691</v>
      </c>
      <c r="C670" t="s">
        <v>692</v>
      </c>
      <c r="E670">
        <v>1</v>
      </c>
      <c r="F670" t="s">
        <v>13</v>
      </c>
      <c r="I670" t="s">
        <v>15</v>
      </c>
      <c r="J670">
        <f>vlookup("906-257000-210",B:AZ,column(i1),0)*e670</f>
        <v>0</v>
      </c>
      <c r="K670">
        <f>vlookup("906-257000-210",B:AZ,column(j1),0)*e670</f>
        <v>0</v>
      </c>
      <c r="L670">
        <f>vlookup("906-257000-210",B:AZ,column(k1),0)*e670</f>
        <v>0</v>
      </c>
      <c r="M670">
        <f>vlookup("906-257000-210",B:AZ,column(l1),0)*e670</f>
        <v>0</v>
      </c>
      <c r="N670">
        <f>vlookup("906-257000-210",B:AZ,column(m1),0)*e670</f>
        <v>0</v>
      </c>
      <c r="O670">
        <f>vlookup("906-257000-210",B:AZ,column(n1),0)*e670</f>
        <v>0</v>
      </c>
      <c r="P670">
        <f>vlookup("906-257000-210",B:AZ,column(o1),0)*e670</f>
        <v>0</v>
      </c>
      <c r="Q670">
        <f>vlookup("906-257000-210",B:AZ,column(p1),0)*e670</f>
        <v>0</v>
      </c>
      <c r="R670">
        <f>vlookup("906-257000-210",B:AZ,column(q1),0)*e670</f>
        <v>0</v>
      </c>
      <c r="S670">
        <f>vlookup("906-257000-210",B:AZ,column(r1),0)*e670</f>
        <v>0</v>
      </c>
      <c r="T670">
        <f>vlookup("906-257000-210",B:AZ,column(s1),0)*e670</f>
        <v>0</v>
      </c>
      <c r="U670">
        <f>vlookup("906-257000-210",B:AZ,column(t1),0)*e670</f>
        <v>0</v>
      </c>
      <c r="V670">
        <f>vlookup("906-257000-210",B:AZ,column(u1),0)*e670</f>
        <v>0</v>
      </c>
      <c r="W670">
        <f>vlookup("906-257000-210",B:AZ,column(v1),0)*e670</f>
        <v>0</v>
      </c>
      <c r="X670">
        <f>vlookup("906-257000-210",B:AZ,column(w1),0)*e670</f>
        <v>0</v>
      </c>
      <c r="Y670">
        <f>vlookup("906-257000-210",B:AZ,column(x1),0)*e670</f>
        <v>0</v>
      </c>
      <c r="Z670">
        <f>vlookup("906-257000-210",B:AZ,column(y1),0)*e670</f>
        <v>0</v>
      </c>
      <c r="AA670">
        <f>vlookup("906-257000-210",B:AZ,column(z1),0)*e670</f>
        <v>0</v>
      </c>
      <c r="AB670">
        <f>vlookup("906-257000-210",B:AZ,column(aa1),0)*e670</f>
        <v>0</v>
      </c>
      <c r="AC670">
        <f>vlookup("906-257000-210",B:AZ,column(ab1),0)*e670</f>
        <v>0</v>
      </c>
      <c r="AD670">
        <f>vlookup("906-257000-210",B:AZ,column(ac1),0)*e670</f>
        <v>0</v>
      </c>
      <c r="AE670">
        <f>vlookup("906-257000-210",B:AZ,column(ad1),0)*e670</f>
        <v>0</v>
      </c>
      <c r="AF670">
        <f>vlookup("906-257000-210",B:AZ,column(ae1),0)*e670</f>
        <v>0</v>
      </c>
      <c r="AG670">
        <f>vlookup("906-257000-210",B:AZ,column(af1),0)*e670</f>
        <v>0</v>
      </c>
      <c r="AH670">
        <f>vlookup("906-257000-210",B:AZ,column(ag1),0)*e670</f>
        <v>0</v>
      </c>
      <c r="AI670">
        <f>vlookup("906-257000-210",B:AZ,column(ah1),0)*e670</f>
        <v>0</v>
      </c>
      <c r="AJ670">
        <f>vlookup("906-257000-210",B:AZ,column(ai1),0)*e670</f>
        <v>0</v>
      </c>
      <c r="AK670">
        <f>vlookup("906-257000-210",B:AZ,column(aj1),0)*e670</f>
        <v>0</v>
      </c>
      <c r="AL670">
        <f>vlookup("906-257000-210",B:AZ,column(ak1),0)*e670</f>
        <v>0</v>
      </c>
      <c r="AM670">
        <f>vlookup("906-257000-210",B:AZ,column(al1),0)*e670</f>
        <v>0</v>
      </c>
      <c r="AN670">
        <f>vlookup("906-257000-210",B:AZ,column(am1),0)*e670</f>
        <v>0</v>
      </c>
      <c r="AO670">
        <f>vlookup("906-257000-210",B:AZ,column(an1),0)*e670</f>
        <v>0</v>
      </c>
    </row>
    <row r="671" spans="1:41">
      <c r="A671" t="s">
        <v>22</v>
      </c>
      <c r="B671" t="s">
        <v>693</v>
      </c>
      <c r="C671" t="s">
        <v>694</v>
      </c>
      <c r="E671">
        <v>1</v>
      </c>
      <c r="F671" t="s">
        <v>13</v>
      </c>
      <c r="I671" t="s">
        <v>15</v>
      </c>
      <c r="J671">
        <f>vlookup("906-257000-210",B:AZ,column(i1),0)*e671</f>
        <v>0</v>
      </c>
      <c r="K671">
        <f>vlookup("906-257000-210",B:AZ,column(j1),0)*e671</f>
        <v>0</v>
      </c>
      <c r="L671">
        <f>vlookup("906-257000-210",B:AZ,column(k1),0)*e671</f>
        <v>0</v>
      </c>
      <c r="M671">
        <f>vlookup("906-257000-210",B:AZ,column(l1),0)*e671</f>
        <v>0</v>
      </c>
      <c r="N671">
        <f>vlookup("906-257000-210",B:AZ,column(m1),0)*e671</f>
        <v>0</v>
      </c>
      <c r="O671">
        <f>vlookup("906-257000-210",B:AZ,column(n1),0)*e671</f>
        <v>0</v>
      </c>
      <c r="P671">
        <f>vlookup("906-257000-210",B:AZ,column(o1),0)*e671</f>
        <v>0</v>
      </c>
      <c r="Q671">
        <f>vlookup("906-257000-210",B:AZ,column(p1),0)*e671</f>
        <v>0</v>
      </c>
      <c r="R671">
        <f>vlookup("906-257000-210",B:AZ,column(q1),0)*e671</f>
        <v>0</v>
      </c>
      <c r="S671">
        <f>vlookup("906-257000-210",B:AZ,column(r1),0)*e671</f>
        <v>0</v>
      </c>
      <c r="T671">
        <f>vlookup("906-257000-210",B:AZ,column(s1),0)*e671</f>
        <v>0</v>
      </c>
      <c r="U671">
        <f>vlookup("906-257000-210",B:AZ,column(t1),0)*e671</f>
        <v>0</v>
      </c>
      <c r="V671">
        <f>vlookup("906-257000-210",B:AZ,column(u1),0)*e671</f>
        <v>0</v>
      </c>
      <c r="W671">
        <f>vlookup("906-257000-210",B:AZ,column(v1),0)*e671</f>
        <v>0</v>
      </c>
      <c r="X671">
        <f>vlookup("906-257000-210",B:AZ,column(w1),0)*e671</f>
        <v>0</v>
      </c>
      <c r="Y671">
        <f>vlookup("906-257000-210",B:AZ,column(x1),0)*e671</f>
        <v>0</v>
      </c>
      <c r="Z671">
        <f>vlookup("906-257000-210",B:AZ,column(y1),0)*e671</f>
        <v>0</v>
      </c>
      <c r="AA671">
        <f>vlookup("906-257000-210",B:AZ,column(z1),0)*e671</f>
        <v>0</v>
      </c>
      <c r="AB671">
        <f>vlookup("906-257000-210",B:AZ,column(aa1),0)*e671</f>
        <v>0</v>
      </c>
      <c r="AC671">
        <f>vlookup("906-257000-210",B:AZ,column(ab1),0)*e671</f>
        <v>0</v>
      </c>
      <c r="AD671">
        <f>vlookup("906-257000-210",B:AZ,column(ac1),0)*e671</f>
        <v>0</v>
      </c>
      <c r="AE671">
        <f>vlookup("906-257000-210",B:AZ,column(ad1),0)*e671</f>
        <v>0</v>
      </c>
      <c r="AF671">
        <f>vlookup("906-257000-210",B:AZ,column(ae1),0)*e671</f>
        <v>0</v>
      </c>
      <c r="AG671">
        <f>vlookup("906-257000-210",B:AZ,column(af1),0)*e671</f>
        <v>0</v>
      </c>
      <c r="AH671">
        <f>vlookup("906-257000-210",B:AZ,column(ag1),0)*e671</f>
        <v>0</v>
      </c>
      <c r="AI671">
        <f>vlookup("906-257000-210",B:AZ,column(ah1),0)*e671</f>
        <v>0</v>
      </c>
      <c r="AJ671">
        <f>vlookup("906-257000-210",B:AZ,column(ai1),0)*e671</f>
        <v>0</v>
      </c>
      <c r="AK671">
        <f>vlookup("906-257000-210",B:AZ,column(aj1),0)*e671</f>
        <v>0</v>
      </c>
      <c r="AL671">
        <f>vlookup("906-257000-210",B:AZ,column(ak1),0)*e671</f>
        <v>0</v>
      </c>
      <c r="AM671">
        <f>vlookup("906-257000-210",B:AZ,column(al1),0)*e671</f>
        <v>0</v>
      </c>
      <c r="AN671">
        <f>vlookup("906-257000-210",B:AZ,column(am1),0)*e671</f>
        <v>0</v>
      </c>
      <c r="AO671">
        <f>vlookup("906-257000-210",B:AZ,column(an1),0)*e671</f>
        <v>0</v>
      </c>
    </row>
    <row r="672" spans="1:41">
      <c r="A672" t="s">
        <v>10</v>
      </c>
      <c r="B672" t="s">
        <v>695</v>
      </c>
      <c r="C672" t="s">
        <v>696</v>
      </c>
      <c r="E672">
        <v>1</v>
      </c>
      <c r="F672" t="s">
        <v>13</v>
      </c>
      <c r="I672" t="s">
        <v>14</v>
      </c>
      <c r="AO672">
        <f>sum(j672:an672)</f>
        <v>0</v>
      </c>
    </row>
    <row r="673" spans="1:41">
      <c r="I673" t="s">
        <v>15</v>
      </c>
      <c r="J673">
        <f>vlookup("906-246000-210",Out!B:AZ,column(i1),0)</f>
        <v>0</v>
      </c>
      <c r="K673">
        <f>vlookup("906-246000-210",Out!B:AZ,column(j1),0)</f>
        <v>0</v>
      </c>
      <c r="L673">
        <f>vlookup("906-246000-210",Out!B:AZ,column(k1),0)</f>
        <v>0</v>
      </c>
      <c r="M673">
        <f>vlookup("906-246000-210",Out!B:AZ,column(l1),0)</f>
        <v>0</v>
      </c>
      <c r="N673">
        <f>vlookup("906-246000-210",Out!B:AZ,column(m1),0)</f>
        <v>0</v>
      </c>
      <c r="O673">
        <f>vlookup("906-246000-210",Out!B:AZ,column(n1),0)</f>
        <v>0</v>
      </c>
      <c r="P673">
        <f>vlookup("906-246000-210",Out!B:AZ,column(o1),0)</f>
        <v>0</v>
      </c>
      <c r="Q673">
        <f>vlookup("906-246000-210",Out!B:AZ,column(p1),0)</f>
        <v>0</v>
      </c>
      <c r="R673">
        <f>vlookup("906-246000-210",Out!B:AZ,column(q1),0)</f>
        <v>0</v>
      </c>
      <c r="S673">
        <f>vlookup("906-246000-210",Out!B:AZ,column(r1),0)</f>
        <v>0</v>
      </c>
      <c r="T673">
        <f>vlookup("906-246000-210",Out!B:AZ,column(s1),0)</f>
        <v>0</v>
      </c>
      <c r="U673">
        <f>vlookup("906-246000-210",Out!B:AZ,column(t1),0)</f>
        <v>0</v>
      </c>
      <c r="V673">
        <f>vlookup("906-246000-210",Out!B:AZ,column(u1),0)</f>
        <v>0</v>
      </c>
      <c r="W673">
        <f>vlookup("906-246000-210",Out!B:AZ,column(v1),0)</f>
        <v>0</v>
      </c>
      <c r="X673">
        <f>vlookup("906-246000-210",Out!B:AZ,column(w1),0)</f>
        <v>0</v>
      </c>
      <c r="Y673">
        <f>vlookup("906-246000-210",Out!B:AZ,column(x1),0)</f>
        <v>0</v>
      </c>
      <c r="Z673">
        <f>vlookup("906-246000-210",Out!B:AZ,column(y1),0)</f>
        <v>0</v>
      </c>
      <c r="AA673">
        <f>vlookup("906-246000-210",Out!B:AZ,column(z1),0)</f>
        <v>0</v>
      </c>
      <c r="AB673">
        <f>vlookup("906-246000-210",Out!B:AZ,column(aa1),0)</f>
        <v>0</v>
      </c>
      <c r="AC673">
        <f>vlookup("906-246000-210",Out!B:AZ,column(ab1),0)</f>
        <v>0</v>
      </c>
      <c r="AD673">
        <f>vlookup("906-246000-210",Out!B:AZ,column(ac1),0)</f>
        <v>0</v>
      </c>
      <c r="AE673">
        <f>vlookup("906-246000-210",Out!B:AZ,column(ad1),0)</f>
        <v>0</v>
      </c>
      <c r="AF673">
        <f>vlookup("906-246000-210",Out!B:AZ,column(ae1),0)</f>
        <v>0</v>
      </c>
      <c r="AG673">
        <f>vlookup("906-246000-210",Out!B:AZ,column(af1),0)</f>
        <v>0</v>
      </c>
      <c r="AH673">
        <f>vlookup("906-246000-210",Out!B:AZ,column(ag1),0)</f>
        <v>0</v>
      </c>
      <c r="AI673">
        <f>vlookup("906-246000-210",Out!B:AZ,column(ah1),0)</f>
        <v>0</v>
      </c>
      <c r="AJ673">
        <f>vlookup("906-246000-210",Out!B:AZ,column(ai1),0)</f>
        <v>0</v>
      </c>
      <c r="AK673">
        <f>vlookup("906-246000-210",Out!B:AZ,column(aj1),0)</f>
        <v>0</v>
      </c>
      <c r="AL673">
        <f>vlookup("906-246000-210",Out!B:AZ,column(ak1),0)</f>
        <v>0</v>
      </c>
      <c r="AM673">
        <f>vlookup("906-246000-210",Out!B:AZ,column(al1),0)</f>
        <v>0</v>
      </c>
      <c r="AN673">
        <f>vlookup("906-246000-210",Out!B:AZ,column(am1),0)</f>
        <v>0</v>
      </c>
      <c r="AO673">
        <f>vlookup("906-246000-210",Out!B:AZ,column(an1),0)</f>
        <v>0</v>
      </c>
    </row>
    <row r="674" spans="1:41">
      <c r="H674" t="s">
        <v>16</v>
      </c>
      <c r="J674">
        <f>indirect(address(674,9))+indirect(address(672,10))-indirect(address(673,10))</f>
        <v>0</v>
      </c>
      <c r="K674">
        <f>indirect(address(674,10))+indirect(address(672,11))-indirect(address(673,11))</f>
        <v>0</v>
      </c>
      <c r="L674">
        <f>indirect(address(674,11))+indirect(address(672,12))-indirect(address(673,12))</f>
        <v>0</v>
      </c>
      <c r="M674">
        <f>indirect(address(674,12))+indirect(address(672,13))-indirect(address(673,13))</f>
        <v>0</v>
      </c>
      <c r="N674">
        <f>indirect(address(674,13))+indirect(address(672,14))-indirect(address(673,14))</f>
        <v>0</v>
      </c>
      <c r="O674">
        <f>indirect(address(674,14))+indirect(address(672,15))-indirect(address(673,15))</f>
        <v>0</v>
      </c>
      <c r="P674">
        <f>indirect(address(674,15))+indirect(address(672,16))-indirect(address(673,16))</f>
        <v>0</v>
      </c>
      <c r="Q674">
        <f>indirect(address(674,16))+indirect(address(672,17))-indirect(address(673,17))</f>
        <v>0</v>
      </c>
      <c r="R674">
        <f>indirect(address(674,17))+indirect(address(672,18))-indirect(address(673,18))</f>
        <v>0</v>
      </c>
      <c r="S674">
        <f>indirect(address(674,18))+indirect(address(672,19))-indirect(address(673,19))</f>
        <v>0</v>
      </c>
      <c r="T674">
        <f>indirect(address(674,19))+indirect(address(672,20))-indirect(address(673,20))</f>
        <v>0</v>
      </c>
      <c r="U674">
        <f>indirect(address(674,20))+indirect(address(672,21))-indirect(address(673,21))</f>
        <v>0</v>
      </c>
      <c r="V674">
        <f>indirect(address(674,21))+indirect(address(672,22))-indirect(address(673,22))</f>
        <v>0</v>
      </c>
      <c r="W674">
        <f>indirect(address(674,22))+indirect(address(672,23))-indirect(address(673,23))</f>
        <v>0</v>
      </c>
      <c r="X674">
        <f>indirect(address(674,23))+indirect(address(672,24))-indirect(address(673,24))</f>
        <v>0</v>
      </c>
      <c r="Y674">
        <f>indirect(address(674,24))+indirect(address(672,25))-indirect(address(673,25))</f>
        <v>0</v>
      </c>
      <c r="Z674">
        <f>indirect(address(674,25))+indirect(address(672,26))-indirect(address(673,26))</f>
        <v>0</v>
      </c>
      <c r="AA674">
        <f>indirect(address(674,26))+indirect(address(672,27))-indirect(address(673,27))</f>
        <v>0</v>
      </c>
      <c r="AB674">
        <f>indirect(address(674,27))+indirect(address(672,28))-indirect(address(673,28))</f>
        <v>0</v>
      </c>
      <c r="AC674">
        <f>indirect(address(674,28))+indirect(address(672,29))-indirect(address(673,29))</f>
        <v>0</v>
      </c>
      <c r="AD674">
        <f>indirect(address(674,29))+indirect(address(672,30))-indirect(address(673,30))</f>
        <v>0</v>
      </c>
      <c r="AE674">
        <f>indirect(address(674,30))+indirect(address(672,31))-indirect(address(673,31))</f>
        <v>0</v>
      </c>
      <c r="AF674">
        <f>indirect(address(674,31))+indirect(address(672,32))-indirect(address(673,32))</f>
        <v>0</v>
      </c>
      <c r="AG674">
        <f>indirect(address(674,32))+indirect(address(672,33))-indirect(address(673,33))</f>
        <v>0</v>
      </c>
      <c r="AH674">
        <f>indirect(address(674,33))+indirect(address(672,34))-indirect(address(673,34))</f>
        <v>0</v>
      </c>
      <c r="AI674">
        <f>indirect(address(674,34))+indirect(address(672,35))-indirect(address(673,35))</f>
        <v>0</v>
      </c>
      <c r="AJ674">
        <f>indirect(address(674,35))+indirect(address(672,36))-indirect(address(673,36))</f>
        <v>0</v>
      </c>
      <c r="AK674">
        <f>indirect(address(674,36))+indirect(address(672,37))-indirect(address(673,37))</f>
        <v>0</v>
      </c>
      <c r="AL674">
        <f>indirect(address(674,37))+indirect(address(672,38))-indirect(address(673,38))</f>
        <v>0</v>
      </c>
      <c r="AM674">
        <f>indirect(address(674,38))+indirect(address(672,39))-indirect(address(673,39))</f>
        <v>0</v>
      </c>
      <c r="AN674">
        <f>indirect(address(674,39))+indirect(address(672,40))-indirect(address(673,40))</f>
        <v>0</v>
      </c>
      <c r="AO674">
        <f>indirect(address(674,40))</f>
        <v>0</v>
      </c>
    </row>
    <row r="675" spans="1:41">
      <c r="A675" t="s">
        <v>17</v>
      </c>
      <c r="B675" t="s">
        <v>697</v>
      </c>
      <c r="C675" t="s">
        <v>698</v>
      </c>
      <c r="E675">
        <v>1</v>
      </c>
      <c r="F675" t="s">
        <v>13</v>
      </c>
      <c r="I675" t="s">
        <v>15</v>
      </c>
      <c r="J675">
        <f>vlookup("906-246000-210",B:AZ,column(i1),0)*e675</f>
        <v>0</v>
      </c>
      <c r="K675">
        <f>vlookup("906-246000-210",B:AZ,column(j1),0)*e675</f>
        <v>0</v>
      </c>
      <c r="L675">
        <f>vlookup("906-246000-210",B:AZ,column(k1),0)*e675</f>
        <v>0</v>
      </c>
      <c r="M675">
        <f>vlookup("906-246000-210",B:AZ,column(l1),0)*e675</f>
        <v>0</v>
      </c>
      <c r="N675">
        <f>vlookup("906-246000-210",B:AZ,column(m1),0)*e675</f>
        <v>0</v>
      </c>
      <c r="O675">
        <f>vlookup("906-246000-210",B:AZ,column(n1),0)*e675</f>
        <v>0</v>
      </c>
      <c r="P675">
        <f>vlookup("906-246000-210",B:AZ,column(o1),0)*e675</f>
        <v>0</v>
      </c>
      <c r="Q675">
        <f>vlookup("906-246000-210",B:AZ,column(p1),0)*e675</f>
        <v>0</v>
      </c>
      <c r="R675">
        <f>vlookup("906-246000-210",B:AZ,column(q1),0)*e675</f>
        <v>0</v>
      </c>
      <c r="S675">
        <f>vlookup("906-246000-210",B:AZ,column(r1),0)*e675</f>
        <v>0</v>
      </c>
      <c r="T675">
        <f>vlookup("906-246000-210",B:AZ,column(s1),0)*e675</f>
        <v>0</v>
      </c>
      <c r="U675">
        <f>vlookup("906-246000-210",B:AZ,column(t1),0)*e675</f>
        <v>0</v>
      </c>
      <c r="V675">
        <f>vlookup("906-246000-210",B:AZ,column(u1),0)*e675</f>
        <v>0</v>
      </c>
      <c r="W675">
        <f>vlookup("906-246000-210",B:AZ,column(v1),0)*e675</f>
        <v>0</v>
      </c>
      <c r="X675">
        <f>vlookup("906-246000-210",B:AZ,column(w1),0)*e675</f>
        <v>0</v>
      </c>
      <c r="Y675">
        <f>vlookup("906-246000-210",B:AZ,column(x1),0)*e675</f>
        <v>0</v>
      </c>
      <c r="Z675">
        <f>vlookup("906-246000-210",B:AZ,column(y1),0)*e675</f>
        <v>0</v>
      </c>
      <c r="AA675">
        <f>vlookup("906-246000-210",B:AZ,column(z1),0)*e675</f>
        <v>0</v>
      </c>
      <c r="AB675">
        <f>vlookup("906-246000-210",B:AZ,column(aa1),0)*e675</f>
        <v>0</v>
      </c>
      <c r="AC675">
        <f>vlookup("906-246000-210",B:AZ,column(ab1),0)*e675</f>
        <v>0</v>
      </c>
      <c r="AD675">
        <f>vlookup("906-246000-210",B:AZ,column(ac1),0)*e675</f>
        <v>0</v>
      </c>
      <c r="AE675">
        <f>vlookup("906-246000-210",B:AZ,column(ad1),0)*e675</f>
        <v>0</v>
      </c>
      <c r="AF675">
        <f>vlookup("906-246000-210",B:AZ,column(ae1),0)*e675</f>
        <v>0</v>
      </c>
      <c r="AG675">
        <f>vlookup("906-246000-210",B:AZ,column(af1),0)*e675</f>
        <v>0</v>
      </c>
      <c r="AH675">
        <f>vlookup("906-246000-210",B:AZ,column(ag1),0)*e675</f>
        <v>0</v>
      </c>
      <c r="AI675">
        <f>vlookup("906-246000-210",B:AZ,column(ah1),0)*e675</f>
        <v>0</v>
      </c>
      <c r="AJ675">
        <f>vlookup("906-246000-210",B:AZ,column(ai1),0)*e675</f>
        <v>0</v>
      </c>
      <c r="AK675">
        <f>vlookup("906-246000-210",B:AZ,column(aj1),0)*e675</f>
        <v>0</v>
      </c>
      <c r="AL675">
        <f>vlookup("906-246000-210",B:AZ,column(ak1),0)*e675</f>
        <v>0</v>
      </c>
      <c r="AM675">
        <f>vlookup("906-246000-210",B:AZ,column(al1),0)*e675</f>
        <v>0</v>
      </c>
      <c r="AN675">
        <f>vlookup("906-246000-210",B:AZ,column(am1),0)*e675</f>
        <v>0</v>
      </c>
      <c r="AO675">
        <f>vlookup("906-246000-210",B:AZ,column(an1),0)*e675</f>
        <v>0</v>
      </c>
    </row>
    <row r="676" spans="1:41">
      <c r="A676" t="s">
        <v>22</v>
      </c>
      <c r="B676" t="s">
        <v>699</v>
      </c>
      <c r="C676" t="s">
        <v>700</v>
      </c>
      <c r="E676">
        <v>0.002</v>
      </c>
      <c r="F676" t="s">
        <v>13</v>
      </c>
      <c r="I676" t="s">
        <v>15</v>
      </c>
      <c r="J676">
        <f>vlookup("906-246000-210",B:AZ,column(i1),0)*e676</f>
        <v>0</v>
      </c>
      <c r="K676">
        <f>vlookup("906-246000-210",B:AZ,column(j1),0)*e676</f>
        <v>0</v>
      </c>
      <c r="L676">
        <f>vlookup("906-246000-210",B:AZ,column(k1),0)*e676</f>
        <v>0</v>
      </c>
      <c r="M676">
        <f>vlookup("906-246000-210",B:AZ,column(l1),0)*e676</f>
        <v>0</v>
      </c>
      <c r="N676">
        <f>vlookup("906-246000-210",B:AZ,column(m1),0)*e676</f>
        <v>0</v>
      </c>
      <c r="O676">
        <f>vlookup("906-246000-210",B:AZ,column(n1),0)*e676</f>
        <v>0</v>
      </c>
      <c r="P676">
        <f>vlookup("906-246000-210",B:AZ,column(o1),0)*e676</f>
        <v>0</v>
      </c>
      <c r="Q676">
        <f>vlookup("906-246000-210",B:AZ,column(p1),0)*e676</f>
        <v>0</v>
      </c>
      <c r="R676">
        <f>vlookup("906-246000-210",B:AZ,column(q1),0)*e676</f>
        <v>0</v>
      </c>
      <c r="S676">
        <f>vlookup("906-246000-210",B:AZ,column(r1),0)*e676</f>
        <v>0</v>
      </c>
      <c r="T676">
        <f>vlookup("906-246000-210",B:AZ,column(s1),0)*e676</f>
        <v>0</v>
      </c>
      <c r="U676">
        <f>vlookup("906-246000-210",B:AZ,column(t1),0)*e676</f>
        <v>0</v>
      </c>
      <c r="V676">
        <f>vlookup("906-246000-210",B:AZ,column(u1),0)*e676</f>
        <v>0</v>
      </c>
      <c r="W676">
        <f>vlookup("906-246000-210",B:AZ,column(v1),0)*e676</f>
        <v>0</v>
      </c>
      <c r="X676">
        <f>vlookup("906-246000-210",B:AZ,column(w1),0)*e676</f>
        <v>0</v>
      </c>
      <c r="Y676">
        <f>vlookup("906-246000-210",B:AZ,column(x1),0)*e676</f>
        <v>0</v>
      </c>
      <c r="Z676">
        <f>vlookup("906-246000-210",B:AZ,column(y1),0)*e676</f>
        <v>0</v>
      </c>
      <c r="AA676">
        <f>vlookup("906-246000-210",B:AZ,column(z1),0)*e676</f>
        <v>0</v>
      </c>
      <c r="AB676">
        <f>vlookup("906-246000-210",B:AZ,column(aa1),0)*e676</f>
        <v>0</v>
      </c>
      <c r="AC676">
        <f>vlookup("906-246000-210",B:AZ,column(ab1),0)*e676</f>
        <v>0</v>
      </c>
      <c r="AD676">
        <f>vlookup("906-246000-210",B:AZ,column(ac1),0)*e676</f>
        <v>0</v>
      </c>
      <c r="AE676">
        <f>vlookup("906-246000-210",B:AZ,column(ad1),0)*e676</f>
        <v>0</v>
      </c>
      <c r="AF676">
        <f>vlookup("906-246000-210",B:AZ,column(ae1),0)*e676</f>
        <v>0</v>
      </c>
      <c r="AG676">
        <f>vlookup("906-246000-210",B:AZ,column(af1),0)*e676</f>
        <v>0</v>
      </c>
      <c r="AH676">
        <f>vlookup("906-246000-210",B:AZ,column(ag1),0)*e676</f>
        <v>0</v>
      </c>
      <c r="AI676">
        <f>vlookup("906-246000-210",B:AZ,column(ah1),0)*e676</f>
        <v>0</v>
      </c>
      <c r="AJ676">
        <f>vlookup("906-246000-210",B:AZ,column(ai1),0)*e676</f>
        <v>0</v>
      </c>
      <c r="AK676">
        <f>vlookup("906-246000-210",B:AZ,column(aj1),0)*e676</f>
        <v>0</v>
      </c>
      <c r="AL676">
        <f>vlookup("906-246000-210",B:AZ,column(ak1),0)*e676</f>
        <v>0</v>
      </c>
      <c r="AM676">
        <f>vlookup("906-246000-210",B:AZ,column(al1),0)*e676</f>
        <v>0</v>
      </c>
      <c r="AN676">
        <f>vlookup("906-246000-210",B:AZ,column(am1),0)*e676</f>
        <v>0</v>
      </c>
      <c r="AO676">
        <f>vlookup("906-246000-210",B:AZ,column(an1),0)*e676</f>
        <v>0</v>
      </c>
    </row>
    <row r="677" spans="1:41">
      <c r="A677" t="s">
        <v>22</v>
      </c>
      <c r="B677" t="s">
        <v>701</v>
      </c>
      <c r="C677" t="s">
        <v>702</v>
      </c>
      <c r="E677">
        <v>0.003</v>
      </c>
      <c r="F677" t="s">
        <v>13</v>
      </c>
      <c r="I677" t="s">
        <v>15</v>
      </c>
      <c r="J677">
        <f>vlookup("906-246000-210",B:AZ,column(i1),0)*e677</f>
        <v>0</v>
      </c>
      <c r="K677">
        <f>vlookup("906-246000-210",B:AZ,column(j1),0)*e677</f>
        <v>0</v>
      </c>
      <c r="L677">
        <f>vlookup("906-246000-210",B:AZ,column(k1),0)*e677</f>
        <v>0</v>
      </c>
      <c r="M677">
        <f>vlookup("906-246000-210",B:AZ,column(l1),0)*e677</f>
        <v>0</v>
      </c>
      <c r="N677">
        <f>vlookup("906-246000-210",B:AZ,column(m1),0)*e677</f>
        <v>0</v>
      </c>
      <c r="O677">
        <f>vlookup("906-246000-210",B:AZ,column(n1),0)*e677</f>
        <v>0</v>
      </c>
      <c r="P677">
        <f>vlookup("906-246000-210",B:AZ,column(o1),0)*e677</f>
        <v>0</v>
      </c>
      <c r="Q677">
        <f>vlookup("906-246000-210",B:AZ,column(p1),0)*e677</f>
        <v>0</v>
      </c>
      <c r="R677">
        <f>vlookup("906-246000-210",B:AZ,column(q1),0)*e677</f>
        <v>0</v>
      </c>
      <c r="S677">
        <f>vlookup("906-246000-210",B:AZ,column(r1),0)*e677</f>
        <v>0</v>
      </c>
      <c r="T677">
        <f>vlookup("906-246000-210",B:AZ,column(s1),0)*e677</f>
        <v>0</v>
      </c>
      <c r="U677">
        <f>vlookup("906-246000-210",B:AZ,column(t1),0)*e677</f>
        <v>0</v>
      </c>
      <c r="V677">
        <f>vlookup("906-246000-210",B:AZ,column(u1),0)*e677</f>
        <v>0</v>
      </c>
      <c r="W677">
        <f>vlookup("906-246000-210",B:AZ,column(v1),0)*e677</f>
        <v>0</v>
      </c>
      <c r="X677">
        <f>vlookup("906-246000-210",B:AZ,column(w1),0)*e677</f>
        <v>0</v>
      </c>
      <c r="Y677">
        <f>vlookup("906-246000-210",B:AZ,column(x1),0)*e677</f>
        <v>0</v>
      </c>
      <c r="Z677">
        <f>vlookup("906-246000-210",B:AZ,column(y1),0)*e677</f>
        <v>0</v>
      </c>
      <c r="AA677">
        <f>vlookup("906-246000-210",B:AZ,column(z1),0)*e677</f>
        <v>0</v>
      </c>
      <c r="AB677">
        <f>vlookup("906-246000-210",B:AZ,column(aa1),0)*e677</f>
        <v>0</v>
      </c>
      <c r="AC677">
        <f>vlookup("906-246000-210",B:AZ,column(ab1),0)*e677</f>
        <v>0</v>
      </c>
      <c r="AD677">
        <f>vlookup("906-246000-210",B:AZ,column(ac1),0)*e677</f>
        <v>0</v>
      </c>
      <c r="AE677">
        <f>vlookup("906-246000-210",B:AZ,column(ad1),0)*e677</f>
        <v>0</v>
      </c>
      <c r="AF677">
        <f>vlookup("906-246000-210",B:AZ,column(ae1),0)*e677</f>
        <v>0</v>
      </c>
      <c r="AG677">
        <f>vlookup("906-246000-210",B:AZ,column(af1),0)*e677</f>
        <v>0</v>
      </c>
      <c r="AH677">
        <f>vlookup("906-246000-210",B:AZ,column(ag1),0)*e677</f>
        <v>0</v>
      </c>
      <c r="AI677">
        <f>vlookup("906-246000-210",B:AZ,column(ah1),0)*e677</f>
        <v>0</v>
      </c>
      <c r="AJ677">
        <f>vlookup("906-246000-210",B:AZ,column(ai1),0)*e677</f>
        <v>0</v>
      </c>
      <c r="AK677">
        <f>vlookup("906-246000-210",B:AZ,column(aj1),0)*e677</f>
        <v>0</v>
      </c>
      <c r="AL677">
        <f>vlookup("906-246000-210",B:AZ,column(ak1),0)*e677</f>
        <v>0</v>
      </c>
      <c r="AM677">
        <f>vlookup("906-246000-210",B:AZ,column(al1),0)*e677</f>
        <v>0</v>
      </c>
      <c r="AN677">
        <f>vlookup("906-246000-210",B:AZ,column(am1),0)*e677</f>
        <v>0</v>
      </c>
      <c r="AO677">
        <f>vlookup("906-246000-210",B:AZ,column(an1),0)*e677</f>
        <v>0</v>
      </c>
    </row>
    <row r="678" spans="1:41">
      <c r="A678" t="s">
        <v>22</v>
      </c>
      <c r="B678" t="s">
        <v>703</v>
      </c>
      <c r="C678" t="s">
        <v>704</v>
      </c>
      <c r="E678">
        <v>2</v>
      </c>
      <c r="F678" t="s">
        <v>13</v>
      </c>
      <c r="I678" t="s">
        <v>15</v>
      </c>
      <c r="J678">
        <f>vlookup("906-246000-210",B:AZ,column(i1),0)*e678</f>
        <v>0</v>
      </c>
      <c r="K678">
        <f>vlookup("906-246000-210",B:AZ,column(j1),0)*e678</f>
        <v>0</v>
      </c>
      <c r="L678">
        <f>vlookup("906-246000-210",B:AZ,column(k1),0)*e678</f>
        <v>0</v>
      </c>
      <c r="M678">
        <f>vlookup("906-246000-210",B:AZ,column(l1),0)*e678</f>
        <v>0</v>
      </c>
      <c r="N678">
        <f>vlookup("906-246000-210",B:AZ,column(m1),0)*e678</f>
        <v>0</v>
      </c>
      <c r="O678">
        <f>vlookup("906-246000-210",B:AZ,column(n1),0)*e678</f>
        <v>0</v>
      </c>
      <c r="P678">
        <f>vlookup("906-246000-210",B:AZ,column(o1),0)*e678</f>
        <v>0</v>
      </c>
      <c r="Q678">
        <f>vlookup("906-246000-210",B:AZ,column(p1),0)*e678</f>
        <v>0</v>
      </c>
      <c r="R678">
        <f>vlookup("906-246000-210",B:AZ,column(q1),0)*e678</f>
        <v>0</v>
      </c>
      <c r="S678">
        <f>vlookup("906-246000-210",B:AZ,column(r1),0)*e678</f>
        <v>0</v>
      </c>
      <c r="T678">
        <f>vlookup("906-246000-210",B:AZ,column(s1),0)*e678</f>
        <v>0</v>
      </c>
      <c r="U678">
        <f>vlookup("906-246000-210",B:AZ,column(t1),0)*e678</f>
        <v>0</v>
      </c>
      <c r="V678">
        <f>vlookup("906-246000-210",B:AZ,column(u1),0)*e678</f>
        <v>0</v>
      </c>
      <c r="W678">
        <f>vlookup("906-246000-210",B:AZ,column(v1),0)*e678</f>
        <v>0</v>
      </c>
      <c r="X678">
        <f>vlookup("906-246000-210",B:AZ,column(w1),0)*e678</f>
        <v>0</v>
      </c>
      <c r="Y678">
        <f>vlookup("906-246000-210",B:AZ,column(x1),0)*e678</f>
        <v>0</v>
      </c>
      <c r="Z678">
        <f>vlookup("906-246000-210",B:AZ,column(y1),0)*e678</f>
        <v>0</v>
      </c>
      <c r="AA678">
        <f>vlookup("906-246000-210",B:AZ,column(z1),0)*e678</f>
        <v>0</v>
      </c>
      <c r="AB678">
        <f>vlookup("906-246000-210",B:AZ,column(aa1),0)*e678</f>
        <v>0</v>
      </c>
      <c r="AC678">
        <f>vlookup("906-246000-210",B:AZ,column(ab1),0)*e678</f>
        <v>0</v>
      </c>
      <c r="AD678">
        <f>vlookup("906-246000-210",B:AZ,column(ac1),0)*e678</f>
        <v>0</v>
      </c>
      <c r="AE678">
        <f>vlookup("906-246000-210",B:AZ,column(ad1),0)*e678</f>
        <v>0</v>
      </c>
      <c r="AF678">
        <f>vlookup("906-246000-210",B:AZ,column(ae1),0)*e678</f>
        <v>0</v>
      </c>
      <c r="AG678">
        <f>vlookup("906-246000-210",B:AZ,column(af1),0)*e678</f>
        <v>0</v>
      </c>
      <c r="AH678">
        <f>vlookup("906-246000-210",B:AZ,column(ag1),0)*e678</f>
        <v>0</v>
      </c>
      <c r="AI678">
        <f>vlookup("906-246000-210",B:AZ,column(ah1),0)*e678</f>
        <v>0</v>
      </c>
      <c r="AJ678">
        <f>vlookup("906-246000-210",B:AZ,column(ai1),0)*e678</f>
        <v>0</v>
      </c>
      <c r="AK678">
        <f>vlookup("906-246000-210",B:AZ,column(aj1),0)*e678</f>
        <v>0</v>
      </c>
      <c r="AL678">
        <f>vlookup("906-246000-210",B:AZ,column(ak1),0)*e678</f>
        <v>0</v>
      </c>
      <c r="AM678">
        <f>vlookup("906-246000-210",B:AZ,column(al1),0)*e678</f>
        <v>0</v>
      </c>
      <c r="AN678">
        <f>vlookup("906-246000-210",B:AZ,column(am1),0)*e678</f>
        <v>0</v>
      </c>
      <c r="AO678">
        <f>vlookup("906-246000-210",B:AZ,column(an1),0)*e678</f>
        <v>0</v>
      </c>
    </row>
    <row r="679" spans="1:41">
      <c r="A679" t="s">
        <v>22</v>
      </c>
      <c r="B679" t="s">
        <v>705</v>
      </c>
      <c r="C679" t="s">
        <v>706</v>
      </c>
      <c r="E679">
        <v>1</v>
      </c>
      <c r="F679" t="s">
        <v>13</v>
      </c>
      <c r="I679" t="s">
        <v>15</v>
      </c>
      <c r="J679">
        <f>vlookup("906-246000-210",B:AZ,column(i1),0)*e679</f>
        <v>0</v>
      </c>
      <c r="K679">
        <f>vlookup("906-246000-210",B:AZ,column(j1),0)*e679</f>
        <v>0</v>
      </c>
      <c r="L679">
        <f>vlookup("906-246000-210",B:AZ,column(k1),0)*e679</f>
        <v>0</v>
      </c>
      <c r="M679">
        <f>vlookup("906-246000-210",B:AZ,column(l1),0)*e679</f>
        <v>0</v>
      </c>
      <c r="N679">
        <f>vlookup("906-246000-210",B:AZ,column(m1),0)*e679</f>
        <v>0</v>
      </c>
      <c r="O679">
        <f>vlookup("906-246000-210",B:AZ,column(n1),0)*e679</f>
        <v>0</v>
      </c>
      <c r="P679">
        <f>vlookup("906-246000-210",B:AZ,column(o1),0)*e679</f>
        <v>0</v>
      </c>
      <c r="Q679">
        <f>vlookup("906-246000-210",B:AZ,column(p1),0)*e679</f>
        <v>0</v>
      </c>
      <c r="R679">
        <f>vlookup("906-246000-210",B:AZ,column(q1),0)*e679</f>
        <v>0</v>
      </c>
      <c r="S679">
        <f>vlookup("906-246000-210",B:AZ,column(r1),0)*e679</f>
        <v>0</v>
      </c>
      <c r="T679">
        <f>vlookup("906-246000-210",B:AZ,column(s1),0)*e679</f>
        <v>0</v>
      </c>
      <c r="U679">
        <f>vlookup("906-246000-210",B:AZ,column(t1),0)*e679</f>
        <v>0</v>
      </c>
      <c r="V679">
        <f>vlookup("906-246000-210",B:AZ,column(u1),0)*e679</f>
        <v>0</v>
      </c>
      <c r="W679">
        <f>vlookup("906-246000-210",B:AZ,column(v1),0)*e679</f>
        <v>0</v>
      </c>
      <c r="X679">
        <f>vlookup("906-246000-210",B:AZ,column(w1),0)*e679</f>
        <v>0</v>
      </c>
      <c r="Y679">
        <f>vlookup("906-246000-210",B:AZ,column(x1),0)*e679</f>
        <v>0</v>
      </c>
      <c r="Z679">
        <f>vlookup("906-246000-210",B:AZ,column(y1),0)*e679</f>
        <v>0</v>
      </c>
      <c r="AA679">
        <f>vlookup("906-246000-210",B:AZ,column(z1),0)*e679</f>
        <v>0</v>
      </c>
      <c r="AB679">
        <f>vlookup("906-246000-210",B:AZ,column(aa1),0)*e679</f>
        <v>0</v>
      </c>
      <c r="AC679">
        <f>vlookup("906-246000-210",B:AZ,column(ab1),0)*e679</f>
        <v>0</v>
      </c>
      <c r="AD679">
        <f>vlookup("906-246000-210",B:AZ,column(ac1),0)*e679</f>
        <v>0</v>
      </c>
      <c r="AE679">
        <f>vlookup("906-246000-210",B:AZ,column(ad1),0)*e679</f>
        <v>0</v>
      </c>
      <c r="AF679">
        <f>vlookup("906-246000-210",B:AZ,column(ae1),0)*e679</f>
        <v>0</v>
      </c>
      <c r="AG679">
        <f>vlookup("906-246000-210",B:AZ,column(af1),0)*e679</f>
        <v>0</v>
      </c>
      <c r="AH679">
        <f>vlookup("906-246000-210",B:AZ,column(ag1),0)*e679</f>
        <v>0</v>
      </c>
      <c r="AI679">
        <f>vlookup("906-246000-210",B:AZ,column(ah1),0)*e679</f>
        <v>0</v>
      </c>
      <c r="AJ679">
        <f>vlookup("906-246000-210",B:AZ,column(ai1),0)*e679</f>
        <v>0</v>
      </c>
      <c r="AK679">
        <f>vlookup("906-246000-210",B:AZ,column(aj1),0)*e679</f>
        <v>0</v>
      </c>
      <c r="AL679">
        <f>vlookup("906-246000-210",B:AZ,column(ak1),0)*e679</f>
        <v>0</v>
      </c>
      <c r="AM679">
        <f>vlookup("906-246000-210",B:AZ,column(al1),0)*e679</f>
        <v>0</v>
      </c>
      <c r="AN679">
        <f>vlookup("906-246000-210",B:AZ,column(am1),0)*e679</f>
        <v>0</v>
      </c>
      <c r="AO679">
        <f>vlookup("906-246000-210",B:AZ,column(an1),0)*e679</f>
        <v>0</v>
      </c>
    </row>
    <row r="680" spans="1:41">
      <c r="A680" t="s">
        <v>10</v>
      </c>
      <c r="B680" t="s">
        <v>707</v>
      </c>
      <c r="C680" t="s">
        <v>708</v>
      </c>
      <c r="E680">
        <v>1</v>
      </c>
      <c r="F680" t="s">
        <v>13</v>
      </c>
      <c r="I680" t="s">
        <v>14</v>
      </c>
      <c r="AO680">
        <f>sum(j680:an680)</f>
        <v>0</v>
      </c>
    </row>
    <row r="681" spans="1:41">
      <c r="I681" t="s">
        <v>15</v>
      </c>
      <c r="J681">
        <f>vlookup("906-488000-110",Out!B:AZ,column(i1),0)</f>
        <v>0</v>
      </c>
      <c r="K681">
        <f>vlookup("906-488000-110",Out!B:AZ,column(j1),0)</f>
        <v>0</v>
      </c>
      <c r="L681">
        <f>vlookup("906-488000-110",Out!B:AZ,column(k1),0)</f>
        <v>0</v>
      </c>
      <c r="M681">
        <f>vlookup("906-488000-110",Out!B:AZ,column(l1),0)</f>
        <v>0</v>
      </c>
      <c r="N681">
        <f>vlookup("906-488000-110",Out!B:AZ,column(m1),0)</f>
        <v>0</v>
      </c>
      <c r="O681">
        <f>vlookup("906-488000-110",Out!B:AZ,column(n1),0)</f>
        <v>0</v>
      </c>
      <c r="P681">
        <f>vlookup("906-488000-110",Out!B:AZ,column(o1),0)</f>
        <v>0</v>
      </c>
      <c r="Q681">
        <f>vlookup("906-488000-110",Out!B:AZ,column(p1),0)</f>
        <v>0</v>
      </c>
      <c r="R681">
        <f>vlookup("906-488000-110",Out!B:AZ,column(q1),0)</f>
        <v>0</v>
      </c>
      <c r="S681">
        <f>vlookup("906-488000-110",Out!B:AZ,column(r1),0)</f>
        <v>0</v>
      </c>
      <c r="T681">
        <f>vlookup("906-488000-110",Out!B:AZ,column(s1),0)</f>
        <v>0</v>
      </c>
      <c r="U681">
        <f>vlookup("906-488000-110",Out!B:AZ,column(t1),0)</f>
        <v>0</v>
      </c>
      <c r="V681">
        <f>vlookup("906-488000-110",Out!B:AZ,column(u1),0)</f>
        <v>0</v>
      </c>
      <c r="W681">
        <f>vlookup("906-488000-110",Out!B:AZ,column(v1),0)</f>
        <v>0</v>
      </c>
      <c r="X681">
        <f>vlookup("906-488000-110",Out!B:AZ,column(w1),0)</f>
        <v>0</v>
      </c>
      <c r="Y681">
        <f>vlookup("906-488000-110",Out!B:AZ,column(x1),0)</f>
        <v>0</v>
      </c>
      <c r="Z681">
        <f>vlookup("906-488000-110",Out!B:AZ,column(y1),0)</f>
        <v>0</v>
      </c>
      <c r="AA681">
        <f>vlookup("906-488000-110",Out!B:AZ,column(z1),0)</f>
        <v>0</v>
      </c>
      <c r="AB681">
        <f>vlookup("906-488000-110",Out!B:AZ,column(aa1),0)</f>
        <v>0</v>
      </c>
      <c r="AC681">
        <f>vlookup("906-488000-110",Out!B:AZ,column(ab1),0)</f>
        <v>0</v>
      </c>
      <c r="AD681">
        <f>vlookup("906-488000-110",Out!B:AZ,column(ac1),0)</f>
        <v>0</v>
      </c>
      <c r="AE681">
        <f>vlookup("906-488000-110",Out!B:AZ,column(ad1),0)</f>
        <v>0</v>
      </c>
      <c r="AF681">
        <f>vlookup("906-488000-110",Out!B:AZ,column(ae1),0)</f>
        <v>0</v>
      </c>
      <c r="AG681">
        <f>vlookup("906-488000-110",Out!B:AZ,column(af1),0)</f>
        <v>0</v>
      </c>
      <c r="AH681">
        <f>vlookup("906-488000-110",Out!B:AZ,column(ag1),0)</f>
        <v>0</v>
      </c>
      <c r="AI681">
        <f>vlookup("906-488000-110",Out!B:AZ,column(ah1),0)</f>
        <v>0</v>
      </c>
      <c r="AJ681">
        <f>vlookup("906-488000-110",Out!B:AZ,column(ai1),0)</f>
        <v>0</v>
      </c>
      <c r="AK681">
        <f>vlookup("906-488000-110",Out!B:AZ,column(aj1),0)</f>
        <v>0</v>
      </c>
      <c r="AL681">
        <f>vlookup("906-488000-110",Out!B:AZ,column(ak1),0)</f>
        <v>0</v>
      </c>
      <c r="AM681">
        <f>vlookup("906-488000-110",Out!B:AZ,column(al1),0)</f>
        <v>0</v>
      </c>
      <c r="AN681">
        <f>vlookup("906-488000-110",Out!B:AZ,column(am1),0)</f>
        <v>0</v>
      </c>
      <c r="AO681">
        <f>vlookup("906-488000-110",Out!B:AZ,column(an1),0)</f>
        <v>0</v>
      </c>
    </row>
    <row r="682" spans="1:41">
      <c r="H682" t="s">
        <v>16</v>
      </c>
      <c r="J682">
        <f>indirect(address(682,9))+indirect(address(680,10))-indirect(address(681,10))</f>
        <v>0</v>
      </c>
      <c r="K682">
        <f>indirect(address(682,10))+indirect(address(680,11))-indirect(address(681,11))</f>
        <v>0</v>
      </c>
      <c r="L682">
        <f>indirect(address(682,11))+indirect(address(680,12))-indirect(address(681,12))</f>
        <v>0</v>
      </c>
      <c r="M682">
        <f>indirect(address(682,12))+indirect(address(680,13))-indirect(address(681,13))</f>
        <v>0</v>
      </c>
      <c r="N682">
        <f>indirect(address(682,13))+indirect(address(680,14))-indirect(address(681,14))</f>
        <v>0</v>
      </c>
      <c r="O682">
        <f>indirect(address(682,14))+indirect(address(680,15))-indirect(address(681,15))</f>
        <v>0</v>
      </c>
      <c r="P682">
        <f>indirect(address(682,15))+indirect(address(680,16))-indirect(address(681,16))</f>
        <v>0</v>
      </c>
      <c r="Q682">
        <f>indirect(address(682,16))+indirect(address(680,17))-indirect(address(681,17))</f>
        <v>0</v>
      </c>
      <c r="R682">
        <f>indirect(address(682,17))+indirect(address(680,18))-indirect(address(681,18))</f>
        <v>0</v>
      </c>
      <c r="S682">
        <f>indirect(address(682,18))+indirect(address(680,19))-indirect(address(681,19))</f>
        <v>0</v>
      </c>
      <c r="T682">
        <f>indirect(address(682,19))+indirect(address(680,20))-indirect(address(681,20))</f>
        <v>0</v>
      </c>
      <c r="U682">
        <f>indirect(address(682,20))+indirect(address(680,21))-indirect(address(681,21))</f>
        <v>0</v>
      </c>
      <c r="V682">
        <f>indirect(address(682,21))+indirect(address(680,22))-indirect(address(681,22))</f>
        <v>0</v>
      </c>
      <c r="W682">
        <f>indirect(address(682,22))+indirect(address(680,23))-indirect(address(681,23))</f>
        <v>0</v>
      </c>
      <c r="X682">
        <f>indirect(address(682,23))+indirect(address(680,24))-indirect(address(681,24))</f>
        <v>0</v>
      </c>
      <c r="Y682">
        <f>indirect(address(682,24))+indirect(address(680,25))-indirect(address(681,25))</f>
        <v>0</v>
      </c>
      <c r="Z682">
        <f>indirect(address(682,25))+indirect(address(680,26))-indirect(address(681,26))</f>
        <v>0</v>
      </c>
      <c r="AA682">
        <f>indirect(address(682,26))+indirect(address(680,27))-indirect(address(681,27))</f>
        <v>0</v>
      </c>
      <c r="AB682">
        <f>indirect(address(682,27))+indirect(address(680,28))-indirect(address(681,28))</f>
        <v>0</v>
      </c>
      <c r="AC682">
        <f>indirect(address(682,28))+indirect(address(680,29))-indirect(address(681,29))</f>
        <v>0</v>
      </c>
      <c r="AD682">
        <f>indirect(address(682,29))+indirect(address(680,30))-indirect(address(681,30))</f>
        <v>0</v>
      </c>
      <c r="AE682">
        <f>indirect(address(682,30))+indirect(address(680,31))-indirect(address(681,31))</f>
        <v>0</v>
      </c>
      <c r="AF682">
        <f>indirect(address(682,31))+indirect(address(680,32))-indirect(address(681,32))</f>
        <v>0</v>
      </c>
      <c r="AG682">
        <f>indirect(address(682,32))+indirect(address(680,33))-indirect(address(681,33))</f>
        <v>0</v>
      </c>
      <c r="AH682">
        <f>indirect(address(682,33))+indirect(address(680,34))-indirect(address(681,34))</f>
        <v>0</v>
      </c>
      <c r="AI682">
        <f>indirect(address(682,34))+indirect(address(680,35))-indirect(address(681,35))</f>
        <v>0</v>
      </c>
      <c r="AJ682">
        <f>indirect(address(682,35))+indirect(address(680,36))-indirect(address(681,36))</f>
        <v>0</v>
      </c>
      <c r="AK682">
        <f>indirect(address(682,36))+indirect(address(680,37))-indirect(address(681,37))</f>
        <v>0</v>
      </c>
      <c r="AL682">
        <f>indirect(address(682,37))+indirect(address(680,38))-indirect(address(681,38))</f>
        <v>0</v>
      </c>
      <c r="AM682">
        <f>indirect(address(682,38))+indirect(address(680,39))-indirect(address(681,39))</f>
        <v>0</v>
      </c>
      <c r="AN682">
        <f>indirect(address(682,39))+indirect(address(680,40))-indirect(address(681,40))</f>
        <v>0</v>
      </c>
      <c r="AO682">
        <f>indirect(address(682,40))</f>
        <v>0</v>
      </c>
    </row>
    <row r="683" spans="1:41">
      <c r="A683" t="s">
        <v>17</v>
      </c>
      <c r="B683" t="s">
        <v>709</v>
      </c>
      <c r="C683" t="s">
        <v>710</v>
      </c>
      <c r="E683">
        <v>1</v>
      </c>
      <c r="F683" t="s">
        <v>13</v>
      </c>
      <c r="I683" t="s">
        <v>15</v>
      </c>
      <c r="J683">
        <f>vlookup("906-488000-110",B:AZ,column(i1),0)*e683</f>
        <v>0</v>
      </c>
      <c r="K683">
        <f>vlookup("906-488000-110",B:AZ,column(j1),0)*e683</f>
        <v>0</v>
      </c>
      <c r="L683">
        <f>vlookup("906-488000-110",B:AZ,column(k1),0)*e683</f>
        <v>0</v>
      </c>
      <c r="M683">
        <f>vlookup("906-488000-110",B:AZ,column(l1),0)*e683</f>
        <v>0</v>
      </c>
      <c r="N683">
        <f>vlookup("906-488000-110",B:AZ,column(m1),0)*e683</f>
        <v>0</v>
      </c>
      <c r="O683">
        <f>vlookup("906-488000-110",B:AZ,column(n1),0)*e683</f>
        <v>0</v>
      </c>
      <c r="P683">
        <f>vlookup("906-488000-110",B:AZ,column(o1),0)*e683</f>
        <v>0</v>
      </c>
      <c r="Q683">
        <f>vlookup("906-488000-110",B:AZ,column(p1),0)*e683</f>
        <v>0</v>
      </c>
      <c r="R683">
        <f>vlookup("906-488000-110",B:AZ,column(q1),0)*e683</f>
        <v>0</v>
      </c>
      <c r="S683">
        <f>vlookup("906-488000-110",B:AZ,column(r1),0)*e683</f>
        <v>0</v>
      </c>
      <c r="T683">
        <f>vlookup("906-488000-110",B:AZ,column(s1),0)*e683</f>
        <v>0</v>
      </c>
      <c r="U683">
        <f>vlookup("906-488000-110",B:AZ,column(t1),0)*e683</f>
        <v>0</v>
      </c>
      <c r="V683">
        <f>vlookup("906-488000-110",B:AZ,column(u1),0)*e683</f>
        <v>0</v>
      </c>
      <c r="W683">
        <f>vlookup("906-488000-110",B:AZ,column(v1),0)*e683</f>
        <v>0</v>
      </c>
      <c r="X683">
        <f>vlookup("906-488000-110",B:AZ,column(w1),0)*e683</f>
        <v>0</v>
      </c>
      <c r="Y683">
        <f>vlookup("906-488000-110",B:AZ,column(x1),0)*e683</f>
        <v>0</v>
      </c>
      <c r="Z683">
        <f>vlookup("906-488000-110",B:AZ,column(y1),0)*e683</f>
        <v>0</v>
      </c>
      <c r="AA683">
        <f>vlookup("906-488000-110",B:AZ,column(z1),0)*e683</f>
        <v>0</v>
      </c>
      <c r="AB683">
        <f>vlookup("906-488000-110",B:AZ,column(aa1),0)*e683</f>
        <v>0</v>
      </c>
      <c r="AC683">
        <f>vlookup("906-488000-110",B:AZ,column(ab1),0)*e683</f>
        <v>0</v>
      </c>
      <c r="AD683">
        <f>vlookup("906-488000-110",B:AZ,column(ac1),0)*e683</f>
        <v>0</v>
      </c>
      <c r="AE683">
        <f>vlookup("906-488000-110",B:AZ,column(ad1),0)*e683</f>
        <v>0</v>
      </c>
      <c r="AF683">
        <f>vlookup("906-488000-110",B:AZ,column(ae1),0)*e683</f>
        <v>0</v>
      </c>
      <c r="AG683">
        <f>vlookup("906-488000-110",B:AZ,column(af1),0)*e683</f>
        <v>0</v>
      </c>
      <c r="AH683">
        <f>vlookup("906-488000-110",B:AZ,column(ag1),0)*e683</f>
        <v>0</v>
      </c>
      <c r="AI683">
        <f>vlookup("906-488000-110",B:AZ,column(ah1),0)*e683</f>
        <v>0</v>
      </c>
      <c r="AJ683">
        <f>vlookup("906-488000-110",B:AZ,column(ai1),0)*e683</f>
        <v>0</v>
      </c>
      <c r="AK683">
        <f>vlookup("906-488000-110",B:AZ,column(aj1),0)*e683</f>
        <v>0</v>
      </c>
      <c r="AL683">
        <f>vlookup("906-488000-110",B:AZ,column(ak1),0)*e683</f>
        <v>0</v>
      </c>
      <c r="AM683">
        <f>vlookup("906-488000-110",B:AZ,column(al1),0)*e683</f>
        <v>0</v>
      </c>
      <c r="AN683">
        <f>vlookup("906-488000-110",B:AZ,column(am1),0)*e683</f>
        <v>0</v>
      </c>
      <c r="AO683">
        <f>vlookup("906-488000-110",B:AZ,column(an1),0)*e683</f>
        <v>0</v>
      </c>
    </row>
    <row r="684" spans="1:41">
      <c r="A684" t="s">
        <v>22</v>
      </c>
      <c r="B684" t="s">
        <v>711</v>
      </c>
      <c r="C684" t="s">
        <v>712</v>
      </c>
      <c r="E684">
        <v>1</v>
      </c>
      <c r="F684" t="s">
        <v>13</v>
      </c>
      <c r="I684" t="s">
        <v>15</v>
      </c>
      <c r="J684">
        <f>vlookup("906-488000-110",B:AZ,column(i1),0)*e684</f>
        <v>0</v>
      </c>
      <c r="K684">
        <f>vlookup("906-488000-110",B:AZ,column(j1),0)*e684</f>
        <v>0</v>
      </c>
      <c r="L684">
        <f>vlookup("906-488000-110",B:AZ,column(k1),0)*e684</f>
        <v>0</v>
      </c>
      <c r="M684">
        <f>vlookup("906-488000-110",B:AZ,column(l1),0)*e684</f>
        <v>0</v>
      </c>
      <c r="N684">
        <f>vlookup("906-488000-110",B:AZ,column(m1),0)*e684</f>
        <v>0</v>
      </c>
      <c r="O684">
        <f>vlookup("906-488000-110",B:AZ,column(n1),0)*e684</f>
        <v>0</v>
      </c>
      <c r="P684">
        <f>vlookup("906-488000-110",B:AZ,column(o1),0)*e684</f>
        <v>0</v>
      </c>
      <c r="Q684">
        <f>vlookup("906-488000-110",B:AZ,column(p1),0)*e684</f>
        <v>0</v>
      </c>
      <c r="R684">
        <f>vlookup("906-488000-110",B:AZ,column(q1),0)*e684</f>
        <v>0</v>
      </c>
      <c r="S684">
        <f>vlookup("906-488000-110",B:AZ,column(r1),0)*e684</f>
        <v>0</v>
      </c>
      <c r="T684">
        <f>vlookup("906-488000-110",B:AZ,column(s1),0)*e684</f>
        <v>0</v>
      </c>
      <c r="U684">
        <f>vlookup("906-488000-110",B:AZ,column(t1),0)*e684</f>
        <v>0</v>
      </c>
      <c r="V684">
        <f>vlookup("906-488000-110",B:AZ,column(u1),0)*e684</f>
        <v>0</v>
      </c>
      <c r="W684">
        <f>vlookup("906-488000-110",B:AZ,column(v1),0)*e684</f>
        <v>0</v>
      </c>
      <c r="X684">
        <f>vlookup("906-488000-110",B:AZ,column(w1),0)*e684</f>
        <v>0</v>
      </c>
      <c r="Y684">
        <f>vlookup("906-488000-110",B:AZ,column(x1),0)*e684</f>
        <v>0</v>
      </c>
      <c r="Z684">
        <f>vlookup("906-488000-110",B:AZ,column(y1),0)*e684</f>
        <v>0</v>
      </c>
      <c r="AA684">
        <f>vlookup("906-488000-110",B:AZ,column(z1),0)*e684</f>
        <v>0</v>
      </c>
      <c r="AB684">
        <f>vlookup("906-488000-110",B:AZ,column(aa1),0)*e684</f>
        <v>0</v>
      </c>
      <c r="AC684">
        <f>vlookup("906-488000-110",B:AZ,column(ab1),0)*e684</f>
        <v>0</v>
      </c>
      <c r="AD684">
        <f>vlookup("906-488000-110",B:AZ,column(ac1),0)*e684</f>
        <v>0</v>
      </c>
      <c r="AE684">
        <f>vlookup("906-488000-110",B:AZ,column(ad1),0)*e684</f>
        <v>0</v>
      </c>
      <c r="AF684">
        <f>vlookup("906-488000-110",B:AZ,column(ae1),0)*e684</f>
        <v>0</v>
      </c>
      <c r="AG684">
        <f>vlookup("906-488000-110",B:AZ,column(af1),0)*e684</f>
        <v>0</v>
      </c>
      <c r="AH684">
        <f>vlookup("906-488000-110",B:AZ,column(ag1),0)*e684</f>
        <v>0</v>
      </c>
      <c r="AI684">
        <f>vlookup("906-488000-110",B:AZ,column(ah1),0)*e684</f>
        <v>0</v>
      </c>
      <c r="AJ684">
        <f>vlookup("906-488000-110",B:AZ,column(ai1),0)*e684</f>
        <v>0</v>
      </c>
      <c r="AK684">
        <f>vlookup("906-488000-110",B:AZ,column(aj1),0)*e684</f>
        <v>0</v>
      </c>
      <c r="AL684">
        <f>vlookup("906-488000-110",B:AZ,column(ak1),0)*e684</f>
        <v>0</v>
      </c>
      <c r="AM684">
        <f>vlookup("906-488000-110",B:AZ,column(al1),0)*e684</f>
        <v>0</v>
      </c>
      <c r="AN684">
        <f>vlookup("906-488000-110",B:AZ,column(am1),0)*e684</f>
        <v>0</v>
      </c>
      <c r="AO684">
        <f>vlookup("906-488000-110",B:AZ,column(an1),0)*e684</f>
        <v>0</v>
      </c>
    </row>
    <row r="685" spans="1:41">
      <c r="A685" t="s">
        <v>22</v>
      </c>
      <c r="B685" t="s">
        <v>713</v>
      </c>
      <c r="C685" t="s">
        <v>714</v>
      </c>
      <c r="E685">
        <v>1</v>
      </c>
      <c r="F685" t="s">
        <v>13</v>
      </c>
      <c r="I685" t="s">
        <v>15</v>
      </c>
      <c r="J685">
        <f>vlookup("906-488000-110",B:AZ,column(i1),0)*e685</f>
        <v>0</v>
      </c>
      <c r="K685">
        <f>vlookup("906-488000-110",B:AZ,column(j1),0)*e685</f>
        <v>0</v>
      </c>
      <c r="L685">
        <f>vlookup("906-488000-110",B:AZ,column(k1),0)*e685</f>
        <v>0</v>
      </c>
      <c r="M685">
        <f>vlookup("906-488000-110",B:AZ,column(l1),0)*e685</f>
        <v>0</v>
      </c>
      <c r="N685">
        <f>vlookup("906-488000-110",B:AZ,column(m1),0)*e685</f>
        <v>0</v>
      </c>
      <c r="O685">
        <f>vlookup("906-488000-110",B:AZ,column(n1),0)*e685</f>
        <v>0</v>
      </c>
      <c r="P685">
        <f>vlookup("906-488000-110",B:AZ,column(o1),0)*e685</f>
        <v>0</v>
      </c>
      <c r="Q685">
        <f>vlookup("906-488000-110",B:AZ,column(p1),0)*e685</f>
        <v>0</v>
      </c>
      <c r="R685">
        <f>vlookup("906-488000-110",B:AZ,column(q1),0)*e685</f>
        <v>0</v>
      </c>
      <c r="S685">
        <f>vlookup("906-488000-110",B:AZ,column(r1),0)*e685</f>
        <v>0</v>
      </c>
      <c r="T685">
        <f>vlookup("906-488000-110",B:AZ,column(s1),0)*e685</f>
        <v>0</v>
      </c>
      <c r="U685">
        <f>vlookup("906-488000-110",B:AZ,column(t1),0)*e685</f>
        <v>0</v>
      </c>
      <c r="V685">
        <f>vlookup("906-488000-110",B:AZ,column(u1),0)*e685</f>
        <v>0</v>
      </c>
      <c r="W685">
        <f>vlookup("906-488000-110",B:AZ,column(v1),0)*e685</f>
        <v>0</v>
      </c>
      <c r="X685">
        <f>vlookup("906-488000-110",B:AZ,column(w1),0)*e685</f>
        <v>0</v>
      </c>
      <c r="Y685">
        <f>vlookup("906-488000-110",B:AZ,column(x1),0)*e685</f>
        <v>0</v>
      </c>
      <c r="Z685">
        <f>vlookup("906-488000-110",B:AZ,column(y1),0)*e685</f>
        <v>0</v>
      </c>
      <c r="AA685">
        <f>vlookup("906-488000-110",B:AZ,column(z1),0)*e685</f>
        <v>0</v>
      </c>
      <c r="AB685">
        <f>vlookup("906-488000-110",B:AZ,column(aa1),0)*e685</f>
        <v>0</v>
      </c>
      <c r="AC685">
        <f>vlookup("906-488000-110",B:AZ,column(ab1),0)*e685</f>
        <v>0</v>
      </c>
      <c r="AD685">
        <f>vlookup("906-488000-110",B:AZ,column(ac1),0)*e685</f>
        <v>0</v>
      </c>
      <c r="AE685">
        <f>vlookup("906-488000-110",B:AZ,column(ad1),0)*e685</f>
        <v>0</v>
      </c>
      <c r="AF685">
        <f>vlookup("906-488000-110",B:AZ,column(ae1),0)*e685</f>
        <v>0</v>
      </c>
      <c r="AG685">
        <f>vlookup("906-488000-110",B:AZ,column(af1),0)*e685</f>
        <v>0</v>
      </c>
      <c r="AH685">
        <f>vlookup("906-488000-110",B:AZ,column(ag1),0)*e685</f>
        <v>0</v>
      </c>
      <c r="AI685">
        <f>vlookup("906-488000-110",B:AZ,column(ah1),0)*e685</f>
        <v>0</v>
      </c>
      <c r="AJ685">
        <f>vlookup("906-488000-110",B:AZ,column(ai1),0)*e685</f>
        <v>0</v>
      </c>
      <c r="AK685">
        <f>vlookup("906-488000-110",B:AZ,column(aj1),0)*e685</f>
        <v>0</v>
      </c>
      <c r="AL685">
        <f>vlookup("906-488000-110",B:AZ,column(ak1),0)*e685</f>
        <v>0</v>
      </c>
      <c r="AM685">
        <f>vlookup("906-488000-110",B:AZ,column(al1),0)*e685</f>
        <v>0</v>
      </c>
      <c r="AN685">
        <f>vlookup("906-488000-110",B:AZ,column(am1),0)*e685</f>
        <v>0</v>
      </c>
      <c r="AO685">
        <f>vlookup("906-488000-110",B:AZ,column(an1),0)*e685</f>
        <v>0</v>
      </c>
    </row>
    <row r="686" spans="1:41">
      <c r="A686" t="s">
        <v>22</v>
      </c>
      <c r="B686" t="s">
        <v>715</v>
      </c>
      <c r="C686" t="s">
        <v>716</v>
      </c>
      <c r="E686">
        <v>1</v>
      </c>
      <c r="F686" t="s">
        <v>13</v>
      </c>
      <c r="I686" t="s">
        <v>15</v>
      </c>
      <c r="J686">
        <f>vlookup("906-488000-110",B:AZ,column(i1),0)*e686</f>
        <v>0</v>
      </c>
      <c r="K686">
        <f>vlookup("906-488000-110",B:AZ,column(j1),0)*e686</f>
        <v>0</v>
      </c>
      <c r="L686">
        <f>vlookup("906-488000-110",B:AZ,column(k1),0)*e686</f>
        <v>0</v>
      </c>
      <c r="M686">
        <f>vlookup("906-488000-110",B:AZ,column(l1),0)*e686</f>
        <v>0</v>
      </c>
      <c r="N686">
        <f>vlookup("906-488000-110",B:AZ,column(m1),0)*e686</f>
        <v>0</v>
      </c>
      <c r="O686">
        <f>vlookup("906-488000-110",B:AZ,column(n1),0)*e686</f>
        <v>0</v>
      </c>
      <c r="P686">
        <f>vlookup("906-488000-110",B:AZ,column(o1),0)*e686</f>
        <v>0</v>
      </c>
      <c r="Q686">
        <f>vlookup("906-488000-110",B:AZ,column(p1),0)*e686</f>
        <v>0</v>
      </c>
      <c r="R686">
        <f>vlookup("906-488000-110",B:AZ,column(q1),0)*e686</f>
        <v>0</v>
      </c>
      <c r="S686">
        <f>vlookup("906-488000-110",B:AZ,column(r1),0)*e686</f>
        <v>0</v>
      </c>
      <c r="T686">
        <f>vlookup("906-488000-110",B:AZ,column(s1),0)*e686</f>
        <v>0</v>
      </c>
      <c r="U686">
        <f>vlookup("906-488000-110",B:AZ,column(t1),0)*e686</f>
        <v>0</v>
      </c>
      <c r="V686">
        <f>vlookup("906-488000-110",B:AZ,column(u1),0)*e686</f>
        <v>0</v>
      </c>
      <c r="W686">
        <f>vlookup("906-488000-110",B:AZ,column(v1),0)*e686</f>
        <v>0</v>
      </c>
      <c r="X686">
        <f>vlookup("906-488000-110",B:AZ,column(w1),0)*e686</f>
        <v>0</v>
      </c>
      <c r="Y686">
        <f>vlookup("906-488000-110",B:AZ,column(x1),0)*e686</f>
        <v>0</v>
      </c>
      <c r="Z686">
        <f>vlookup("906-488000-110",B:AZ,column(y1),0)*e686</f>
        <v>0</v>
      </c>
      <c r="AA686">
        <f>vlookup("906-488000-110",B:AZ,column(z1),0)*e686</f>
        <v>0</v>
      </c>
      <c r="AB686">
        <f>vlookup("906-488000-110",B:AZ,column(aa1),0)*e686</f>
        <v>0</v>
      </c>
      <c r="AC686">
        <f>vlookup("906-488000-110",B:AZ,column(ab1),0)*e686</f>
        <v>0</v>
      </c>
      <c r="AD686">
        <f>vlookup("906-488000-110",B:AZ,column(ac1),0)*e686</f>
        <v>0</v>
      </c>
      <c r="AE686">
        <f>vlookup("906-488000-110",B:AZ,column(ad1),0)*e686</f>
        <v>0</v>
      </c>
      <c r="AF686">
        <f>vlookup("906-488000-110",B:AZ,column(ae1),0)*e686</f>
        <v>0</v>
      </c>
      <c r="AG686">
        <f>vlookup("906-488000-110",B:AZ,column(af1),0)*e686</f>
        <v>0</v>
      </c>
      <c r="AH686">
        <f>vlookup("906-488000-110",B:AZ,column(ag1),0)*e686</f>
        <v>0</v>
      </c>
      <c r="AI686">
        <f>vlookup("906-488000-110",B:AZ,column(ah1),0)*e686</f>
        <v>0</v>
      </c>
      <c r="AJ686">
        <f>vlookup("906-488000-110",B:AZ,column(ai1),0)*e686</f>
        <v>0</v>
      </c>
      <c r="AK686">
        <f>vlookup("906-488000-110",B:AZ,column(aj1),0)*e686</f>
        <v>0</v>
      </c>
      <c r="AL686">
        <f>vlookup("906-488000-110",B:AZ,column(ak1),0)*e686</f>
        <v>0</v>
      </c>
      <c r="AM686">
        <f>vlookup("906-488000-110",B:AZ,column(al1),0)*e686</f>
        <v>0</v>
      </c>
      <c r="AN686">
        <f>vlookup("906-488000-110",B:AZ,column(am1),0)*e686</f>
        <v>0</v>
      </c>
      <c r="AO686">
        <f>vlookup("906-488000-110",B:AZ,column(an1),0)*e686</f>
        <v>0</v>
      </c>
    </row>
    <row r="687" spans="1:41">
      <c r="A687" t="s">
        <v>10</v>
      </c>
      <c r="B687" t="s">
        <v>717</v>
      </c>
      <c r="C687" t="s">
        <v>716</v>
      </c>
      <c r="E687">
        <v>1</v>
      </c>
      <c r="F687" t="s">
        <v>13</v>
      </c>
      <c r="I687" t="s">
        <v>14</v>
      </c>
      <c r="AO687">
        <f>sum(j687:an687)</f>
        <v>0</v>
      </c>
    </row>
    <row r="688" spans="1:41">
      <c r="I688" t="s">
        <v>15</v>
      </c>
      <c r="J688">
        <f>vlookup("906-495000-110",Out!B:AZ,column(i1),0)</f>
        <v>0</v>
      </c>
      <c r="K688">
        <f>vlookup("906-495000-110",Out!B:AZ,column(j1),0)</f>
        <v>0</v>
      </c>
      <c r="L688">
        <f>vlookup("906-495000-110",Out!B:AZ,column(k1),0)</f>
        <v>0</v>
      </c>
      <c r="M688">
        <f>vlookup("906-495000-110",Out!B:AZ,column(l1),0)</f>
        <v>0</v>
      </c>
      <c r="N688">
        <f>vlookup("906-495000-110",Out!B:AZ,column(m1),0)</f>
        <v>0</v>
      </c>
      <c r="O688">
        <f>vlookup("906-495000-110",Out!B:AZ,column(n1),0)</f>
        <v>0</v>
      </c>
      <c r="P688">
        <f>vlookup("906-495000-110",Out!B:AZ,column(o1),0)</f>
        <v>0</v>
      </c>
      <c r="Q688">
        <f>vlookup("906-495000-110",Out!B:AZ,column(p1),0)</f>
        <v>0</v>
      </c>
      <c r="R688">
        <f>vlookup("906-495000-110",Out!B:AZ,column(q1),0)</f>
        <v>0</v>
      </c>
      <c r="S688">
        <f>vlookup("906-495000-110",Out!B:AZ,column(r1),0)</f>
        <v>0</v>
      </c>
      <c r="T688">
        <f>vlookup("906-495000-110",Out!B:AZ,column(s1),0)</f>
        <v>0</v>
      </c>
      <c r="U688">
        <f>vlookup("906-495000-110",Out!B:AZ,column(t1),0)</f>
        <v>0</v>
      </c>
      <c r="V688">
        <f>vlookup("906-495000-110",Out!B:AZ,column(u1),0)</f>
        <v>0</v>
      </c>
      <c r="W688">
        <f>vlookup("906-495000-110",Out!B:AZ,column(v1),0)</f>
        <v>0</v>
      </c>
      <c r="X688">
        <f>vlookup("906-495000-110",Out!B:AZ,column(w1),0)</f>
        <v>0</v>
      </c>
      <c r="Y688">
        <f>vlookup("906-495000-110",Out!B:AZ,column(x1),0)</f>
        <v>0</v>
      </c>
      <c r="Z688">
        <f>vlookup("906-495000-110",Out!B:AZ,column(y1),0)</f>
        <v>0</v>
      </c>
      <c r="AA688">
        <f>vlookup("906-495000-110",Out!B:AZ,column(z1),0)</f>
        <v>0</v>
      </c>
      <c r="AB688">
        <f>vlookup("906-495000-110",Out!B:AZ,column(aa1),0)</f>
        <v>0</v>
      </c>
      <c r="AC688">
        <f>vlookup("906-495000-110",Out!B:AZ,column(ab1),0)</f>
        <v>0</v>
      </c>
      <c r="AD688">
        <f>vlookup("906-495000-110",Out!B:AZ,column(ac1),0)</f>
        <v>0</v>
      </c>
      <c r="AE688">
        <f>vlookup("906-495000-110",Out!B:AZ,column(ad1),0)</f>
        <v>0</v>
      </c>
      <c r="AF688">
        <f>vlookup("906-495000-110",Out!B:AZ,column(ae1),0)</f>
        <v>0</v>
      </c>
      <c r="AG688">
        <f>vlookup("906-495000-110",Out!B:AZ,column(af1),0)</f>
        <v>0</v>
      </c>
      <c r="AH688">
        <f>vlookup("906-495000-110",Out!B:AZ,column(ag1),0)</f>
        <v>0</v>
      </c>
      <c r="AI688">
        <f>vlookup("906-495000-110",Out!B:AZ,column(ah1),0)</f>
        <v>0</v>
      </c>
      <c r="AJ688">
        <f>vlookup("906-495000-110",Out!B:AZ,column(ai1),0)</f>
        <v>0</v>
      </c>
      <c r="AK688">
        <f>vlookup("906-495000-110",Out!B:AZ,column(aj1),0)</f>
        <v>0</v>
      </c>
      <c r="AL688">
        <f>vlookup("906-495000-110",Out!B:AZ,column(ak1),0)</f>
        <v>0</v>
      </c>
      <c r="AM688">
        <f>vlookup("906-495000-110",Out!B:AZ,column(al1),0)</f>
        <v>0</v>
      </c>
      <c r="AN688">
        <f>vlookup("906-495000-110",Out!B:AZ,column(am1),0)</f>
        <v>0</v>
      </c>
      <c r="AO688">
        <f>vlookup("906-495000-110",Out!B:AZ,column(an1),0)</f>
        <v>0</v>
      </c>
    </row>
    <row r="689" spans="1:41">
      <c r="H689" t="s">
        <v>16</v>
      </c>
      <c r="J689">
        <f>indirect(address(689,9))+indirect(address(687,10))-indirect(address(688,10))</f>
        <v>0</v>
      </c>
      <c r="K689">
        <f>indirect(address(689,10))+indirect(address(687,11))-indirect(address(688,11))</f>
        <v>0</v>
      </c>
      <c r="L689">
        <f>indirect(address(689,11))+indirect(address(687,12))-indirect(address(688,12))</f>
        <v>0</v>
      </c>
      <c r="M689">
        <f>indirect(address(689,12))+indirect(address(687,13))-indirect(address(688,13))</f>
        <v>0</v>
      </c>
      <c r="N689">
        <f>indirect(address(689,13))+indirect(address(687,14))-indirect(address(688,14))</f>
        <v>0</v>
      </c>
      <c r="O689">
        <f>indirect(address(689,14))+indirect(address(687,15))-indirect(address(688,15))</f>
        <v>0</v>
      </c>
      <c r="P689">
        <f>indirect(address(689,15))+indirect(address(687,16))-indirect(address(688,16))</f>
        <v>0</v>
      </c>
      <c r="Q689">
        <f>indirect(address(689,16))+indirect(address(687,17))-indirect(address(688,17))</f>
        <v>0</v>
      </c>
      <c r="R689">
        <f>indirect(address(689,17))+indirect(address(687,18))-indirect(address(688,18))</f>
        <v>0</v>
      </c>
      <c r="S689">
        <f>indirect(address(689,18))+indirect(address(687,19))-indirect(address(688,19))</f>
        <v>0</v>
      </c>
      <c r="T689">
        <f>indirect(address(689,19))+indirect(address(687,20))-indirect(address(688,20))</f>
        <v>0</v>
      </c>
      <c r="U689">
        <f>indirect(address(689,20))+indirect(address(687,21))-indirect(address(688,21))</f>
        <v>0</v>
      </c>
      <c r="V689">
        <f>indirect(address(689,21))+indirect(address(687,22))-indirect(address(688,22))</f>
        <v>0</v>
      </c>
      <c r="W689">
        <f>indirect(address(689,22))+indirect(address(687,23))-indirect(address(688,23))</f>
        <v>0</v>
      </c>
      <c r="X689">
        <f>indirect(address(689,23))+indirect(address(687,24))-indirect(address(688,24))</f>
        <v>0</v>
      </c>
      <c r="Y689">
        <f>indirect(address(689,24))+indirect(address(687,25))-indirect(address(688,25))</f>
        <v>0</v>
      </c>
      <c r="Z689">
        <f>indirect(address(689,25))+indirect(address(687,26))-indirect(address(688,26))</f>
        <v>0</v>
      </c>
      <c r="AA689">
        <f>indirect(address(689,26))+indirect(address(687,27))-indirect(address(688,27))</f>
        <v>0</v>
      </c>
      <c r="AB689">
        <f>indirect(address(689,27))+indirect(address(687,28))-indirect(address(688,28))</f>
        <v>0</v>
      </c>
      <c r="AC689">
        <f>indirect(address(689,28))+indirect(address(687,29))-indirect(address(688,29))</f>
        <v>0</v>
      </c>
      <c r="AD689">
        <f>indirect(address(689,29))+indirect(address(687,30))-indirect(address(688,30))</f>
        <v>0</v>
      </c>
      <c r="AE689">
        <f>indirect(address(689,30))+indirect(address(687,31))-indirect(address(688,31))</f>
        <v>0</v>
      </c>
      <c r="AF689">
        <f>indirect(address(689,31))+indirect(address(687,32))-indirect(address(688,32))</f>
        <v>0</v>
      </c>
      <c r="AG689">
        <f>indirect(address(689,32))+indirect(address(687,33))-indirect(address(688,33))</f>
        <v>0</v>
      </c>
      <c r="AH689">
        <f>indirect(address(689,33))+indirect(address(687,34))-indirect(address(688,34))</f>
        <v>0</v>
      </c>
      <c r="AI689">
        <f>indirect(address(689,34))+indirect(address(687,35))-indirect(address(688,35))</f>
        <v>0</v>
      </c>
      <c r="AJ689">
        <f>indirect(address(689,35))+indirect(address(687,36))-indirect(address(688,36))</f>
        <v>0</v>
      </c>
      <c r="AK689">
        <f>indirect(address(689,36))+indirect(address(687,37))-indirect(address(688,37))</f>
        <v>0</v>
      </c>
      <c r="AL689">
        <f>indirect(address(689,37))+indirect(address(687,38))-indirect(address(688,38))</f>
        <v>0</v>
      </c>
      <c r="AM689">
        <f>indirect(address(689,38))+indirect(address(687,39))-indirect(address(688,39))</f>
        <v>0</v>
      </c>
      <c r="AN689">
        <f>indirect(address(689,39))+indirect(address(687,40))-indirect(address(688,40))</f>
        <v>0</v>
      </c>
      <c r="AO689">
        <f>indirect(address(689,40))</f>
        <v>0</v>
      </c>
    </row>
    <row r="690" spans="1:41">
      <c r="A690" t="s">
        <v>17</v>
      </c>
      <c r="B690" t="s">
        <v>718</v>
      </c>
      <c r="C690" t="s">
        <v>716</v>
      </c>
      <c r="E690">
        <v>1</v>
      </c>
      <c r="F690" t="s">
        <v>13</v>
      </c>
      <c r="I690" t="s">
        <v>15</v>
      </c>
      <c r="J690">
        <f>vlookup("906-495000-110",B:AZ,column(i1),0)*e690</f>
        <v>0</v>
      </c>
      <c r="K690">
        <f>vlookup("906-495000-110",B:AZ,column(j1),0)*e690</f>
        <v>0</v>
      </c>
      <c r="L690">
        <f>vlookup("906-495000-110",B:AZ,column(k1),0)*e690</f>
        <v>0</v>
      </c>
      <c r="M690">
        <f>vlookup("906-495000-110",B:AZ,column(l1),0)*e690</f>
        <v>0</v>
      </c>
      <c r="N690">
        <f>vlookup("906-495000-110",B:AZ,column(m1),0)*e690</f>
        <v>0</v>
      </c>
      <c r="O690">
        <f>vlookup("906-495000-110",B:AZ,column(n1),0)*e690</f>
        <v>0</v>
      </c>
      <c r="P690">
        <f>vlookup("906-495000-110",B:AZ,column(o1),0)*e690</f>
        <v>0</v>
      </c>
      <c r="Q690">
        <f>vlookup("906-495000-110",B:AZ,column(p1),0)*e690</f>
        <v>0</v>
      </c>
      <c r="R690">
        <f>vlookup("906-495000-110",B:AZ,column(q1),0)*e690</f>
        <v>0</v>
      </c>
      <c r="S690">
        <f>vlookup("906-495000-110",B:AZ,column(r1),0)*e690</f>
        <v>0</v>
      </c>
      <c r="T690">
        <f>vlookup("906-495000-110",B:AZ,column(s1),0)*e690</f>
        <v>0</v>
      </c>
      <c r="U690">
        <f>vlookup("906-495000-110",B:AZ,column(t1),0)*e690</f>
        <v>0</v>
      </c>
      <c r="V690">
        <f>vlookup("906-495000-110",B:AZ,column(u1),0)*e690</f>
        <v>0</v>
      </c>
      <c r="W690">
        <f>vlookup("906-495000-110",B:AZ,column(v1),0)*e690</f>
        <v>0</v>
      </c>
      <c r="X690">
        <f>vlookup("906-495000-110",B:AZ,column(w1),0)*e690</f>
        <v>0</v>
      </c>
      <c r="Y690">
        <f>vlookup("906-495000-110",B:AZ,column(x1),0)*e690</f>
        <v>0</v>
      </c>
      <c r="Z690">
        <f>vlookup("906-495000-110",B:AZ,column(y1),0)*e690</f>
        <v>0</v>
      </c>
      <c r="AA690">
        <f>vlookup("906-495000-110",B:AZ,column(z1),0)*e690</f>
        <v>0</v>
      </c>
      <c r="AB690">
        <f>vlookup("906-495000-110",B:AZ,column(aa1),0)*e690</f>
        <v>0</v>
      </c>
      <c r="AC690">
        <f>vlookup("906-495000-110",B:AZ,column(ab1),0)*e690</f>
        <v>0</v>
      </c>
      <c r="AD690">
        <f>vlookup("906-495000-110",B:AZ,column(ac1),0)*e690</f>
        <v>0</v>
      </c>
      <c r="AE690">
        <f>vlookup("906-495000-110",B:AZ,column(ad1),0)*e690</f>
        <v>0</v>
      </c>
      <c r="AF690">
        <f>vlookup("906-495000-110",B:AZ,column(ae1),0)*e690</f>
        <v>0</v>
      </c>
      <c r="AG690">
        <f>vlookup("906-495000-110",B:AZ,column(af1),0)*e690</f>
        <v>0</v>
      </c>
      <c r="AH690">
        <f>vlookup("906-495000-110",B:AZ,column(ag1),0)*e690</f>
        <v>0</v>
      </c>
      <c r="AI690">
        <f>vlookup("906-495000-110",B:AZ,column(ah1),0)*e690</f>
        <v>0</v>
      </c>
      <c r="AJ690">
        <f>vlookup("906-495000-110",B:AZ,column(ai1),0)*e690</f>
        <v>0</v>
      </c>
      <c r="AK690">
        <f>vlookup("906-495000-110",B:AZ,column(aj1),0)*e690</f>
        <v>0</v>
      </c>
      <c r="AL690">
        <f>vlookup("906-495000-110",B:AZ,column(ak1),0)*e690</f>
        <v>0</v>
      </c>
      <c r="AM690">
        <f>vlookup("906-495000-110",B:AZ,column(al1),0)*e690</f>
        <v>0</v>
      </c>
      <c r="AN690">
        <f>vlookup("906-495000-110",B:AZ,column(am1),0)*e690</f>
        <v>0</v>
      </c>
      <c r="AO690">
        <f>vlookup("906-495000-110",B:AZ,column(an1),0)*e690</f>
        <v>0</v>
      </c>
    </row>
    <row r="691" spans="1:41">
      <c r="A691" t="s">
        <v>22</v>
      </c>
      <c r="B691" t="s">
        <v>719</v>
      </c>
      <c r="C691" t="s">
        <v>720</v>
      </c>
      <c r="E691">
        <v>1</v>
      </c>
      <c r="F691" t="s">
        <v>13</v>
      </c>
      <c r="I691" t="s">
        <v>15</v>
      </c>
      <c r="J691">
        <f>vlookup("906-495000-110",B:AZ,column(i1),0)*e691</f>
        <v>0</v>
      </c>
      <c r="K691">
        <f>vlookup("906-495000-110",B:AZ,column(j1),0)*e691</f>
        <v>0</v>
      </c>
      <c r="L691">
        <f>vlookup("906-495000-110",B:AZ,column(k1),0)*e691</f>
        <v>0</v>
      </c>
      <c r="M691">
        <f>vlookup("906-495000-110",B:AZ,column(l1),0)*e691</f>
        <v>0</v>
      </c>
      <c r="N691">
        <f>vlookup("906-495000-110",B:AZ,column(m1),0)*e691</f>
        <v>0</v>
      </c>
      <c r="O691">
        <f>vlookup("906-495000-110",B:AZ,column(n1),0)*e691</f>
        <v>0</v>
      </c>
      <c r="P691">
        <f>vlookup("906-495000-110",B:AZ,column(o1),0)*e691</f>
        <v>0</v>
      </c>
      <c r="Q691">
        <f>vlookup("906-495000-110",B:AZ,column(p1),0)*e691</f>
        <v>0</v>
      </c>
      <c r="R691">
        <f>vlookup("906-495000-110",B:AZ,column(q1),0)*e691</f>
        <v>0</v>
      </c>
      <c r="S691">
        <f>vlookup("906-495000-110",B:AZ,column(r1),0)*e691</f>
        <v>0</v>
      </c>
      <c r="T691">
        <f>vlookup("906-495000-110",B:AZ,column(s1),0)*e691</f>
        <v>0</v>
      </c>
      <c r="U691">
        <f>vlookup("906-495000-110",B:AZ,column(t1),0)*e691</f>
        <v>0</v>
      </c>
      <c r="V691">
        <f>vlookup("906-495000-110",B:AZ,column(u1),0)*e691</f>
        <v>0</v>
      </c>
      <c r="W691">
        <f>vlookup("906-495000-110",B:AZ,column(v1),0)*e691</f>
        <v>0</v>
      </c>
      <c r="X691">
        <f>vlookup("906-495000-110",B:AZ,column(w1),0)*e691</f>
        <v>0</v>
      </c>
      <c r="Y691">
        <f>vlookup("906-495000-110",B:AZ,column(x1),0)*e691</f>
        <v>0</v>
      </c>
      <c r="Z691">
        <f>vlookup("906-495000-110",B:AZ,column(y1),0)*e691</f>
        <v>0</v>
      </c>
      <c r="AA691">
        <f>vlookup("906-495000-110",B:AZ,column(z1),0)*e691</f>
        <v>0</v>
      </c>
      <c r="AB691">
        <f>vlookup("906-495000-110",B:AZ,column(aa1),0)*e691</f>
        <v>0</v>
      </c>
      <c r="AC691">
        <f>vlookup("906-495000-110",B:AZ,column(ab1),0)*e691</f>
        <v>0</v>
      </c>
      <c r="AD691">
        <f>vlookup("906-495000-110",B:AZ,column(ac1),0)*e691</f>
        <v>0</v>
      </c>
      <c r="AE691">
        <f>vlookup("906-495000-110",B:AZ,column(ad1),0)*e691</f>
        <v>0</v>
      </c>
      <c r="AF691">
        <f>vlookup("906-495000-110",B:AZ,column(ae1),0)*e691</f>
        <v>0</v>
      </c>
      <c r="AG691">
        <f>vlookup("906-495000-110",B:AZ,column(af1),0)*e691</f>
        <v>0</v>
      </c>
      <c r="AH691">
        <f>vlookup("906-495000-110",B:AZ,column(ag1),0)*e691</f>
        <v>0</v>
      </c>
      <c r="AI691">
        <f>vlookup("906-495000-110",B:AZ,column(ah1),0)*e691</f>
        <v>0</v>
      </c>
      <c r="AJ691">
        <f>vlookup("906-495000-110",B:AZ,column(ai1),0)*e691</f>
        <v>0</v>
      </c>
      <c r="AK691">
        <f>vlookup("906-495000-110",B:AZ,column(aj1),0)*e691</f>
        <v>0</v>
      </c>
      <c r="AL691">
        <f>vlookup("906-495000-110",B:AZ,column(ak1),0)*e691</f>
        <v>0</v>
      </c>
      <c r="AM691">
        <f>vlookup("906-495000-110",B:AZ,column(al1),0)*e691</f>
        <v>0</v>
      </c>
      <c r="AN691">
        <f>vlookup("906-495000-110",B:AZ,column(am1),0)*e691</f>
        <v>0</v>
      </c>
      <c r="AO691">
        <f>vlookup("906-495000-110",B:AZ,column(an1),0)*e691</f>
        <v>0</v>
      </c>
    </row>
    <row r="692" spans="1:41">
      <c r="A692" t="s">
        <v>22</v>
      </c>
      <c r="B692" t="s">
        <v>721</v>
      </c>
      <c r="C692" t="s">
        <v>722</v>
      </c>
      <c r="E692">
        <v>2</v>
      </c>
      <c r="F692" t="s">
        <v>13</v>
      </c>
      <c r="I692" t="s">
        <v>15</v>
      </c>
      <c r="J692">
        <f>vlookup("906-495000-110",B:AZ,column(i1),0)*e692</f>
        <v>0</v>
      </c>
      <c r="K692">
        <f>vlookup("906-495000-110",B:AZ,column(j1),0)*e692</f>
        <v>0</v>
      </c>
      <c r="L692">
        <f>vlookup("906-495000-110",B:AZ,column(k1),0)*e692</f>
        <v>0</v>
      </c>
      <c r="M692">
        <f>vlookup("906-495000-110",B:AZ,column(l1),0)*e692</f>
        <v>0</v>
      </c>
      <c r="N692">
        <f>vlookup("906-495000-110",B:AZ,column(m1),0)*e692</f>
        <v>0</v>
      </c>
      <c r="O692">
        <f>vlookup("906-495000-110",B:AZ,column(n1),0)*e692</f>
        <v>0</v>
      </c>
      <c r="P692">
        <f>vlookup("906-495000-110",B:AZ,column(o1),0)*e692</f>
        <v>0</v>
      </c>
      <c r="Q692">
        <f>vlookup("906-495000-110",B:AZ,column(p1),0)*e692</f>
        <v>0</v>
      </c>
      <c r="R692">
        <f>vlookup("906-495000-110",B:AZ,column(q1),0)*e692</f>
        <v>0</v>
      </c>
      <c r="S692">
        <f>vlookup("906-495000-110",B:AZ,column(r1),0)*e692</f>
        <v>0</v>
      </c>
      <c r="T692">
        <f>vlookup("906-495000-110",B:AZ,column(s1),0)*e692</f>
        <v>0</v>
      </c>
      <c r="U692">
        <f>vlookup("906-495000-110",B:AZ,column(t1),0)*e692</f>
        <v>0</v>
      </c>
      <c r="V692">
        <f>vlookup("906-495000-110",B:AZ,column(u1),0)*e692</f>
        <v>0</v>
      </c>
      <c r="W692">
        <f>vlookup("906-495000-110",B:AZ,column(v1),0)*e692</f>
        <v>0</v>
      </c>
      <c r="X692">
        <f>vlookup("906-495000-110",B:AZ,column(w1),0)*e692</f>
        <v>0</v>
      </c>
      <c r="Y692">
        <f>vlookup("906-495000-110",B:AZ,column(x1),0)*e692</f>
        <v>0</v>
      </c>
      <c r="Z692">
        <f>vlookup("906-495000-110",B:AZ,column(y1),0)*e692</f>
        <v>0</v>
      </c>
      <c r="AA692">
        <f>vlookup("906-495000-110",B:AZ,column(z1),0)*e692</f>
        <v>0</v>
      </c>
      <c r="AB692">
        <f>vlookup("906-495000-110",B:AZ,column(aa1),0)*e692</f>
        <v>0</v>
      </c>
      <c r="AC692">
        <f>vlookup("906-495000-110",B:AZ,column(ab1),0)*e692</f>
        <v>0</v>
      </c>
      <c r="AD692">
        <f>vlookup("906-495000-110",B:AZ,column(ac1),0)*e692</f>
        <v>0</v>
      </c>
      <c r="AE692">
        <f>vlookup("906-495000-110",B:AZ,column(ad1),0)*e692</f>
        <v>0</v>
      </c>
      <c r="AF692">
        <f>vlookup("906-495000-110",B:AZ,column(ae1),0)*e692</f>
        <v>0</v>
      </c>
      <c r="AG692">
        <f>vlookup("906-495000-110",B:AZ,column(af1),0)*e692</f>
        <v>0</v>
      </c>
      <c r="AH692">
        <f>vlookup("906-495000-110",B:AZ,column(ag1),0)*e692</f>
        <v>0</v>
      </c>
      <c r="AI692">
        <f>vlookup("906-495000-110",B:AZ,column(ah1),0)*e692</f>
        <v>0</v>
      </c>
      <c r="AJ692">
        <f>vlookup("906-495000-110",B:AZ,column(ai1),0)*e692</f>
        <v>0</v>
      </c>
      <c r="AK692">
        <f>vlookup("906-495000-110",B:AZ,column(aj1),0)*e692</f>
        <v>0</v>
      </c>
      <c r="AL692">
        <f>vlookup("906-495000-110",B:AZ,column(ak1),0)*e692</f>
        <v>0</v>
      </c>
      <c r="AM692">
        <f>vlookup("906-495000-110",B:AZ,column(al1),0)*e692</f>
        <v>0</v>
      </c>
      <c r="AN692">
        <f>vlookup("906-495000-110",B:AZ,column(am1),0)*e692</f>
        <v>0</v>
      </c>
      <c r="AO692">
        <f>vlookup("906-495000-110",B:AZ,column(an1),0)*e692</f>
        <v>0</v>
      </c>
    </row>
    <row r="693" spans="1:41">
      <c r="A693" t="s">
        <v>22</v>
      </c>
      <c r="B693" t="s">
        <v>723</v>
      </c>
      <c r="C693" t="s">
        <v>724</v>
      </c>
      <c r="E693">
        <v>2</v>
      </c>
      <c r="F693" t="s">
        <v>13</v>
      </c>
      <c r="I693" t="s">
        <v>15</v>
      </c>
      <c r="J693">
        <f>vlookup("906-495000-110",B:AZ,column(i1),0)*e693</f>
        <v>0</v>
      </c>
      <c r="K693">
        <f>vlookup("906-495000-110",B:AZ,column(j1),0)*e693</f>
        <v>0</v>
      </c>
      <c r="L693">
        <f>vlookup("906-495000-110",B:AZ,column(k1),0)*e693</f>
        <v>0</v>
      </c>
      <c r="M693">
        <f>vlookup("906-495000-110",B:AZ,column(l1),0)*e693</f>
        <v>0</v>
      </c>
      <c r="N693">
        <f>vlookup("906-495000-110",B:AZ,column(m1),0)*e693</f>
        <v>0</v>
      </c>
      <c r="O693">
        <f>vlookup("906-495000-110",B:AZ,column(n1),0)*e693</f>
        <v>0</v>
      </c>
      <c r="P693">
        <f>vlookup("906-495000-110",B:AZ,column(o1),0)*e693</f>
        <v>0</v>
      </c>
      <c r="Q693">
        <f>vlookup("906-495000-110",B:AZ,column(p1),0)*e693</f>
        <v>0</v>
      </c>
      <c r="R693">
        <f>vlookup("906-495000-110",B:AZ,column(q1),0)*e693</f>
        <v>0</v>
      </c>
      <c r="S693">
        <f>vlookup("906-495000-110",B:AZ,column(r1),0)*e693</f>
        <v>0</v>
      </c>
      <c r="T693">
        <f>vlookup("906-495000-110",B:AZ,column(s1),0)*e693</f>
        <v>0</v>
      </c>
      <c r="U693">
        <f>vlookup("906-495000-110",B:AZ,column(t1),0)*e693</f>
        <v>0</v>
      </c>
      <c r="V693">
        <f>vlookup("906-495000-110",B:AZ,column(u1),0)*e693</f>
        <v>0</v>
      </c>
      <c r="W693">
        <f>vlookup("906-495000-110",B:AZ,column(v1),0)*e693</f>
        <v>0</v>
      </c>
      <c r="X693">
        <f>vlookup("906-495000-110",B:AZ,column(w1),0)*e693</f>
        <v>0</v>
      </c>
      <c r="Y693">
        <f>vlookup("906-495000-110",B:AZ,column(x1),0)*e693</f>
        <v>0</v>
      </c>
      <c r="Z693">
        <f>vlookup("906-495000-110",B:AZ,column(y1),0)*e693</f>
        <v>0</v>
      </c>
      <c r="AA693">
        <f>vlookup("906-495000-110",B:AZ,column(z1),0)*e693</f>
        <v>0</v>
      </c>
      <c r="AB693">
        <f>vlookup("906-495000-110",B:AZ,column(aa1),0)*e693</f>
        <v>0</v>
      </c>
      <c r="AC693">
        <f>vlookup("906-495000-110",B:AZ,column(ab1),0)*e693</f>
        <v>0</v>
      </c>
      <c r="AD693">
        <f>vlookup("906-495000-110",B:AZ,column(ac1),0)*e693</f>
        <v>0</v>
      </c>
      <c r="AE693">
        <f>vlookup("906-495000-110",B:AZ,column(ad1),0)*e693</f>
        <v>0</v>
      </c>
      <c r="AF693">
        <f>vlookup("906-495000-110",B:AZ,column(ae1),0)*e693</f>
        <v>0</v>
      </c>
      <c r="AG693">
        <f>vlookup("906-495000-110",B:AZ,column(af1),0)*e693</f>
        <v>0</v>
      </c>
      <c r="AH693">
        <f>vlookup("906-495000-110",B:AZ,column(ag1),0)*e693</f>
        <v>0</v>
      </c>
      <c r="AI693">
        <f>vlookup("906-495000-110",B:AZ,column(ah1),0)*e693</f>
        <v>0</v>
      </c>
      <c r="AJ693">
        <f>vlookup("906-495000-110",B:AZ,column(ai1),0)*e693</f>
        <v>0</v>
      </c>
      <c r="AK693">
        <f>vlookup("906-495000-110",B:AZ,column(aj1),0)*e693</f>
        <v>0</v>
      </c>
      <c r="AL693">
        <f>vlookup("906-495000-110",B:AZ,column(ak1),0)*e693</f>
        <v>0</v>
      </c>
      <c r="AM693">
        <f>vlookup("906-495000-110",B:AZ,column(al1),0)*e693</f>
        <v>0</v>
      </c>
      <c r="AN693">
        <f>vlookup("906-495000-110",B:AZ,column(am1),0)*e693</f>
        <v>0</v>
      </c>
      <c r="AO693">
        <f>vlookup("906-495000-110",B:AZ,column(an1),0)*e693</f>
        <v>0</v>
      </c>
    </row>
    <row r="694" spans="1:41">
      <c r="A694" t="s">
        <v>22</v>
      </c>
      <c r="B694" t="s">
        <v>725</v>
      </c>
      <c r="C694" t="s">
        <v>726</v>
      </c>
      <c r="E694">
        <v>2</v>
      </c>
      <c r="F694" t="s">
        <v>13</v>
      </c>
      <c r="I694" t="s">
        <v>15</v>
      </c>
      <c r="J694">
        <f>vlookup("906-495000-110",B:AZ,column(i1),0)*e694</f>
        <v>0</v>
      </c>
      <c r="K694">
        <f>vlookup("906-495000-110",B:AZ,column(j1),0)*e694</f>
        <v>0</v>
      </c>
      <c r="L694">
        <f>vlookup("906-495000-110",B:AZ,column(k1),0)*e694</f>
        <v>0</v>
      </c>
      <c r="M694">
        <f>vlookup("906-495000-110",B:AZ,column(l1),0)*e694</f>
        <v>0</v>
      </c>
      <c r="N694">
        <f>vlookup("906-495000-110",B:AZ,column(m1),0)*e694</f>
        <v>0</v>
      </c>
      <c r="O694">
        <f>vlookup("906-495000-110",B:AZ,column(n1),0)*e694</f>
        <v>0</v>
      </c>
      <c r="P694">
        <f>vlookup("906-495000-110",B:AZ,column(o1),0)*e694</f>
        <v>0</v>
      </c>
      <c r="Q694">
        <f>vlookup("906-495000-110",B:AZ,column(p1),0)*e694</f>
        <v>0</v>
      </c>
      <c r="R694">
        <f>vlookup("906-495000-110",B:AZ,column(q1),0)*e694</f>
        <v>0</v>
      </c>
      <c r="S694">
        <f>vlookup("906-495000-110",B:AZ,column(r1),0)*e694</f>
        <v>0</v>
      </c>
      <c r="T694">
        <f>vlookup("906-495000-110",B:AZ,column(s1),0)*e694</f>
        <v>0</v>
      </c>
      <c r="U694">
        <f>vlookup("906-495000-110",B:AZ,column(t1),0)*e694</f>
        <v>0</v>
      </c>
      <c r="V694">
        <f>vlookup("906-495000-110",B:AZ,column(u1),0)*e694</f>
        <v>0</v>
      </c>
      <c r="W694">
        <f>vlookup("906-495000-110",B:AZ,column(v1),0)*e694</f>
        <v>0</v>
      </c>
      <c r="X694">
        <f>vlookup("906-495000-110",B:AZ,column(w1),0)*e694</f>
        <v>0</v>
      </c>
      <c r="Y694">
        <f>vlookup("906-495000-110",B:AZ,column(x1),0)*e694</f>
        <v>0</v>
      </c>
      <c r="Z694">
        <f>vlookup("906-495000-110",B:AZ,column(y1),0)*e694</f>
        <v>0</v>
      </c>
      <c r="AA694">
        <f>vlookup("906-495000-110",B:AZ,column(z1),0)*e694</f>
        <v>0</v>
      </c>
      <c r="AB694">
        <f>vlookup("906-495000-110",B:AZ,column(aa1),0)*e694</f>
        <v>0</v>
      </c>
      <c r="AC694">
        <f>vlookup("906-495000-110",B:AZ,column(ab1),0)*e694</f>
        <v>0</v>
      </c>
      <c r="AD694">
        <f>vlookup("906-495000-110",B:AZ,column(ac1),0)*e694</f>
        <v>0</v>
      </c>
      <c r="AE694">
        <f>vlookup("906-495000-110",B:AZ,column(ad1),0)*e694</f>
        <v>0</v>
      </c>
      <c r="AF694">
        <f>vlookup("906-495000-110",B:AZ,column(ae1),0)*e694</f>
        <v>0</v>
      </c>
      <c r="AG694">
        <f>vlookup("906-495000-110",B:AZ,column(af1),0)*e694</f>
        <v>0</v>
      </c>
      <c r="AH694">
        <f>vlookup("906-495000-110",B:AZ,column(ag1),0)*e694</f>
        <v>0</v>
      </c>
      <c r="AI694">
        <f>vlookup("906-495000-110",B:AZ,column(ah1),0)*e694</f>
        <v>0</v>
      </c>
      <c r="AJ694">
        <f>vlookup("906-495000-110",B:AZ,column(ai1),0)*e694</f>
        <v>0</v>
      </c>
      <c r="AK694">
        <f>vlookup("906-495000-110",B:AZ,column(aj1),0)*e694</f>
        <v>0</v>
      </c>
      <c r="AL694">
        <f>vlookup("906-495000-110",B:AZ,column(ak1),0)*e694</f>
        <v>0</v>
      </c>
      <c r="AM694">
        <f>vlookup("906-495000-110",B:AZ,column(al1),0)*e694</f>
        <v>0</v>
      </c>
      <c r="AN694">
        <f>vlookup("906-495000-110",B:AZ,column(am1),0)*e694</f>
        <v>0</v>
      </c>
      <c r="AO694">
        <f>vlookup("906-495000-110",B:AZ,column(an1),0)*e694</f>
        <v>0</v>
      </c>
    </row>
    <row r="695" spans="1:41">
      <c r="A695" t="s">
        <v>10</v>
      </c>
      <c r="B695" t="s">
        <v>727</v>
      </c>
      <c r="C695" t="s">
        <v>726</v>
      </c>
      <c r="E695">
        <v>2</v>
      </c>
      <c r="F695" t="s">
        <v>13</v>
      </c>
      <c r="I695" t="s">
        <v>14</v>
      </c>
      <c r="AO695">
        <f>sum(j695:an695)</f>
        <v>0</v>
      </c>
    </row>
    <row r="696" spans="1:41">
      <c r="I696" t="s">
        <v>15</v>
      </c>
      <c r="J696">
        <f>vlookup("906-496000-110",Out!B:AZ,column(i1),0)</f>
        <v>0</v>
      </c>
      <c r="K696">
        <f>vlookup("906-496000-110",Out!B:AZ,column(j1),0)</f>
        <v>0</v>
      </c>
      <c r="L696">
        <f>vlookup("906-496000-110",Out!B:AZ,column(k1),0)</f>
        <v>0</v>
      </c>
      <c r="M696">
        <f>vlookup("906-496000-110",Out!B:AZ,column(l1),0)</f>
        <v>0</v>
      </c>
      <c r="N696">
        <f>vlookup("906-496000-110",Out!B:AZ,column(m1),0)</f>
        <v>0</v>
      </c>
      <c r="O696">
        <f>vlookup("906-496000-110",Out!B:AZ,column(n1),0)</f>
        <v>0</v>
      </c>
      <c r="P696">
        <f>vlookup("906-496000-110",Out!B:AZ,column(o1),0)</f>
        <v>0</v>
      </c>
      <c r="Q696">
        <f>vlookup("906-496000-110",Out!B:AZ,column(p1),0)</f>
        <v>0</v>
      </c>
      <c r="R696">
        <f>vlookup("906-496000-110",Out!B:AZ,column(q1),0)</f>
        <v>0</v>
      </c>
      <c r="S696">
        <f>vlookup("906-496000-110",Out!B:AZ,column(r1),0)</f>
        <v>0</v>
      </c>
      <c r="T696">
        <f>vlookup("906-496000-110",Out!B:AZ,column(s1),0)</f>
        <v>0</v>
      </c>
      <c r="U696">
        <f>vlookup("906-496000-110",Out!B:AZ,column(t1),0)</f>
        <v>0</v>
      </c>
      <c r="V696">
        <f>vlookup("906-496000-110",Out!B:AZ,column(u1),0)</f>
        <v>0</v>
      </c>
      <c r="W696">
        <f>vlookup("906-496000-110",Out!B:AZ,column(v1),0)</f>
        <v>0</v>
      </c>
      <c r="X696">
        <f>vlookup("906-496000-110",Out!B:AZ,column(w1),0)</f>
        <v>0</v>
      </c>
      <c r="Y696">
        <f>vlookup("906-496000-110",Out!B:AZ,column(x1),0)</f>
        <v>0</v>
      </c>
      <c r="Z696">
        <f>vlookup("906-496000-110",Out!B:AZ,column(y1),0)</f>
        <v>0</v>
      </c>
      <c r="AA696">
        <f>vlookup("906-496000-110",Out!B:AZ,column(z1),0)</f>
        <v>0</v>
      </c>
      <c r="AB696">
        <f>vlookup("906-496000-110",Out!B:AZ,column(aa1),0)</f>
        <v>0</v>
      </c>
      <c r="AC696">
        <f>vlookup("906-496000-110",Out!B:AZ,column(ab1),0)</f>
        <v>0</v>
      </c>
      <c r="AD696">
        <f>vlookup("906-496000-110",Out!B:AZ,column(ac1),0)</f>
        <v>0</v>
      </c>
      <c r="AE696">
        <f>vlookup("906-496000-110",Out!B:AZ,column(ad1),0)</f>
        <v>0</v>
      </c>
      <c r="AF696">
        <f>vlookup("906-496000-110",Out!B:AZ,column(ae1),0)</f>
        <v>0</v>
      </c>
      <c r="AG696">
        <f>vlookup("906-496000-110",Out!B:AZ,column(af1),0)</f>
        <v>0</v>
      </c>
      <c r="AH696">
        <f>vlookup("906-496000-110",Out!B:AZ,column(ag1),0)</f>
        <v>0</v>
      </c>
      <c r="AI696">
        <f>vlookup("906-496000-110",Out!B:AZ,column(ah1),0)</f>
        <v>0</v>
      </c>
      <c r="AJ696">
        <f>vlookup("906-496000-110",Out!B:AZ,column(ai1),0)</f>
        <v>0</v>
      </c>
      <c r="AK696">
        <f>vlookup("906-496000-110",Out!B:AZ,column(aj1),0)</f>
        <v>0</v>
      </c>
      <c r="AL696">
        <f>vlookup("906-496000-110",Out!B:AZ,column(ak1),0)</f>
        <v>0</v>
      </c>
      <c r="AM696">
        <f>vlookup("906-496000-110",Out!B:AZ,column(al1),0)</f>
        <v>0</v>
      </c>
      <c r="AN696">
        <f>vlookup("906-496000-110",Out!B:AZ,column(am1),0)</f>
        <v>0</v>
      </c>
      <c r="AO696">
        <f>vlookup("906-496000-110",Out!B:AZ,column(an1),0)</f>
        <v>0</v>
      </c>
    </row>
    <row r="697" spans="1:41">
      <c r="H697" t="s">
        <v>16</v>
      </c>
      <c r="J697">
        <f>indirect(address(697,9))+indirect(address(695,10))-indirect(address(696,10))</f>
        <v>0</v>
      </c>
      <c r="K697">
        <f>indirect(address(697,10))+indirect(address(695,11))-indirect(address(696,11))</f>
        <v>0</v>
      </c>
      <c r="L697">
        <f>indirect(address(697,11))+indirect(address(695,12))-indirect(address(696,12))</f>
        <v>0</v>
      </c>
      <c r="M697">
        <f>indirect(address(697,12))+indirect(address(695,13))-indirect(address(696,13))</f>
        <v>0</v>
      </c>
      <c r="N697">
        <f>indirect(address(697,13))+indirect(address(695,14))-indirect(address(696,14))</f>
        <v>0</v>
      </c>
      <c r="O697">
        <f>indirect(address(697,14))+indirect(address(695,15))-indirect(address(696,15))</f>
        <v>0</v>
      </c>
      <c r="P697">
        <f>indirect(address(697,15))+indirect(address(695,16))-indirect(address(696,16))</f>
        <v>0</v>
      </c>
      <c r="Q697">
        <f>indirect(address(697,16))+indirect(address(695,17))-indirect(address(696,17))</f>
        <v>0</v>
      </c>
      <c r="R697">
        <f>indirect(address(697,17))+indirect(address(695,18))-indirect(address(696,18))</f>
        <v>0</v>
      </c>
      <c r="S697">
        <f>indirect(address(697,18))+indirect(address(695,19))-indirect(address(696,19))</f>
        <v>0</v>
      </c>
      <c r="T697">
        <f>indirect(address(697,19))+indirect(address(695,20))-indirect(address(696,20))</f>
        <v>0</v>
      </c>
      <c r="U697">
        <f>indirect(address(697,20))+indirect(address(695,21))-indirect(address(696,21))</f>
        <v>0</v>
      </c>
      <c r="V697">
        <f>indirect(address(697,21))+indirect(address(695,22))-indirect(address(696,22))</f>
        <v>0</v>
      </c>
      <c r="W697">
        <f>indirect(address(697,22))+indirect(address(695,23))-indirect(address(696,23))</f>
        <v>0</v>
      </c>
      <c r="X697">
        <f>indirect(address(697,23))+indirect(address(695,24))-indirect(address(696,24))</f>
        <v>0</v>
      </c>
      <c r="Y697">
        <f>indirect(address(697,24))+indirect(address(695,25))-indirect(address(696,25))</f>
        <v>0</v>
      </c>
      <c r="Z697">
        <f>indirect(address(697,25))+indirect(address(695,26))-indirect(address(696,26))</f>
        <v>0</v>
      </c>
      <c r="AA697">
        <f>indirect(address(697,26))+indirect(address(695,27))-indirect(address(696,27))</f>
        <v>0</v>
      </c>
      <c r="AB697">
        <f>indirect(address(697,27))+indirect(address(695,28))-indirect(address(696,28))</f>
        <v>0</v>
      </c>
      <c r="AC697">
        <f>indirect(address(697,28))+indirect(address(695,29))-indirect(address(696,29))</f>
        <v>0</v>
      </c>
      <c r="AD697">
        <f>indirect(address(697,29))+indirect(address(695,30))-indirect(address(696,30))</f>
        <v>0</v>
      </c>
      <c r="AE697">
        <f>indirect(address(697,30))+indirect(address(695,31))-indirect(address(696,31))</f>
        <v>0</v>
      </c>
      <c r="AF697">
        <f>indirect(address(697,31))+indirect(address(695,32))-indirect(address(696,32))</f>
        <v>0</v>
      </c>
      <c r="AG697">
        <f>indirect(address(697,32))+indirect(address(695,33))-indirect(address(696,33))</f>
        <v>0</v>
      </c>
      <c r="AH697">
        <f>indirect(address(697,33))+indirect(address(695,34))-indirect(address(696,34))</f>
        <v>0</v>
      </c>
      <c r="AI697">
        <f>indirect(address(697,34))+indirect(address(695,35))-indirect(address(696,35))</f>
        <v>0</v>
      </c>
      <c r="AJ697">
        <f>indirect(address(697,35))+indirect(address(695,36))-indirect(address(696,36))</f>
        <v>0</v>
      </c>
      <c r="AK697">
        <f>indirect(address(697,36))+indirect(address(695,37))-indirect(address(696,37))</f>
        <v>0</v>
      </c>
      <c r="AL697">
        <f>indirect(address(697,37))+indirect(address(695,38))-indirect(address(696,38))</f>
        <v>0</v>
      </c>
      <c r="AM697">
        <f>indirect(address(697,38))+indirect(address(695,39))-indirect(address(696,39))</f>
        <v>0</v>
      </c>
      <c r="AN697">
        <f>indirect(address(697,39))+indirect(address(695,40))-indirect(address(696,40))</f>
        <v>0</v>
      </c>
      <c r="AO697">
        <f>indirect(address(697,40))</f>
        <v>0</v>
      </c>
    </row>
    <row r="698" spans="1:41">
      <c r="A698" t="s">
        <v>17</v>
      </c>
      <c r="B698" t="s">
        <v>728</v>
      </c>
      <c r="C698" t="s">
        <v>726</v>
      </c>
      <c r="E698">
        <v>1</v>
      </c>
      <c r="F698" t="s">
        <v>13</v>
      </c>
      <c r="I698" t="s">
        <v>15</v>
      </c>
      <c r="J698">
        <f>vlookup("906-496000-110",B:AZ,column(i1),0)*e698</f>
        <v>0</v>
      </c>
      <c r="K698">
        <f>vlookup("906-496000-110",B:AZ,column(j1),0)*e698</f>
        <v>0</v>
      </c>
      <c r="L698">
        <f>vlookup("906-496000-110",B:AZ,column(k1),0)*e698</f>
        <v>0</v>
      </c>
      <c r="M698">
        <f>vlookup("906-496000-110",B:AZ,column(l1),0)*e698</f>
        <v>0</v>
      </c>
      <c r="N698">
        <f>vlookup("906-496000-110",B:AZ,column(m1),0)*e698</f>
        <v>0</v>
      </c>
      <c r="O698">
        <f>vlookup("906-496000-110",B:AZ,column(n1),0)*e698</f>
        <v>0</v>
      </c>
      <c r="P698">
        <f>vlookup("906-496000-110",B:AZ,column(o1),0)*e698</f>
        <v>0</v>
      </c>
      <c r="Q698">
        <f>vlookup("906-496000-110",B:AZ,column(p1),0)*e698</f>
        <v>0</v>
      </c>
      <c r="R698">
        <f>vlookup("906-496000-110",B:AZ,column(q1),0)*e698</f>
        <v>0</v>
      </c>
      <c r="S698">
        <f>vlookup("906-496000-110",B:AZ,column(r1),0)*e698</f>
        <v>0</v>
      </c>
      <c r="T698">
        <f>vlookup("906-496000-110",B:AZ,column(s1),0)*e698</f>
        <v>0</v>
      </c>
      <c r="U698">
        <f>vlookup("906-496000-110",B:AZ,column(t1),0)*e698</f>
        <v>0</v>
      </c>
      <c r="V698">
        <f>vlookup("906-496000-110",B:AZ,column(u1),0)*e698</f>
        <v>0</v>
      </c>
      <c r="W698">
        <f>vlookup("906-496000-110",B:AZ,column(v1),0)*e698</f>
        <v>0</v>
      </c>
      <c r="X698">
        <f>vlookup("906-496000-110",B:AZ,column(w1),0)*e698</f>
        <v>0</v>
      </c>
      <c r="Y698">
        <f>vlookup("906-496000-110",B:AZ,column(x1),0)*e698</f>
        <v>0</v>
      </c>
      <c r="Z698">
        <f>vlookup("906-496000-110",B:AZ,column(y1),0)*e698</f>
        <v>0</v>
      </c>
      <c r="AA698">
        <f>vlookup("906-496000-110",B:AZ,column(z1),0)*e698</f>
        <v>0</v>
      </c>
      <c r="AB698">
        <f>vlookup("906-496000-110",B:AZ,column(aa1),0)*e698</f>
        <v>0</v>
      </c>
      <c r="AC698">
        <f>vlookup("906-496000-110",B:AZ,column(ab1),0)*e698</f>
        <v>0</v>
      </c>
      <c r="AD698">
        <f>vlookup("906-496000-110",B:AZ,column(ac1),0)*e698</f>
        <v>0</v>
      </c>
      <c r="AE698">
        <f>vlookup("906-496000-110",B:AZ,column(ad1),0)*e698</f>
        <v>0</v>
      </c>
      <c r="AF698">
        <f>vlookup("906-496000-110",B:AZ,column(ae1),0)*e698</f>
        <v>0</v>
      </c>
      <c r="AG698">
        <f>vlookup("906-496000-110",B:AZ,column(af1),0)*e698</f>
        <v>0</v>
      </c>
      <c r="AH698">
        <f>vlookup("906-496000-110",B:AZ,column(ag1),0)*e698</f>
        <v>0</v>
      </c>
      <c r="AI698">
        <f>vlookup("906-496000-110",B:AZ,column(ah1),0)*e698</f>
        <v>0</v>
      </c>
      <c r="AJ698">
        <f>vlookup("906-496000-110",B:AZ,column(ai1),0)*e698</f>
        <v>0</v>
      </c>
      <c r="AK698">
        <f>vlookup("906-496000-110",B:AZ,column(aj1),0)*e698</f>
        <v>0</v>
      </c>
      <c r="AL698">
        <f>vlookup("906-496000-110",B:AZ,column(ak1),0)*e698</f>
        <v>0</v>
      </c>
      <c r="AM698">
        <f>vlookup("906-496000-110",B:AZ,column(al1),0)*e698</f>
        <v>0</v>
      </c>
      <c r="AN698">
        <f>vlookup("906-496000-110",B:AZ,column(am1),0)*e698</f>
        <v>0</v>
      </c>
      <c r="AO698">
        <f>vlookup("906-496000-110",B:AZ,column(an1),0)*e698</f>
        <v>0</v>
      </c>
    </row>
    <row r="699" spans="1:41">
      <c r="A699" t="s">
        <v>17</v>
      </c>
      <c r="B699" t="s">
        <v>729</v>
      </c>
      <c r="C699" t="s">
        <v>726</v>
      </c>
      <c r="E699">
        <v>1</v>
      </c>
      <c r="F699" t="s">
        <v>13</v>
      </c>
      <c r="I699" t="s">
        <v>15</v>
      </c>
      <c r="J699">
        <f>vlookup("906-496000-110",B:AZ,column(i1),0)*e699</f>
        <v>0</v>
      </c>
      <c r="K699">
        <f>vlookup("906-496000-110",B:AZ,column(j1),0)*e699</f>
        <v>0</v>
      </c>
      <c r="L699">
        <f>vlookup("906-496000-110",B:AZ,column(k1),0)*e699</f>
        <v>0</v>
      </c>
      <c r="M699">
        <f>vlookup("906-496000-110",B:AZ,column(l1),0)*e699</f>
        <v>0</v>
      </c>
      <c r="N699">
        <f>vlookup("906-496000-110",B:AZ,column(m1),0)*e699</f>
        <v>0</v>
      </c>
      <c r="O699">
        <f>vlookup("906-496000-110",B:AZ,column(n1),0)*e699</f>
        <v>0</v>
      </c>
      <c r="P699">
        <f>vlookup("906-496000-110",B:AZ,column(o1),0)*e699</f>
        <v>0</v>
      </c>
      <c r="Q699">
        <f>vlookup("906-496000-110",B:AZ,column(p1),0)*e699</f>
        <v>0</v>
      </c>
      <c r="R699">
        <f>vlookup("906-496000-110",B:AZ,column(q1),0)*e699</f>
        <v>0</v>
      </c>
      <c r="S699">
        <f>vlookup("906-496000-110",B:AZ,column(r1),0)*e699</f>
        <v>0</v>
      </c>
      <c r="T699">
        <f>vlookup("906-496000-110",B:AZ,column(s1),0)*e699</f>
        <v>0</v>
      </c>
      <c r="U699">
        <f>vlookup("906-496000-110",B:AZ,column(t1),0)*e699</f>
        <v>0</v>
      </c>
      <c r="V699">
        <f>vlookup("906-496000-110",B:AZ,column(u1),0)*e699</f>
        <v>0</v>
      </c>
      <c r="W699">
        <f>vlookup("906-496000-110",B:AZ,column(v1),0)*e699</f>
        <v>0</v>
      </c>
      <c r="X699">
        <f>vlookup("906-496000-110",B:AZ,column(w1),0)*e699</f>
        <v>0</v>
      </c>
      <c r="Y699">
        <f>vlookup("906-496000-110",B:AZ,column(x1),0)*e699</f>
        <v>0</v>
      </c>
      <c r="Z699">
        <f>vlookup("906-496000-110",B:AZ,column(y1),0)*e699</f>
        <v>0</v>
      </c>
      <c r="AA699">
        <f>vlookup("906-496000-110",B:AZ,column(z1),0)*e699</f>
        <v>0</v>
      </c>
      <c r="AB699">
        <f>vlookup("906-496000-110",B:AZ,column(aa1),0)*e699</f>
        <v>0</v>
      </c>
      <c r="AC699">
        <f>vlookup("906-496000-110",B:AZ,column(ab1),0)*e699</f>
        <v>0</v>
      </c>
      <c r="AD699">
        <f>vlookup("906-496000-110",B:AZ,column(ac1),0)*e699</f>
        <v>0</v>
      </c>
      <c r="AE699">
        <f>vlookup("906-496000-110",B:AZ,column(ad1),0)*e699</f>
        <v>0</v>
      </c>
      <c r="AF699">
        <f>vlookup("906-496000-110",B:AZ,column(ae1),0)*e699</f>
        <v>0</v>
      </c>
      <c r="AG699">
        <f>vlookup("906-496000-110",B:AZ,column(af1),0)*e699</f>
        <v>0</v>
      </c>
      <c r="AH699">
        <f>vlookup("906-496000-110",B:AZ,column(ag1),0)*e699</f>
        <v>0</v>
      </c>
      <c r="AI699">
        <f>vlookup("906-496000-110",B:AZ,column(ah1),0)*e699</f>
        <v>0</v>
      </c>
      <c r="AJ699">
        <f>vlookup("906-496000-110",B:AZ,column(ai1),0)*e699</f>
        <v>0</v>
      </c>
      <c r="AK699">
        <f>vlookup("906-496000-110",B:AZ,column(aj1),0)*e699</f>
        <v>0</v>
      </c>
      <c r="AL699">
        <f>vlookup("906-496000-110",B:AZ,column(ak1),0)*e699</f>
        <v>0</v>
      </c>
      <c r="AM699">
        <f>vlookup("906-496000-110",B:AZ,column(al1),0)*e699</f>
        <v>0</v>
      </c>
      <c r="AN699">
        <f>vlookup("906-496000-110",B:AZ,column(am1),0)*e699</f>
        <v>0</v>
      </c>
      <c r="AO699">
        <f>vlookup("906-496000-110",B:AZ,column(an1),0)*e699</f>
        <v>0</v>
      </c>
    </row>
    <row r="700" spans="1:41">
      <c r="A700" t="s">
        <v>22</v>
      </c>
      <c r="B700" t="s">
        <v>730</v>
      </c>
      <c r="C700" t="s">
        <v>731</v>
      </c>
      <c r="E700">
        <v>1</v>
      </c>
      <c r="F700" t="s">
        <v>13</v>
      </c>
      <c r="I700" t="s">
        <v>15</v>
      </c>
      <c r="J700">
        <f>vlookup("906-496000-110",B:AZ,column(i1),0)*e700</f>
        <v>0</v>
      </c>
      <c r="K700">
        <f>vlookup("906-496000-110",B:AZ,column(j1),0)*e700</f>
        <v>0</v>
      </c>
      <c r="L700">
        <f>vlookup("906-496000-110",B:AZ,column(k1),0)*e700</f>
        <v>0</v>
      </c>
      <c r="M700">
        <f>vlookup("906-496000-110",B:AZ,column(l1),0)*e700</f>
        <v>0</v>
      </c>
      <c r="N700">
        <f>vlookup("906-496000-110",B:AZ,column(m1),0)*e700</f>
        <v>0</v>
      </c>
      <c r="O700">
        <f>vlookup("906-496000-110",B:AZ,column(n1),0)*e700</f>
        <v>0</v>
      </c>
      <c r="P700">
        <f>vlookup("906-496000-110",B:AZ,column(o1),0)*e700</f>
        <v>0</v>
      </c>
      <c r="Q700">
        <f>vlookup("906-496000-110",B:AZ,column(p1),0)*e700</f>
        <v>0</v>
      </c>
      <c r="R700">
        <f>vlookup("906-496000-110",B:AZ,column(q1),0)*e700</f>
        <v>0</v>
      </c>
      <c r="S700">
        <f>vlookup("906-496000-110",B:AZ,column(r1),0)*e700</f>
        <v>0</v>
      </c>
      <c r="T700">
        <f>vlookup("906-496000-110",B:AZ,column(s1),0)*e700</f>
        <v>0</v>
      </c>
      <c r="U700">
        <f>vlookup("906-496000-110",B:AZ,column(t1),0)*e700</f>
        <v>0</v>
      </c>
      <c r="V700">
        <f>vlookup("906-496000-110",B:AZ,column(u1),0)*e700</f>
        <v>0</v>
      </c>
      <c r="W700">
        <f>vlookup("906-496000-110",B:AZ,column(v1),0)*e700</f>
        <v>0</v>
      </c>
      <c r="X700">
        <f>vlookup("906-496000-110",B:AZ,column(w1),0)*e700</f>
        <v>0</v>
      </c>
      <c r="Y700">
        <f>vlookup("906-496000-110",B:AZ,column(x1),0)*e700</f>
        <v>0</v>
      </c>
      <c r="Z700">
        <f>vlookup("906-496000-110",B:AZ,column(y1),0)*e700</f>
        <v>0</v>
      </c>
      <c r="AA700">
        <f>vlookup("906-496000-110",B:AZ,column(z1),0)*e700</f>
        <v>0</v>
      </c>
      <c r="AB700">
        <f>vlookup("906-496000-110",B:AZ,column(aa1),0)*e700</f>
        <v>0</v>
      </c>
      <c r="AC700">
        <f>vlookup("906-496000-110",B:AZ,column(ab1),0)*e700</f>
        <v>0</v>
      </c>
      <c r="AD700">
        <f>vlookup("906-496000-110",B:AZ,column(ac1),0)*e700</f>
        <v>0</v>
      </c>
      <c r="AE700">
        <f>vlookup("906-496000-110",B:AZ,column(ad1),0)*e700</f>
        <v>0</v>
      </c>
      <c r="AF700">
        <f>vlookup("906-496000-110",B:AZ,column(ae1),0)*e700</f>
        <v>0</v>
      </c>
      <c r="AG700">
        <f>vlookup("906-496000-110",B:AZ,column(af1),0)*e700</f>
        <v>0</v>
      </c>
      <c r="AH700">
        <f>vlookup("906-496000-110",B:AZ,column(ag1),0)*e700</f>
        <v>0</v>
      </c>
      <c r="AI700">
        <f>vlookup("906-496000-110",B:AZ,column(ah1),0)*e700</f>
        <v>0</v>
      </c>
      <c r="AJ700">
        <f>vlookup("906-496000-110",B:AZ,column(ai1),0)*e700</f>
        <v>0</v>
      </c>
      <c r="AK700">
        <f>vlookup("906-496000-110",B:AZ,column(aj1),0)*e700</f>
        <v>0</v>
      </c>
      <c r="AL700">
        <f>vlookup("906-496000-110",B:AZ,column(ak1),0)*e700</f>
        <v>0</v>
      </c>
      <c r="AM700">
        <f>vlookup("906-496000-110",B:AZ,column(al1),0)*e700</f>
        <v>0</v>
      </c>
      <c r="AN700">
        <f>vlookup("906-496000-110",B:AZ,column(am1),0)*e700</f>
        <v>0</v>
      </c>
      <c r="AO700">
        <f>vlookup("906-496000-110",B:AZ,column(an1),0)*e700</f>
        <v>0</v>
      </c>
    </row>
    <row r="701" spans="1:41">
      <c r="A701" t="s">
        <v>22</v>
      </c>
      <c r="B701" t="s">
        <v>732</v>
      </c>
      <c r="C701" t="s">
        <v>733</v>
      </c>
      <c r="E701">
        <v>1</v>
      </c>
      <c r="F701" t="s">
        <v>13</v>
      </c>
      <c r="I701" t="s">
        <v>15</v>
      </c>
      <c r="J701">
        <f>vlookup("906-496000-110",B:AZ,column(i1),0)*e701</f>
        <v>0</v>
      </c>
      <c r="K701">
        <f>vlookup("906-496000-110",B:AZ,column(j1),0)*e701</f>
        <v>0</v>
      </c>
      <c r="L701">
        <f>vlookup("906-496000-110",B:AZ,column(k1),0)*e701</f>
        <v>0</v>
      </c>
      <c r="M701">
        <f>vlookup("906-496000-110",B:AZ,column(l1),0)*e701</f>
        <v>0</v>
      </c>
      <c r="N701">
        <f>vlookup("906-496000-110",B:AZ,column(m1),0)*e701</f>
        <v>0</v>
      </c>
      <c r="O701">
        <f>vlookup("906-496000-110",B:AZ,column(n1),0)*e701</f>
        <v>0</v>
      </c>
      <c r="P701">
        <f>vlookup("906-496000-110",B:AZ,column(o1),0)*e701</f>
        <v>0</v>
      </c>
      <c r="Q701">
        <f>vlookup("906-496000-110",B:AZ,column(p1),0)*e701</f>
        <v>0</v>
      </c>
      <c r="R701">
        <f>vlookup("906-496000-110",B:AZ,column(q1),0)*e701</f>
        <v>0</v>
      </c>
      <c r="S701">
        <f>vlookup("906-496000-110",B:AZ,column(r1),0)*e701</f>
        <v>0</v>
      </c>
      <c r="T701">
        <f>vlookup("906-496000-110",B:AZ,column(s1),0)*e701</f>
        <v>0</v>
      </c>
      <c r="U701">
        <f>vlookup("906-496000-110",B:AZ,column(t1),0)*e701</f>
        <v>0</v>
      </c>
      <c r="V701">
        <f>vlookup("906-496000-110",B:AZ,column(u1),0)*e701</f>
        <v>0</v>
      </c>
      <c r="W701">
        <f>vlookup("906-496000-110",B:AZ,column(v1),0)*e701</f>
        <v>0</v>
      </c>
      <c r="X701">
        <f>vlookup("906-496000-110",B:AZ,column(w1),0)*e701</f>
        <v>0</v>
      </c>
      <c r="Y701">
        <f>vlookup("906-496000-110",B:AZ,column(x1),0)*e701</f>
        <v>0</v>
      </c>
      <c r="Z701">
        <f>vlookup("906-496000-110",B:AZ,column(y1),0)*e701</f>
        <v>0</v>
      </c>
      <c r="AA701">
        <f>vlookup("906-496000-110",B:AZ,column(z1),0)*e701</f>
        <v>0</v>
      </c>
      <c r="AB701">
        <f>vlookup("906-496000-110",B:AZ,column(aa1),0)*e701</f>
        <v>0</v>
      </c>
      <c r="AC701">
        <f>vlookup("906-496000-110",B:AZ,column(ab1),0)*e701</f>
        <v>0</v>
      </c>
      <c r="AD701">
        <f>vlookup("906-496000-110",B:AZ,column(ac1),0)*e701</f>
        <v>0</v>
      </c>
      <c r="AE701">
        <f>vlookup("906-496000-110",B:AZ,column(ad1),0)*e701</f>
        <v>0</v>
      </c>
      <c r="AF701">
        <f>vlookup("906-496000-110",B:AZ,column(ae1),0)*e701</f>
        <v>0</v>
      </c>
      <c r="AG701">
        <f>vlookup("906-496000-110",B:AZ,column(af1),0)*e701</f>
        <v>0</v>
      </c>
      <c r="AH701">
        <f>vlookup("906-496000-110",B:AZ,column(ag1),0)*e701</f>
        <v>0</v>
      </c>
      <c r="AI701">
        <f>vlookup("906-496000-110",B:AZ,column(ah1),0)*e701</f>
        <v>0</v>
      </c>
      <c r="AJ701">
        <f>vlookup("906-496000-110",B:AZ,column(ai1),0)*e701</f>
        <v>0</v>
      </c>
      <c r="AK701">
        <f>vlookup("906-496000-110",B:AZ,column(aj1),0)*e701</f>
        <v>0</v>
      </c>
      <c r="AL701">
        <f>vlookup("906-496000-110",B:AZ,column(ak1),0)*e701</f>
        <v>0</v>
      </c>
      <c r="AM701">
        <f>vlookup("906-496000-110",B:AZ,column(al1),0)*e701</f>
        <v>0</v>
      </c>
      <c r="AN701">
        <f>vlookup("906-496000-110",B:AZ,column(am1),0)*e701</f>
        <v>0</v>
      </c>
      <c r="AO701">
        <f>vlookup("906-496000-110",B:AZ,column(an1),0)*e701</f>
        <v>0</v>
      </c>
    </row>
    <row r="702" spans="1:41">
      <c r="A702" t="s">
        <v>22</v>
      </c>
      <c r="B702" t="s">
        <v>734</v>
      </c>
      <c r="C702" t="s">
        <v>653</v>
      </c>
      <c r="E702">
        <v>2</v>
      </c>
      <c r="F702" t="s">
        <v>13</v>
      </c>
      <c r="I702" t="s">
        <v>15</v>
      </c>
      <c r="J702">
        <f>vlookup("906-496000-110",B:AZ,column(i1),0)*e702</f>
        <v>0</v>
      </c>
      <c r="K702">
        <f>vlookup("906-496000-110",B:AZ,column(j1),0)*e702</f>
        <v>0</v>
      </c>
      <c r="L702">
        <f>vlookup("906-496000-110",B:AZ,column(k1),0)*e702</f>
        <v>0</v>
      </c>
      <c r="M702">
        <f>vlookup("906-496000-110",B:AZ,column(l1),0)*e702</f>
        <v>0</v>
      </c>
      <c r="N702">
        <f>vlookup("906-496000-110",B:AZ,column(m1),0)*e702</f>
        <v>0</v>
      </c>
      <c r="O702">
        <f>vlookup("906-496000-110",B:AZ,column(n1),0)*e702</f>
        <v>0</v>
      </c>
      <c r="P702">
        <f>vlookup("906-496000-110",B:AZ,column(o1),0)*e702</f>
        <v>0</v>
      </c>
      <c r="Q702">
        <f>vlookup("906-496000-110",B:AZ,column(p1),0)*e702</f>
        <v>0</v>
      </c>
      <c r="R702">
        <f>vlookup("906-496000-110",B:AZ,column(q1),0)*e702</f>
        <v>0</v>
      </c>
      <c r="S702">
        <f>vlookup("906-496000-110",B:AZ,column(r1),0)*e702</f>
        <v>0</v>
      </c>
      <c r="T702">
        <f>vlookup("906-496000-110",B:AZ,column(s1),0)*e702</f>
        <v>0</v>
      </c>
      <c r="U702">
        <f>vlookup("906-496000-110",B:AZ,column(t1),0)*e702</f>
        <v>0</v>
      </c>
      <c r="V702">
        <f>vlookup("906-496000-110",B:AZ,column(u1),0)*e702</f>
        <v>0</v>
      </c>
      <c r="W702">
        <f>vlookup("906-496000-110",B:AZ,column(v1),0)*e702</f>
        <v>0</v>
      </c>
      <c r="X702">
        <f>vlookup("906-496000-110",B:AZ,column(w1),0)*e702</f>
        <v>0</v>
      </c>
      <c r="Y702">
        <f>vlookup("906-496000-110",B:AZ,column(x1),0)*e702</f>
        <v>0</v>
      </c>
      <c r="Z702">
        <f>vlookup("906-496000-110",B:AZ,column(y1),0)*e702</f>
        <v>0</v>
      </c>
      <c r="AA702">
        <f>vlookup("906-496000-110",B:AZ,column(z1),0)*e702</f>
        <v>0</v>
      </c>
      <c r="AB702">
        <f>vlookup("906-496000-110",B:AZ,column(aa1),0)*e702</f>
        <v>0</v>
      </c>
      <c r="AC702">
        <f>vlookup("906-496000-110",B:AZ,column(ab1),0)*e702</f>
        <v>0</v>
      </c>
      <c r="AD702">
        <f>vlookup("906-496000-110",B:AZ,column(ac1),0)*e702</f>
        <v>0</v>
      </c>
      <c r="AE702">
        <f>vlookup("906-496000-110",B:AZ,column(ad1),0)*e702</f>
        <v>0</v>
      </c>
      <c r="AF702">
        <f>vlookup("906-496000-110",B:AZ,column(ae1),0)*e702</f>
        <v>0</v>
      </c>
      <c r="AG702">
        <f>vlookup("906-496000-110",B:AZ,column(af1),0)*e702</f>
        <v>0</v>
      </c>
      <c r="AH702">
        <f>vlookup("906-496000-110",B:AZ,column(ag1),0)*e702</f>
        <v>0</v>
      </c>
      <c r="AI702">
        <f>vlookup("906-496000-110",B:AZ,column(ah1),0)*e702</f>
        <v>0</v>
      </c>
      <c r="AJ702">
        <f>vlookup("906-496000-110",B:AZ,column(ai1),0)*e702</f>
        <v>0</v>
      </c>
      <c r="AK702">
        <f>vlookup("906-496000-110",B:AZ,column(aj1),0)*e702</f>
        <v>0</v>
      </c>
      <c r="AL702">
        <f>vlookup("906-496000-110",B:AZ,column(ak1),0)*e702</f>
        <v>0</v>
      </c>
      <c r="AM702">
        <f>vlookup("906-496000-110",B:AZ,column(al1),0)*e702</f>
        <v>0</v>
      </c>
      <c r="AN702">
        <f>vlookup("906-496000-110",B:AZ,column(am1),0)*e702</f>
        <v>0</v>
      </c>
      <c r="AO702">
        <f>vlookup("906-496000-110",B:AZ,column(an1),0)*e702</f>
        <v>0</v>
      </c>
    </row>
    <row r="703" spans="1:41">
      <c r="A703" t="s">
        <v>22</v>
      </c>
      <c r="B703" t="s">
        <v>735</v>
      </c>
      <c r="C703" t="s">
        <v>736</v>
      </c>
      <c r="E703">
        <v>1</v>
      </c>
      <c r="F703" t="s">
        <v>13</v>
      </c>
      <c r="I703" t="s">
        <v>15</v>
      </c>
      <c r="J703">
        <f>vlookup("906-496000-110",B:AZ,column(i1),0)*e703</f>
        <v>0</v>
      </c>
      <c r="K703">
        <f>vlookup("906-496000-110",B:AZ,column(j1),0)*e703</f>
        <v>0</v>
      </c>
      <c r="L703">
        <f>vlookup("906-496000-110",B:AZ,column(k1),0)*e703</f>
        <v>0</v>
      </c>
      <c r="M703">
        <f>vlookup("906-496000-110",B:AZ,column(l1),0)*e703</f>
        <v>0</v>
      </c>
      <c r="N703">
        <f>vlookup("906-496000-110",B:AZ,column(m1),0)*e703</f>
        <v>0</v>
      </c>
      <c r="O703">
        <f>vlookup("906-496000-110",B:AZ,column(n1),0)*e703</f>
        <v>0</v>
      </c>
      <c r="P703">
        <f>vlookup("906-496000-110",B:AZ,column(o1),0)*e703</f>
        <v>0</v>
      </c>
      <c r="Q703">
        <f>vlookup("906-496000-110",B:AZ,column(p1),0)*e703</f>
        <v>0</v>
      </c>
      <c r="R703">
        <f>vlookup("906-496000-110",B:AZ,column(q1),0)*e703</f>
        <v>0</v>
      </c>
      <c r="S703">
        <f>vlookup("906-496000-110",B:AZ,column(r1),0)*e703</f>
        <v>0</v>
      </c>
      <c r="T703">
        <f>vlookup("906-496000-110",B:AZ,column(s1),0)*e703</f>
        <v>0</v>
      </c>
      <c r="U703">
        <f>vlookup("906-496000-110",B:AZ,column(t1),0)*e703</f>
        <v>0</v>
      </c>
      <c r="V703">
        <f>vlookup("906-496000-110",B:AZ,column(u1),0)*e703</f>
        <v>0</v>
      </c>
      <c r="W703">
        <f>vlookup("906-496000-110",B:AZ,column(v1),0)*e703</f>
        <v>0</v>
      </c>
      <c r="X703">
        <f>vlookup("906-496000-110",B:AZ,column(w1),0)*e703</f>
        <v>0</v>
      </c>
      <c r="Y703">
        <f>vlookup("906-496000-110",B:AZ,column(x1),0)*e703</f>
        <v>0</v>
      </c>
      <c r="Z703">
        <f>vlookup("906-496000-110",B:AZ,column(y1),0)*e703</f>
        <v>0</v>
      </c>
      <c r="AA703">
        <f>vlookup("906-496000-110",B:AZ,column(z1),0)*e703</f>
        <v>0</v>
      </c>
      <c r="AB703">
        <f>vlookup("906-496000-110",B:AZ,column(aa1),0)*e703</f>
        <v>0</v>
      </c>
      <c r="AC703">
        <f>vlookup("906-496000-110",B:AZ,column(ab1),0)*e703</f>
        <v>0</v>
      </c>
      <c r="AD703">
        <f>vlookup("906-496000-110",B:AZ,column(ac1),0)*e703</f>
        <v>0</v>
      </c>
      <c r="AE703">
        <f>vlookup("906-496000-110",B:AZ,column(ad1),0)*e703</f>
        <v>0</v>
      </c>
      <c r="AF703">
        <f>vlookup("906-496000-110",B:AZ,column(ae1),0)*e703</f>
        <v>0</v>
      </c>
      <c r="AG703">
        <f>vlookup("906-496000-110",B:AZ,column(af1),0)*e703</f>
        <v>0</v>
      </c>
      <c r="AH703">
        <f>vlookup("906-496000-110",B:AZ,column(ag1),0)*e703</f>
        <v>0</v>
      </c>
      <c r="AI703">
        <f>vlookup("906-496000-110",B:AZ,column(ah1),0)*e703</f>
        <v>0</v>
      </c>
      <c r="AJ703">
        <f>vlookup("906-496000-110",B:AZ,column(ai1),0)*e703</f>
        <v>0</v>
      </c>
      <c r="AK703">
        <f>vlookup("906-496000-110",B:AZ,column(aj1),0)*e703</f>
        <v>0</v>
      </c>
      <c r="AL703">
        <f>vlookup("906-496000-110",B:AZ,column(ak1),0)*e703</f>
        <v>0</v>
      </c>
      <c r="AM703">
        <f>vlookup("906-496000-110",B:AZ,column(al1),0)*e703</f>
        <v>0</v>
      </c>
      <c r="AN703">
        <f>vlookup("906-496000-110",B:AZ,column(am1),0)*e703</f>
        <v>0</v>
      </c>
      <c r="AO703">
        <f>vlookup("906-496000-110",B:AZ,column(an1),0)*e703</f>
        <v>0</v>
      </c>
    </row>
    <row r="704" spans="1:41">
      <c r="A704" t="s">
        <v>22</v>
      </c>
      <c r="B704" t="s">
        <v>737</v>
      </c>
      <c r="C704" t="s">
        <v>738</v>
      </c>
      <c r="E704">
        <v>1</v>
      </c>
      <c r="F704" t="s">
        <v>13</v>
      </c>
      <c r="I704" t="s">
        <v>15</v>
      </c>
      <c r="J704">
        <f>vlookup("906-496000-110",B:AZ,column(i1),0)*e704</f>
        <v>0</v>
      </c>
      <c r="K704">
        <f>vlookup("906-496000-110",B:AZ,column(j1),0)*e704</f>
        <v>0</v>
      </c>
      <c r="L704">
        <f>vlookup("906-496000-110",B:AZ,column(k1),0)*e704</f>
        <v>0</v>
      </c>
      <c r="M704">
        <f>vlookup("906-496000-110",B:AZ,column(l1),0)*e704</f>
        <v>0</v>
      </c>
      <c r="N704">
        <f>vlookup("906-496000-110",B:AZ,column(m1),0)*e704</f>
        <v>0</v>
      </c>
      <c r="O704">
        <f>vlookup("906-496000-110",B:AZ,column(n1),0)*e704</f>
        <v>0</v>
      </c>
      <c r="P704">
        <f>vlookup("906-496000-110",B:AZ,column(o1),0)*e704</f>
        <v>0</v>
      </c>
      <c r="Q704">
        <f>vlookup("906-496000-110",B:AZ,column(p1),0)*e704</f>
        <v>0</v>
      </c>
      <c r="R704">
        <f>vlookup("906-496000-110",B:AZ,column(q1),0)*e704</f>
        <v>0</v>
      </c>
      <c r="S704">
        <f>vlookup("906-496000-110",B:AZ,column(r1),0)*e704</f>
        <v>0</v>
      </c>
      <c r="T704">
        <f>vlookup("906-496000-110",B:AZ,column(s1),0)*e704</f>
        <v>0</v>
      </c>
      <c r="U704">
        <f>vlookup("906-496000-110",B:AZ,column(t1),0)*e704</f>
        <v>0</v>
      </c>
      <c r="V704">
        <f>vlookup("906-496000-110",B:AZ,column(u1),0)*e704</f>
        <v>0</v>
      </c>
      <c r="W704">
        <f>vlookup("906-496000-110",B:AZ,column(v1),0)*e704</f>
        <v>0</v>
      </c>
      <c r="X704">
        <f>vlookup("906-496000-110",B:AZ,column(w1),0)*e704</f>
        <v>0</v>
      </c>
      <c r="Y704">
        <f>vlookup("906-496000-110",B:AZ,column(x1),0)*e704</f>
        <v>0</v>
      </c>
      <c r="Z704">
        <f>vlookup("906-496000-110",B:AZ,column(y1),0)*e704</f>
        <v>0</v>
      </c>
      <c r="AA704">
        <f>vlookup("906-496000-110",B:AZ,column(z1),0)*e704</f>
        <v>0</v>
      </c>
      <c r="AB704">
        <f>vlookup("906-496000-110",B:AZ,column(aa1),0)*e704</f>
        <v>0</v>
      </c>
      <c r="AC704">
        <f>vlookup("906-496000-110",B:AZ,column(ab1),0)*e704</f>
        <v>0</v>
      </c>
      <c r="AD704">
        <f>vlookup("906-496000-110",B:AZ,column(ac1),0)*e704</f>
        <v>0</v>
      </c>
      <c r="AE704">
        <f>vlookup("906-496000-110",B:AZ,column(ad1),0)*e704</f>
        <v>0</v>
      </c>
      <c r="AF704">
        <f>vlookup("906-496000-110",B:AZ,column(ae1),0)*e704</f>
        <v>0</v>
      </c>
      <c r="AG704">
        <f>vlookup("906-496000-110",B:AZ,column(af1),0)*e704</f>
        <v>0</v>
      </c>
      <c r="AH704">
        <f>vlookup("906-496000-110",B:AZ,column(ag1),0)*e704</f>
        <v>0</v>
      </c>
      <c r="AI704">
        <f>vlookup("906-496000-110",B:AZ,column(ah1),0)*e704</f>
        <v>0</v>
      </c>
      <c r="AJ704">
        <f>vlookup("906-496000-110",B:AZ,column(ai1),0)*e704</f>
        <v>0</v>
      </c>
      <c r="AK704">
        <f>vlookup("906-496000-110",B:AZ,column(aj1),0)*e704</f>
        <v>0</v>
      </c>
      <c r="AL704">
        <f>vlookup("906-496000-110",B:AZ,column(ak1),0)*e704</f>
        <v>0</v>
      </c>
      <c r="AM704">
        <f>vlookup("906-496000-110",B:AZ,column(al1),0)*e704</f>
        <v>0</v>
      </c>
      <c r="AN704">
        <f>vlookup("906-496000-110",B:AZ,column(am1),0)*e704</f>
        <v>0</v>
      </c>
      <c r="AO704">
        <f>vlookup("906-496000-110",B:AZ,column(an1),0)*e704</f>
        <v>0</v>
      </c>
    </row>
    <row r="705" spans="1:41">
      <c r="A705" t="s">
        <v>22</v>
      </c>
      <c r="B705" t="s">
        <v>739</v>
      </c>
      <c r="C705" t="s">
        <v>740</v>
      </c>
      <c r="E705">
        <v>1</v>
      </c>
      <c r="F705" t="s">
        <v>13</v>
      </c>
      <c r="I705" t="s">
        <v>15</v>
      </c>
      <c r="J705">
        <f>vlookup("906-496000-110",B:AZ,column(i1),0)*e705</f>
        <v>0</v>
      </c>
      <c r="K705">
        <f>vlookup("906-496000-110",B:AZ,column(j1),0)*e705</f>
        <v>0</v>
      </c>
      <c r="L705">
        <f>vlookup("906-496000-110",B:AZ,column(k1),0)*e705</f>
        <v>0</v>
      </c>
      <c r="M705">
        <f>vlookup("906-496000-110",B:AZ,column(l1),0)*e705</f>
        <v>0</v>
      </c>
      <c r="N705">
        <f>vlookup("906-496000-110",B:AZ,column(m1),0)*e705</f>
        <v>0</v>
      </c>
      <c r="O705">
        <f>vlookup("906-496000-110",B:AZ,column(n1),0)*e705</f>
        <v>0</v>
      </c>
      <c r="P705">
        <f>vlookup("906-496000-110",B:AZ,column(o1),0)*e705</f>
        <v>0</v>
      </c>
      <c r="Q705">
        <f>vlookup("906-496000-110",B:AZ,column(p1),0)*e705</f>
        <v>0</v>
      </c>
      <c r="R705">
        <f>vlookup("906-496000-110",B:AZ,column(q1),0)*e705</f>
        <v>0</v>
      </c>
      <c r="S705">
        <f>vlookup("906-496000-110",B:AZ,column(r1),0)*e705</f>
        <v>0</v>
      </c>
      <c r="T705">
        <f>vlookup("906-496000-110",B:AZ,column(s1),0)*e705</f>
        <v>0</v>
      </c>
      <c r="U705">
        <f>vlookup("906-496000-110",B:AZ,column(t1),0)*e705</f>
        <v>0</v>
      </c>
      <c r="V705">
        <f>vlookup("906-496000-110",B:AZ,column(u1),0)*e705</f>
        <v>0</v>
      </c>
      <c r="W705">
        <f>vlookup("906-496000-110",B:AZ,column(v1),0)*e705</f>
        <v>0</v>
      </c>
      <c r="X705">
        <f>vlookup("906-496000-110",B:AZ,column(w1),0)*e705</f>
        <v>0</v>
      </c>
      <c r="Y705">
        <f>vlookup("906-496000-110",B:AZ,column(x1),0)*e705</f>
        <v>0</v>
      </c>
      <c r="Z705">
        <f>vlookup("906-496000-110",B:AZ,column(y1),0)*e705</f>
        <v>0</v>
      </c>
      <c r="AA705">
        <f>vlookup("906-496000-110",B:AZ,column(z1),0)*e705</f>
        <v>0</v>
      </c>
      <c r="AB705">
        <f>vlookup("906-496000-110",B:AZ,column(aa1),0)*e705</f>
        <v>0</v>
      </c>
      <c r="AC705">
        <f>vlookup("906-496000-110",B:AZ,column(ab1),0)*e705</f>
        <v>0</v>
      </c>
      <c r="AD705">
        <f>vlookup("906-496000-110",B:AZ,column(ac1),0)*e705</f>
        <v>0</v>
      </c>
      <c r="AE705">
        <f>vlookup("906-496000-110",B:AZ,column(ad1),0)*e705</f>
        <v>0</v>
      </c>
      <c r="AF705">
        <f>vlookup("906-496000-110",B:AZ,column(ae1),0)*e705</f>
        <v>0</v>
      </c>
      <c r="AG705">
        <f>vlookup("906-496000-110",B:AZ,column(af1),0)*e705</f>
        <v>0</v>
      </c>
      <c r="AH705">
        <f>vlookup("906-496000-110",B:AZ,column(ag1),0)*e705</f>
        <v>0</v>
      </c>
      <c r="AI705">
        <f>vlookup("906-496000-110",B:AZ,column(ah1),0)*e705</f>
        <v>0</v>
      </c>
      <c r="AJ705">
        <f>vlookup("906-496000-110",B:AZ,column(ai1),0)*e705</f>
        <v>0</v>
      </c>
      <c r="AK705">
        <f>vlookup("906-496000-110",B:AZ,column(aj1),0)*e705</f>
        <v>0</v>
      </c>
      <c r="AL705">
        <f>vlookup("906-496000-110",B:AZ,column(ak1),0)*e705</f>
        <v>0</v>
      </c>
      <c r="AM705">
        <f>vlookup("906-496000-110",B:AZ,column(al1),0)*e705</f>
        <v>0</v>
      </c>
      <c r="AN705">
        <f>vlookup("906-496000-110",B:AZ,column(am1),0)*e705</f>
        <v>0</v>
      </c>
      <c r="AO705">
        <f>vlookup("906-496000-110",B:AZ,column(an1),0)*e705</f>
        <v>0</v>
      </c>
    </row>
    <row r="706" spans="1:41">
      <c r="A706" t="s">
        <v>22</v>
      </c>
      <c r="B706" t="s">
        <v>741</v>
      </c>
      <c r="C706" t="s">
        <v>742</v>
      </c>
      <c r="E706">
        <v>1</v>
      </c>
      <c r="F706" t="s">
        <v>13</v>
      </c>
      <c r="I706" t="s">
        <v>15</v>
      </c>
      <c r="J706">
        <f>vlookup("906-496000-110",B:AZ,column(i1),0)*e706</f>
        <v>0</v>
      </c>
      <c r="K706">
        <f>vlookup("906-496000-110",B:AZ,column(j1),0)*e706</f>
        <v>0</v>
      </c>
      <c r="L706">
        <f>vlookup("906-496000-110",B:AZ,column(k1),0)*e706</f>
        <v>0</v>
      </c>
      <c r="M706">
        <f>vlookup("906-496000-110",B:AZ,column(l1),0)*e706</f>
        <v>0</v>
      </c>
      <c r="N706">
        <f>vlookup("906-496000-110",B:AZ,column(m1),0)*e706</f>
        <v>0</v>
      </c>
      <c r="O706">
        <f>vlookup("906-496000-110",B:AZ,column(n1),0)*e706</f>
        <v>0</v>
      </c>
      <c r="P706">
        <f>vlookup("906-496000-110",B:AZ,column(o1),0)*e706</f>
        <v>0</v>
      </c>
      <c r="Q706">
        <f>vlookup("906-496000-110",B:AZ,column(p1),0)*e706</f>
        <v>0</v>
      </c>
      <c r="R706">
        <f>vlookup("906-496000-110",B:AZ,column(q1),0)*e706</f>
        <v>0</v>
      </c>
      <c r="S706">
        <f>vlookup("906-496000-110",B:AZ,column(r1),0)*e706</f>
        <v>0</v>
      </c>
      <c r="T706">
        <f>vlookup("906-496000-110",B:AZ,column(s1),0)*e706</f>
        <v>0</v>
      </c>
      <c r="U706">
        <f>vlookup("906-496000-110",B:AZ,column(t1),0)*e706</f>
        <v>0</v>
      </c>
      <c r="V706">
        <f>vlookup("906-496000-110",B:AZ,column(u1),0)*e706</f>
        <v>0</v>
      </c>
      <c r="W706">
        <f>vlookup("906-496000-110",B:AZ,column(v1),0)*e706</f>
        <v>0</v>
      </c>
      <c r="X706">
        <f>vlookup("906-496000-110",B:AZ,column(w1),0)*e706</f>
        <v>0</v>
      </c>
      <c r="Y706">
        <f>vlookup("906-496000-110",B:AZ,column(x1),0)*e706</f>
        <v>0</v>
      </c>
      <c r="Z706">
        <f>vlookup("906-496000-110",B:AZ,column(y1),0)*e706</f>
        <v>0</v>
      </c>
      <c r="AA706">
        <f>vlookup("906-496000-110",B:AZ,column(z1),0)*e706</f>
        <v>0</v>
      </c>
      <c r="AB706">
        <f>vlookup("906-496000-110",B:AZ,column(aa1),0)*e706</f>
        <v>0</v>
      </c>
      <c r="AC706">
        <f>vlookup("906-496000-110",B:AZ,column(ab1),0)*e706</f>
        <v>0</v>
      </c>
      <c r="AD706">
        <f>vlookup("906-496000-110",B:AZ,column(ac1),0)*e706</f>
        <v>0</v>
      </c>
      <c r="AE706">
        <f>vlookup("906-496000-110",B:AZ,column(ad1),0)*e706</f>
        <v>0</v>
      </c>
      <c r="AF706">
        <f>vlookup("906-496000-110",B:AZ,column(ae1),0)*e706</f>
        <v>0</v>
      </c>
      <c r="AG706">
        <f>vlookup("906-496000-110",B:AZ,column(af1),0)*e706</f>
        <v>0</v>
      </c>
      <c r="AH706">
        <f>vlookup("906-496000-110",B:AZ,column(ag1),0)*e706</f>
        <v>0</v>
      </c>
      <c r="AI706">
        <f>vlookup("906-496000-110",B:AZ,column(ah1),0)*e706</f>
        <v>0</v>
      </c>
      <c r="AJ706">
        <f>vlookup("906-496000-110",B:AZ,column(ai1),0)*e706</f>
        <v>0</v>
      </c>
      <c r="AK706">
        <f>vlookup("906-496000-110",B:AZ,column(aj1),0)*e706</f>
        <v>0</v>
      </c>
      <c r="AL706">
        <f>vlookup("906-496000-110",B:AZ,column(ak1),0)*e706</f>
        <v>0</v>
      </c>
      <c r="AM706">
        <f>vlookup("906-496000-110",B:AZ,column(al1),0)*e706</f>
        <v>0</v>
      </c>
      <c r="AN706">
        <f>vlookup("906-496000-110",B:AZ,column(am1),0)*e706</f>
        <v>0</v>
      </c>
      <c r="AO706">
        <f>vlookup("906-496000-110",B:AZ,column(an1),0)*e706</f>
        <v>0</v>
      </c>
    </row>
    <row r="707" spans="1:41">
      <c r="A707" t="s">
        <v>22</v>
      </c>
      <c r="B707" t="s">
        <v>743</v>
      </c>
      <c r="C707" t="s">
        <v>744</v>
      </c>
      <c r="E707">
        <v>1</v>
      </c>
      <c r="F707" t="s">
        <v>13</v>
      </c>
      <c r="I707" t="s">
        <v>15</v>
      </c>
      <c r="J707">
        <f>vlookup("906-496000-110",B:AZ,column(i1),0)*e707</f>
        <v>0</v>
      </c>
      <c r="K707">
        <f>vlookup("906-496000-110",B:AZ,column(j1),0)*e707</f>
        <v>0</v>
      </c>
      <c r="L707">
        <f>vlookup("906-496000-110",B:AZ,column(k1),0)*e707</f>
        <v>0</v>
      </c>
      <c r="M707">
        <f>vlookup("906-496000-110",B:AZ,column(l1),0)*e707</f>
        <v>0</v>
      </c>
      <c r="N707">
        <f>vlookup("906-496000-110",B:AZ,column(m1),0)*e707</f>
        <v>0</v>
      </c>
      <c r="O707">
        <f>vlookup("906-496000-110",B:AZ,column(n1),0)*e707</f>
        <v>0</v>
      </c>
      <c r="P707">
        <f>vlookup("906-496000-110",B:AZ,column(o1),0)*e707</f>
        <v>0</v>
      </c>
      <c r="Q707">
        <f>vlookup("906-496000-110",B:AZ,column(p1),0)*e707</f>
        <v>0</v>
      </c>
      <c r="R707">
        <f>vlookup("906-496000-110",B:AZ,column(q1),0)*e707</f>
        <v>0</v>
      </c>
      <c r="S707">
        <f>vlookup("906-496000-110",B:AZ,column(r1),0)*e707</f>
        <v>0</v>
      </c>
      <c r="T707">
        <f>vlookup("906-496000-110",B:AZ,column(s1),0)*e707</f>
        <v>0</v>
      </c>
      <c r="U707">
        <f>vlookup("906-496000-110",B:AZ,column(t1),0)*e707</f>
        <v>0</v>
      </c>
      <c r="V707">
        <f>vlookup("906-496000-110",B:AZ,column(u1),0)*e707</f>
        <v>0</v>
      </c>
      <c r="W707">
        <f>vlookup("906-496000-110",B:AZ,column(v1),0)*e707</f>
        <v>0</v>
      </c>
      <c r="X707">
        <f>vlookup("906-496000-110",B:AZ,column(w1),0)*e707</f>
        <v>0</v>
      </c>
      <c r="Y707">
        <f>vlookup("906-496000-110",B:AZ,column(x1),0)*e707</f>
        <v>0</v>
      </c>
      <c r="Z707">
        <f>vlookup("906-496000-110",B:AZ,column(y1),0)*e707</f>
        <v>0</v>
      </c>
      <c r="AA707">
        <f>vlookup("906-496000-110",B:AZ,column(z1),0)*e707</f>
        <v>0</v>
      </c>
      <c r="AB707">
        <f>vlookup("906-496000-110",B:AZ,column(aa1),0)*e707</f>
        <v>0</v>
      </c>
      <c r="AC707">
        <f>vlookup("906-496000-110",B:AZ,column(ab1),0)*e707</f>
        <v>0</v>
      </c>
      <c r="AD707">
        <f>vlookup("906-496000-110",B:AZ,column(ac1),0)*e707</f>
        <v>0</v>
      </c>
      <c r="AE707">
        <f>vlookup("906-496000-110",B:AZ,column(ad1),0)*e707</f>
        <v>0</v>
      </c>
      <c r="AF707">
        <f>vlookup("906-496000-110",B:AZ,column(ae1),0)*e707</f>
        <v>0</v>
      </c>
      <c r="AG707">
        <f>vlookup("906-496000-110",B:AZ,column(af1),0)*e707</f>
        <v>0</v>
      </c>
      <c r="AH707">
        <f>vlookup("906-496000-110",B:AZ,column(ag1),0)*e707</f>
        <v>0</v>
      </c>
      <c r="AI707">
        <f>vlookup("906-496000-110",B:AZ,column(ah1),0)*e707</f>
        <v>0</v>
      </c>
      <c r="AJ707">
        <f>vlookup("906-496000-110",B:AZ,column(ai1),0)*e707</f>
        <v>0</v>
      </c>
      <c r="AK707">
        <f>vlookup("906-496000-110",B:AZ,column(aj1),0)*e707</f>
        <v>0</v>
      </c>
      <c r="AL707">
        <f>vlookup("906-496000-110",B:AZ,column(ak1),0)*e707</f>
        <v>0</v>
      </c>
      <c r="AM707">
        <f>vlookup("906-496000-110",B:AZ,column(al1),0)*e707</f>
        <v>0</v>
      </c>
      <c r="AN707">
        <f>vlookup("906-496000-110",B:AZ,column(am1),0)*e707</f>
        <v>0</v>
      </c>
      <c r="AO707">
        <f>vlookup("906-496000-110",B:AZ,column(an1),0)*e707</f>
        <v>0</v>
      </c>
    </row>
    <row r="708" spans="1:41">
      <c r="A708" t="s">
        <v>22</v>
      </c>
      <c r="B708" t="s">
        <v>745</v>
      </c>
      <c r="C708" t="s">
        <v>746</v>
      </c>
      <c r="E708">
        <v>1</v>
      </c>
      <c r="F708" t="s">
        <v>13</v>
      </c>
      <c r="I708" t="s">
        <v>15</v>
      </c>
      <c r="J708">
        <f>vlookup("906-496000-110",B:AZ,column(i1),0)*e708</f>
        <v>0</v>
      </c>
      <c r="K708">
        <f>vlookup("906-496000-110",B:AZ,column(j1),0)*e708</f>
        <v>0</v>
      </c>
      <c r="L708">
        <f>vlookup("906-496000-110",B:AZ,column(k1),0)*e708</f>
        <v>0</v>
      </c>
      <c r="M708">
        <f>vlookup("906-496000-110",B:AZ,column(l1),0)*e708</f>
        <v>0</v>
      </c>
      <c r="N708">
        <f>vlookup("906-496000-110",B:AZ,column(m1),0)*e708</f>
        <v>0</v>
      </c>
      <c r="O708">
        <f>vlookup("906-496000-110",B:AZ,column(n1),0)*e708</f>
        <v>0</v>
      </c>
      <c r="P708">
        <f>vlookup("906-496000-110",B:AZ,column(o1),0)*e708</f>
        <v>0</v>
      </c>
      <c r="Q708">
        <f>vlookup("906-496000-110",B:AZ,column(p1),0)*e708</f>
        <v>0</v>
      </c>
      <c r="R708">
        <f>vlookup("906-496000-110",B:AZ,column(q1),0)*e708</f>
        <v>0</v>
      </c>
      <c r="S708">
        <f>vlookup("906-496000-110",B:AZ,column(r1),0)*e708</f>
        <v>0</v>
      </c>
      <c r="T708">
        <f>vlookup("906-496000-110",B:AZ,column(s1),0)*e708</f>
        <v>0</v>
      </c>
      <c r="U708">
        <f>vlookup("906-496000-110",B:AZ,column(t1),0)*e708</f>
        <v>0</v>
      </c>
      <c r="V708">
        <f>vlookup("906-496000-110",B:AZ,column(u1),0)*e708</f>
        <v>0</v>
      </c>
      <c r="W708">
        <f>vlookup("906-496000-110",B:AZ,column(v1),0)*e708</f>
        <v>0</v>
      </c>
      <c r="X708">
        <f>vlookup("906-496000-110",B:AZ,column(w1),0)*e708</f>
        <v>0</v>
      </c>
      <c r="Y708">
        <f>vlookup("906-496000-110",B:AZ,column(x1),0)*e708</f>
        <v>0</v>
      </c>
      <c r="Z708">
        <f>vlookup("906-496000-110",B:AZ,column(y1),0)*e708</f>
        <v>0</v>
      </c>
      <c r="AA708">
        <f>vlookup("906-496000-110",B:AZ,column(z1),0)*e708</f>
        <v>0</v>
      </c>
      <c r="AB708">
        <f>vlookup("906-496000-110",B:AZ,column(aa1),0)*e708</f>
        <v>0</v>
      </c>
      <c r="AC708">
        <f>vlookup("906-496000-110",B:AZ,column(ab1),0)*e708</f>
        <v>0</v>
      </c>
      <c r="AD708">
        <f>vlookup("906-496000-110",B:AZ,column(ac1),0)*e708</f>
        <v>0</v>
      </c>
      <c r="AE708">
        <f>vlookup("906-496000-110",B:AZ,column(ad1),0)*e708</f>
        <v>0</v>
      </c>
      <c r="AF708">
        <f>vlookup("906-496000-110",B:AZ,column(ae1),0)*e708</f>
        <v>0</v>
      </c>
      <c r="AG708">
        <f>vlookup("906-496000-110",B:AZ,column(af1),0)*e708</f>
        <v>0</v>
      </c>
      <c r="AH708">
        <f>vlookup("906-496000-110",B:AZ,column(ag1),0)*e708</f>
        <v>0</v>
      </c>
      <c r="AI708">
        <f>vlookup("906-496000-110",B:AZ,column(ah1),0)*e708</f>
        <v>0</v>
      </c>
      <c r="AJ708">
        <f>vlookup("906-496000-110",B:AZ,column(ai1),0)*e708</f>
        <v>0</v>
      </c>
      <c r="AK708">
        <f>vlookup("906-496000-110",B:AZ,column(aj1),0)*e708</f>
        <v>0</v>
      </c>
      <c r="AL708">
        <f>vlookup("906-496000-110",B:AZ,column(ak1),0)*e708</f>
        <v>0</v>
      </c>
      <c r="AM708">
        <f>vlookup("906-496000-110",B:AZ,column(al1),0)*e708</f>
        <v>0</v>
      </c>
      <c r="AN708">
        <f>vlookup("906-496000-110",B:AZ,column(am1),0)*e708</f>
        <v>0</v>
      </c>
      <c r="AO708">
        <f>vlookup("906-496000-110",B:AZ,column(an1),0)*e708</f>
        <v>0</v>
      </c>
    </row>
    <row r="709" spans="1:41">
      <c r="A709" t="s">
        <v>10</v>
      </c>
      <c r="B709" t="s">
        <v>747</v>
      </c>
      <c r="C709" t="s">
        <v>748</v>
      </c>
      <c r="E709">
        <v>1</v>
      </c>
      <c r="F709" t="s">
        <v>13</v>
      </c>
      <c r="I709" t="s">
        <v>14</v>
      </c>
      <c r="AO709">
        <f>sum(j709:an709)</f>
        <v>0</v>
      </c>
    </row>
    <row r="710" spans="1:41">
      <c r="I710" t="s">
        <v>15</v>
      </c>
      <c r="J710">
        <f>vlookup("906-958000-100",Out!B:AZ,column(i1),0)</f>
        <v>0</v>
      </c>
      <c r="K710">
        <f>vlookup("906-958000-100",Out!B:AZ,column(j1),0)</f>
        <v>0</v>
      </c>
      <c r="L710">
        <f>vlookup("906-958000-100",Out!B:AZ,column(k1),0)</f>
        <v>0</v>
      </c>
      <c r="M710">
        <f>vlookup("906-958000-100",Out!B:AZ,column(l1),0)</f>
        <v>0</v>
      </c>
      <c r="N710">
        <f>vlookup("906-958000-100",Out!B:AZ,column(m1),0)</f>
        <v>0</v>
      </c>
      <c r="O710">
        <f>vlookup("906-958000-100",Out!B:AZ,column(n1),0)</f>
        <v>0</v>
      </c>
      <c r="P710">
        <f>vlookup("906-958000-100",Out!B:AZ,column(o1),0)</f>
        <v>0</v>
      </c>
      <c r="Q710">
        <f>vlookup("906-958000-100",Out!B:AZ,column(p1),0)</f>
        <v>0</v>
      </c>
      <c r="R710">
        <f>vlookup("906-958000-100",Out!B:AZ,column(q1),0)</f>
        <v>0</v>
      </c>
      <c r="S710">
        <f>vlookup("906-958000-100",Out!B:AZ,column(r1),0)</f>
        <v>0</v>
      </c>
      <c r="T710">
        <f>vlookup("906-958000-100",Out!B:AZ,column(s1),0)</f>
        <v>0</v>
      </c>
      <c r="U710">
        <f>vlookup("906-958000-100",Out!B:AZ,column(t1),0)</f>
        <v>0</v>
      </c>
      <c r="V710">
        <f>vlookup("906-958000-100",Out!B:AZ,column(u1),0)</f>
        <v>0</v>
      </c>
      <c r="W710">
        <f>vlookup("906-958000-100",Out!B:AZ,column(v1),0)</f>
        <v>0</v>
      </c>
      <c r="X710">
        <f>vlookup("906-958000-100",Out!B:AZ,column(w1),0)</f>
        <v>0</v>
      </c>
      <c r="Y710">
        <f>vlookup("906-958000-100",Out!B:AZ,column(x1),0)</f>
        <v>0</v>
      </c>
      <c r="Z710">
        <f>vlookup("906-958000-100",Out!B:AZ,column(y1),0)</f>
        <v>0</v>
      </c>
      <c r="AA710">
        <f>vlookup("906-958000-100",Out!B:AZ,column(z1),0)</f>
        <v>0</v>
      </c>
      <c r="AB710">
        <f>vlookup("906-958000-100",Out!B:AZ,column(aa1),0)</f>
        <v>0</v>
      </c>
      <c r="AC710">
        <f>vlookup("906-958000-100",Out!B:AZ,column(ab1),0)</f>
        <v>0</v>
      </c>
      <c r="AD710">
        <f>vlookup("906-958000-100",Out!B:AZ,column(ac1),0)</f>
        <v>0</v>
      </c>
      <c r="AE710">
        <f>vlookup("906-958000-100",Out!B:AZ,column(ad1),0)</f>
        <v>0</v>
      </c>
      <c r="AF710">
        <f>vlookup("906-958000-100",Out!B:AZ,column(ae1),0)</f>
        <v>0</v>
      </c>
      <c r="AG710">
        <f>vlookup("906-958000-100",Out!B:AZ,column(af1),0)</f>
        <v>0</v>
      </c>
      <c r="AH710">
        <f>vlookup("906-958000-100",Out!B:AZ,column(ag1),0)</f>
        <v>0</v>
      </c>
      <c r="AI710">
        <f>vlookup("906-958000-100",Out!B:AZ,column(ah1),0)</f>
        <v>0</v>
      </c>
      <c r="AJ710">
        <f>vlookup("906-958000-100",Out!B:AZ,column(ai1),0)</f>
        <v>0</v>
      </c>
      <c r="AK710">
        <f>vlookup("906-958000-100",Out!B:AZ,column(aj1),0)</f>
        <v>0</v>
      </c>
      <c r="AL710">
        <f>vlookup("906-958000-100",Out!B:AZ,column(ak1),0)</f>
        <v>0</v>
      </c>
      <c r="AM710">
        <f>vlookup("906-958000-100",Out!B:AZ,column(al1),0)</f>
        <v>0</v>
      </c>
      <c r="AN710">
        <f>vlookup("906-958000-100",Out!B:AZ,column(am1),0)</f>
        <v>0</v>
      </c>
      <c r="AO710">
        <f>vlookup("906-958000-100",Out!B:AZ,column(an1),0)</f>
        <v>0</v>
      </c>
    </row>
    <row r="711" spans="1:41">
      <c r="H711" t="s">
        <v>16</v>
      </c>
      <c r="J711">
        <f>indirect(address(711,9))+indirect(address(709,10))-indirect(address(710,10))</f>
        <v>0</v>
      </c>
      <c r="K711">
        <f>indirect(address(711,10))+indirect(address(709,11))-indirect(address(710,11))</f>
        <v>0</v>
      </c>
      <c r="L711">
        <f>indirect(address(711,11))+indirect(address(709,12))-indirect(address(710,12))</f>
        <v>0</v>
      </c>
      <c r="M711">
        <f>indirect(address(711,12))+indirect(address(709,13))-indirect(address(710,13))</f>
        <v>0</v>
      </c>
      <c r="N711">
        <f>indirect(address(711,13))+indirect(address(709,14))-indirect(address(710,14))</f>
        <v>0</v>
      </c>
      <c r="O711">
        <f>indirect(address(711,14))+indirect(address(709,15))-indirect(address(710,15))</f>
        <v>0</v>
      </c>
      <c r="P711">
        <f>indirect(address(711,15))+indirect(address(709,16))-indirect(address(710,16))</f>
        <v>0</v>
      </c>
      <c r="Q711">
        <f>indirect(address(711,16))+indirect(address(709,17))-indirect(address(710,17))</f>
        <v>0</v>
      </c>
      <c r="R711">
        <f>indirect(address(711,17))+indirect(address(709,18))-indirect(address(710,18))</f>
        <v>0</v>
      </c>
      <c r="S711">
        <f>indirect(address(711,18))+indirect(address(709,19))-indirect(address(710,19))</f>
        <v>0</v>
      </c>
      <c r="T711">
        <f>indirect(address(711,19))+indirect(address(709,20))-indirect(address(710,20))</f>
        <v>0</v>
      </c>
      <c r="U711">
        <f>indirect(address(711,20))+indirect(address(709,21))-indirect(address(710,21))</f>
        <v>0</v>
      </c>
      <c r="V711">
        <f>indirect(address(711,21))+indirect(address(709,22))-indirect(address(710,22))</f>
        <v>0</v>
      </c>
      <c r="W711">
        <f>indirect(address(711,22))+indirect(address(709,23))-indirect(address(710,23))</f>
        <v>0</v>
      </c>
      <c r="X711">
        <f>indirect(address(711,23))+indirect(address(709,24))-indirect(address(710,24))</f>
        <v>0</v>
      </c>
      <c r="Y711">
        <f>indirect(address(711,24))+indirect(address(709,25))-indirect(address(710,25))</f>
        <v>0</v>
      </c>
      <c r="Z711">
        <f>indirect(address(711,25))+indirect(address(709,26))-indirect(address(710,26))</f>
        <v>0</v>
      </c>
      <c r="AA711">
        <f>indirect(address(711,26))+indirect(address(709,27))-indirect(address(710,27))</f>
        <v>0</v>
      </c>
      <c r="AB711">
        <f>indirect(address(711,27))+indirect(address(709,28))-indirect(address(710,28))</f>
        <v>0</v>
      </c>
      <c r="AC711">
        <f>indirect(address(711,28))+indirect(address(709,29))-indirect(address(710,29))</f>
        <v>0</v>
      </c>
      <c r="AD711">
        <f>indirect(address(711,29))+indirect(address(709,30))-indirect(address(710,30))</f>
        <v>0</v>
      </c>
      <c r="AE711">
        <f>indirect(address(711,30))+indirect(address(709,31))-indirect(address(710,31))</f>
        <v>0</v>
      </c>
      <c r="AF711">
        <f>indirect(address(711,31))+indirect(address(709,32))-indirect(address(710,32))</f>
        <v>0</v>
      </c>
      <c r="AG711">
        <f>indirect(address(711,32))+indirect(address(709,33))-indirect(address(710,33))</f>
        <v>0</v>
      </c>
      <c r="AH711">
        <f>indirect(address(711,33))+indirect(address(709,34))-indirect(address(710,34))</f>
        <v>0</v>
      </c>
      <c r="AI711">
        <f>indirect(address(711,34))+indirect(address(709,35))-indirect(address(710,35))</f>
        <v>0</v>
      </c>
      <c r="AJ711">
        <f>indirect(address(711,35))+indirect(address(709,36))-indirect(address(710,36))</f>
        <v>0</v>
      </c>
      <c r="AK711">
        <f>indirect(address(711,36))+indirect(address(709,37))-indirect(address(710,37))</f>
        <v>0</v>
      </c>
      <c r="AL711">
        <f>indirect(address(711,37))+indirect(address(709,38))-indirect(address(710,38))</f>
        <v>0</v>
      </c>
      <c r="AM711">
        <f>indirect(address(711,38))+indirect(address(709,39))-indirect(address(710,39))</f>
        <v>0</v>
      </c>
      <c r="AN711">
        <f>indirect(address(711,39))+indirect(address(709,40))-indirect(address(710,40))</f>
        <v>0</v>
      </c>
      <c r="AO711">
        <f>indirect(address(711,40))</f>
        <v>0</v>
      </c>
    </row>
    <row r="712" spans="1:41">
      <c r="A712" t="s">
        <v>17</v>
      </c>
      <c r="B712" t="s">
        <v>749</v>
      </c>
      <c r="C712" t="s">
        <v>750</v>
      </c>
      <c r="E712">
        <v>1</v>
      </c>
      <c r="F712" t="s">
        <v>13</v>
      </c>
      <c r="I712" t="s">
        <v>15</v>
      </c>
      <c r="J712">
        <f>vlookup("906-958000-100",B:AZ,column(i1),0)*e712</f>
        <v>0</v>
      </c>
      <c r="K712">
        <f>vlookup("906-958000-100",B:AZ,column(j1),0)*e712</f>
        <v>0</v>
      </c>
      <c r="L712">
        <f>vlookup("906-958000-100",B:AZ,column(k1),0)*e712</f>
        <v>0</v>
      </c>
      <c r="M712">
        <f>vlookup("906-958000-100",B:AZ,column(l1),0)*e712</f>
        <v>0</v>
      </c>
      <c r="N712">
        <f>vlookup("906-958000-100",B:AZ,column(m1),0)*e712</f>
        <v>0</v>
      </c>
      <c r="O712">
        <f>vlookup("906-958000-100",B:AZ,column(n1),0)*e712</f>
        <v>0</v>
      </c>
      <c r="P712">
        <f>vlookup("906-958000-100",B:AZ,column(o1),0)*e712</f>
        <v>0</v>
      </c>
      <c r="Q712">
        <f>vlookup("906-958000-100",B:AZ,column(p1),0)*e712</f>
        <v>0</v>
      </c>
      <c r="R712">
        <f>vlookup("906-958000-100",B:AZ,column(q1),0)*e712</f>
        <v>0</v>
      </c>
      <c r="S712">
        <f>vlookup("906-958000-100",B:AZ,column(r1),0)*e712</f>
        <v>0</v>
      </c>
      <c r="T712">
        <f>vlookup("906-958000-100",B:AZ,column(s1),0)*e712</f>
        <v>0</v>
      </c>
      <c r="U712">
        <f>vlookup("906-958000-100",B:AZ,column(t1),0)*e712</f>
        <v>0</v>
      </c>
      <c r="V712">
        <f>vlookup("906-958000-100",B:AZ,column(u1),0)*e712</f>
        <v>0</v>
      </c>
      <c r="W712">
        <f>vlookup("906-958000-100",B:AZ,column(v1),0)*e712</f>
        <v>0</v>
      </c>
      <c r="X712">
        <f>vlookup("906-958000-100",B:AZ,column(w1),0)*e712</f>
        <v>0</v>
      </c>
      <c r="Y712">
        <f>vlookup("906-958000-100",B:AZ,column(x1),0)*e712</f>
        <v>0</v>
      </c>
      <c r="Z712">
        <f>vlookup("906-958000-100",B:AZ,column(y1),0)*e712</f>
        <v>0</v>
      </c>
      <c r="AA712">
        <f>vlookup("906-958000-100",B:AZ,column(z1),0)*e712</f>
        <v>0</v>
      </c>
      <c r="AB712">
        <f>vlookup("906-958000-100",B:AZ,column(aa1),0)*e712</f>
        <v>0</v>
      </c>
      <c r="AC712">
        <f>vlookup("906-958000-100",B:AZ,column(ab1),0)*e712</f>
        <v>0</v>
      </c>
      <c r="AD712">
        <f>vlookup("906-958000-100",B:AZ,column(ac1),0)*e712</f>
        <v>0</v>
      </c>
      <c r="AE712">
        <f>vlookup("906-958000-100",B:AZ,column(ad1),0)*e712</f>
        <v>0</v>
      </c>
      <c r="AF712">
        <f>vlookup("906-958000-100",B:AZ,column(ae1),0)*e712</f>
        <v>0</v>
      </c>
      <c r="AG712">
        <f>vlookup("906-958000-100",B:AZ,column(af1),0)*e712</f>
        <v>0</v>
      </c>
      <c r="AH712">
        <f>vlookup("906-958000-100",B:AZ,column(ag1),0)*e712</f>
        <v>0</v>
      </c>
      <c r="AI712">
        <f>vlookup("906-958000-100",B:AZ,column(ah1),0)*e712</f>
        <v>0</v>
      </c>
      <c r="AJ712">
        <f>vlookup("906-958000-100",B:AZ,column(ai1),0)*e712</f>
        <v>0</v>
      </c>
      <c r="AK712">
        <f>vlookup("906-958000-100",B:AZ,column(aj1),0)*e712</f>
        <v>0</v>
      </c>
      <c r="AL712">
        <f>vlookup("906-958000-100",B:AZ,column(ak1),0)*e712</f>
        <v>0</v>
      </c>
      <c r="AM712">
        <f>vlookup("906-958000-100",B:AZ,column(al1),0)*e712</f>
        <v>0</v>
      </c>
      <c r="AN712">
        <f>vlookup("906-958000-100",B:AZ,column(am1),0)*e712</f>
        <v>0</v>
      </c>
      <c r="AO712">
        <f>vlookup("906-958000-100",B:AZ,column(an1),0)*e712</f>
        <v>0</v>
      </c>
    </row>
    <row r="713" spans="1:41">
      <c r="A713" t="s">
        <v>22</v>
      </c>
      <c r="B713" t="s">
        <v>751</v>
      </c>
      <c r="C713" t="s">
        <v>752</v>
      </c>
      <c r="E713">
        <v>1</v>
      </c>
      <c r="F713" t="s">
        <v>13</v>
      </c>
      <c r="I713" t="s">
        <v>15</v>
      </c>
      <c r="J713">
        <f>vlookup("906-958000-100",B:AZ,column(i1),0)*e713</f>
        <v>0</v>
      </c>
      <c r="K713">
        <f>vlookup("906-958000-100",B:AZ,column(j1),0)*e713</f>
        <v>0</v>
      </c>
      <c r="L713">
        <f>vlookup("906-958000-100",B:AZ,column(k1),0)*e713</f>
        <v>0</v>
      </c>
      <c r="M713">
        <f>vlookup("906-958000-100",B:AZ,column(l1),0)*e713</f>
        <v>0</v>
      </c>
      <c r="N713">
        <f>vlookup("906-958000-100",B:AZ,column(m1),0)*e713</f>
        <v>0</v>
      </c>
      <c r="O713">
        <f>vlookup("906-958000-100",B:AZ,column(n1),0)*e713</f>
        <v>0</v>
      </c>
      <c r="P713">
        <f>vlookup("906-958000-100",B:AZ,column(o1),0)*e713</f>
        <v>0</v>
      </c>
      <c r="Q713">
        <f>vlookup("906-958000-100",B:AZ,column(p1),0)*e713</f>
        <v>0</v>
      </c>
      <c r="R713">
        <f>vlookup("906-958000-100",B:AZ,column(q1),0)*e713</f>
        <v>0</v>
      </c>
      <c r="S713">
        <f>vlookup("906-958000-100",B:AZ,column(r1),0)*e713</f>
        <v>0</v>
      </c>
      <c r="T713">
        <f>vlookup("906-958000-100",B:AZ,column(s1),0)*e713</f>
        <v>0</v>
      </c>
      <c r="U713">
        <f>vlookup("906-958000-100",B:AZ,column(t1),0)*e713</f>
        <v>0</v>
      </c>
      <c r="V713">
        <f>vlookup("906-958000-100",B:AZ,column(u1),0)*e713</f>
        <v>0</v>
      </c>
      <c r="W713">
        <f>vlookup("906-958000-100",B:AZ,column(v1),0)*e713</f>
        <v>0</v>
      </c>
      <c r="X713">
        <f>vlookup("906-958000-100",B:AZ,column(w1),0)*e713</f>
        <v>0</v>
      </c>
      <c r="Y713">
        <f>vlookup("906-958000-100",B:AZ,column(x1),0)*e713</f>
        <v>0</v>
      </c>
      <c r="Z713">
        <f>vlookup("906-958000-100",B:AZ,column(y1),0)*e713</f>
        <v>0</v>
      </c>
      <c r="AA713">
        <f>vlookup("906-958000-100",B:AZ,column(z1),0)*e713</f>
        <v>0</v>
      </c>
      <c r="AB713">
        <f>vlookup("906-958000-100",B:AZ,column(aa1),0)*e713</f>
        <v>0</v>
      </c>
      <c r="AC713">
        <f>vlookup("906-958000-100",B:AZ,column(ab1),0)*e713</f>
        <v>0</v>
      </c>
      <c r="AD713">
        <f>vlookup("906-958000-100",B:AZ,column(ac1),0)*e713</f>
        <v>0</v>
      </c>
      <c r="AE713">
        <f>vlookup("906-958000-100",B:AZ,column(ad1),0)*e713</f>
        <v>0</v>
      </c>
      <c r="AF713">
        <f>vlookup("906-958000-100",B:AZ,column(ae1),0)*e713</f>
        <v>0</v>
      </c>
      <c r="AG713">
        <f>vlookup("906-958000-100",B:AZ,column(af1),0)*e713</f>
        <v>0</v>
      </c>
      <c r="AH713">
        <f>vlookup("906-958000-100",B:AZ,column(ag1),0)*e713</f>
        <v>0</v>
      </c>
      <c r="AI713">
        <f>vlookup("906-958000-100",B:AZ,column(ah1),0)*e713</f>
        <v>0</v>
      </c>
      <c r="AJ713">
        <f>vlookup("906-958000-100",B:AZ,column(ai1),0)*e713</f>
        <v>0</v>
      </c>
      <c r="AK713">
        <f>vlookup("906-958000-100",B:AZ,column(aj1),0)*e713</f>
        <v>0</v>
      </c>
      <c r="AL713">
        <f>vlookup("906-958000-100",B:AZ,column(ak1),0)*e713</f>
        <v>0</v>
      </c>
      <c r="AM713">
        <f>vlookup("906-958000-100",B:AZ,column(al1),0)*e713</f>
        <v>0</v>
      </c>
      <c r="AN713">
        <f>vlookup("906-958000-100",B:AZ,column(am1),0)*e713</f>
        <v>0</v>
      </c>
      <c r="AO713">
        <f>vlookup("906-958000-100",B:AZ,column(an1),0)*e713</f>
        <v>0</v>
      </c>
    </row>
    <row r="714" spans="1:41">
      <c r="A714" t="s">
        <v>22</v>
      </c>
      <c r="B714" t="s">
        <v>753</v>
      </c>
      <c r="C714" t="s">
        <v>754</v>
      </c>
      <c r="E714">
        <v>1</v>
      </c>
      <c r="F714" t="s">
        <v>13</v>
      </c>
      <c r="I714" t="s">
        <v>15</v>
      </c>
      <c r="J714">
        <f>vlookup("906-958000-100",B:AZ,column(i1),0)*e714</f>
        <v>0</v>
      </c>
      <c r="K714">
        <f>vlookup("906-958000-100",B:AZ,column(j1),0)*e714</f>
        <v>0</v>
      </c>
      <c r="L714">
        <f>vlookup("906-958000-100",B:AZ,column(k1),0)*e714</f>
        <v>0</v>
      </c>
      <c r="M714">
        <f>vlookup("906-958000-100",B:AZ,column(l1),0)*e714</f>
        <v>0</v>
      </c>
      <c r="N714">
        <f>vlookup("906-958000-100",B:AZ,column(m1),0)*e714</f>
        <v>0</v>
      </c>
      <c r="O714">
        <f>vlookup("906-958000-100",B:AZ,column(n1),0)*e714</f>
        <v>0</v>
      </c>
      <c r="P714">
        <f>vlookup("906-958000-100",B:AZ,column(o1),0)*e714</f>
        <v>0</v>
      </c>
      <c r="Q714">
        <f>vlookup("906-958000-100",B:AZ,column(p1),0)*e714</f>
        <v>0</v>
      </c>
      <c r="R714">
        <f>vlookup("906-958000-100",B:AZ,column(q1),0)*e714</f>
        <v>0</v>
      </c>
      <c r="S714">
        <f>vlookup("906-958000-100",B:AZ,column(r1),0)*e714</f>
        <v>0</v>
      </c>
      <c r="T714">
        <f>vlookup("906-958000-100",B:AZ,column(s1),0)*e714</f>
        <v>0</v>
      </c>
      <c r="U714">
        <f>vlookup("906-958000-100",B:AZ,column(t1),0)*e714</f>
        <v>0</v>
      </c>
      <c r="V714">
        <f>vlookup("906-958000-100",B:AZ,column(u1),0)*e714</f>
        <v>0</v>
      </c>
      <c r="W714">
        <f>vlookup("906-958000-100",B:AZ,column(v1),0)*e714</f>
        <v>0</v>
      </c>
      <c r="X714">
        <f>vlookup("906-958000-100",B:AZ,column(w1),0)*e714</f>
        <v>0</v>
      </c>
      <c r="Y714">
        <f>vlookup("906-958000-100",B:AZ,column(x1),0)*e714</f>
        <v>0</v>
      </c>
      <c r="Z714">
        <f>vlookup("906-958000-100",B:AZ,column(y1),0)*e714</f>
        <v>0</v>
      </c>
      <c r="AA714">
        <f>vlookup("906-958000-100",B:AZ,column(z1),0)*e714</f>
        <v>0</v>
      </c>
      <c r="AB714">
        <f>vlookup("906-958000-100",B:AZ,column(aa1),0)*e714</f>
        <v>0</v>
      </c>
      <c r="AC714">
        <f>vlookup("906-958000-100",B:AZ,column(ab1),0)*e714</f>
        <v>0</v>
      </c>
      <c r="AD714">
        <f>vlookup("906-958000-100",B:AZ,column(ac1),0)*e714</f>
        <v>0</v>
      </c>
      <c r="AE714">
        <f>vlookup("906-958000-100",B:AZ,column(ad1),0)*e714</f>
        <v>0</v>
      </c>
      <c r="AF714">
        <f>vlookup("906-958000-100",B:AZ,column(ae1),0)*e714</f>
        <v>0</v>
      </c>
      <c r="AG714">
        <f>vlookup("906-958000-100",B:AZ,column(af1),0)*e714</f>
        <v>0</v>
      </c>
      <c r="AH714">
        <f>vlookup("906-958000-100",B:AZ,column(ag1),0)*e714</f>
        <v>0</v>
      </c>
      <c r="AI714">
        <f>vlookup("906-958000-100",B:AZ,column(ah1),0)*e714</f>
        <v>0</v>
      </c>
      <c r="AJ714">
        <f>vlookup("906-958000-100",B:AZ,column(ai1),0)*e714</f>
        <v>0</v>
      </c>
      <c r="AK714">
        <f>vlookup("906-958000-100",B:AZ,column(aj1),0)*e714</f>
        <v>0</v>
      </c>
      <c r="AL714">
        <f>vlookup("906-958000-100",B:AZ,column(ak1),0)*e714</f>
        <v>0</v>
      </c>
      <c r="AM714">
        <f>vlookup("906-958000-100",B:AZ,column(al1),0)*e714</f>
        <v>0</v>
      </c>
      <c r="AN714">
        <f>vlookup("906-958000-100",B:AZ,column(am1),0)*e714</f>
        <v>0</v>
      </c>
      <c r="AO714">
        <f>vlookup("906-958000-100",B:AZ,column(an1),0)*e714</f>
        <v>0</v>
      </c>
    </row>
    <row r="715" spans="1:41">
      <c r="A715" t="s">
        <v>22</v>
      </c>
      <c r="B715" t="s">
        <v>721</v>
      </c>
      <c r="C715" t="s">
        <v>755</v>
      </c>
      <c r="E715">
        <v>2</v>
      </c>
      <c r="F715" t="s">
        <v>13</v>
      </c>
      <c r="I715" t="s">
        <v>15</v>
      </c>
      <c r="J715">
        <f>vlookup("906-958000-100",B:AZ,column(i1),0)*e715</f>
        <v>0</v>
      </c>
      <c r="K715">
        <f>vlookup("906-958000-100",B:AZ,column(j1),0)*e715</f>
        <v>0</v>
      </c>
      <c r="L715">
        <f>vlookup("906-958000-100",B:AZ,column(k1),0)*e715</f>
        <v>0</v>
      </c>
      <c r="M715">
        <f>vlookup("906-958000-100",B:AZ,column(l1),0)*e715</f>
        <v>0</v>
      </c>
      <c r="N715">
        <f>vlookup("906-958000-100",B:AZ,column(m1),0)*e715</f>
        <v>0</v>
      </c>
      <c r="O715">
        <f>vlookup("906-958000-100",B:AZ,column(n1),0)*e715</f>
        <v>0</v>
      </c>
      <c r="P715">
        <f>vlookup("906-958000-100",B:AZ,column(o1),0)*e715</f>
        <v>0</v>
      </c>
      <c r="Q715">
        <f>vlookup("906-958000-100",B:AZ,column(p1),0)*e715</f>
        <v>0</v>
      </c>
      <c r="R715">
        <f>vlookup("906-958000-100",B:AZ,column(q1),0)*e715</f>
        <v>0</v>
      </c>
      <c r="S715">
        <f>vlookup("906-958000-100",B:AZ,column(r1),0)*e715</f>
        <v>0</v>
      </c>
      <c r="T715">
        <f>vlookup("906-958000-100",B:AZ,column(s1),0)*e715</f>
        <v>0</v>
      </c>
      <c r="U715">
        <f>vlookup("906-958000-100",B:AZ,column(t1),0)*e715</f>
        <v>0</v>
      </c>
      <c r="V715">
        <f>vlookup("906-958000-100",B:AZ,column(u1),0)*e715</f>
        <v>0</v>
      </c>
      <c r="W715">
        <f>vlookup("906-958000-100",B:AZ,column(v1),0)*e715</f>
        <v>0</v>
      </c>
      <c r="X715">
        <f>vlookup("906-958000-100",B:AZ,column(w1),0)*e715</f>
        <v>0</v>
      </c>
      <c r="Y715">
        <f>vlookup("906-958000-100",B:AZ,column(x1),0)*e715</f>
        <v>0</v>
      </c>
      <c r="Z715">
        <f>vlookup("906-958000-100",B:AZ,column(y1),0)*e715</f>
        <v>0</v>
      </c>
      <c r="AA715">
        <f>vlookup("906-958000-100",B:AZ,column(z1),0)*e715</f>
        <v>0</v>
      </c>
      <c r="AB715">
        <f>vlookup("906-958000-100",B:AZ,column(aa1),0)*e715</f>
        <v>0</v>
      </c>
      <c r="AC715">
        <f>vlookup("906-958000-100",B:AZ,column(ab1),0)*e715</f>
        <v>0</v>
      </c>
      <c r="AD715">
        <f>vlookup("906-958000-100",B:AZ,column(ac1),0)*e715</f>
        <v>0</v>
      </c>
      <c r="AE715">
        <f>vlookup("906-958000-100",B:AZ,column(ad1),0)*e715</f>
        <v>0</v>
      </c>
      <c r="AF715">
        <f>vlookup("906-958000-100",B:AZ,column(ae1),0)*e715</f>
        <v>0</v>
      </c>
      <c r="AG715">
        <f>vlookup("906-958000-100",B:AZ,column(af1),0)*e715</f>
        <v>0</v>
      </c>
      <c r="AH715">
        <f>vlookup("906-958000-100",B:AZ,column(ag1),0)*e715</f>
        <v>0</v>
      </c>
      <c r="AI715">
        <f>vlookup("906-958000-100",B:AZ,column(ah1),0)*e715</f>
        <v>0</v>
      </c>
      <c r="AJ715">
        <f>vlookup("906-958000-100",B:AZ,column(ai1),0)*e715</f>
        <v>0</v>
      </c>
      <c r="AK715">
        <f>vlookup("906-958000-100",B:AZ,column(aj1),0)*e715</f>
        <v>0</v>
      </c>
      <c r="AL715">
        <f>vlookup("906-958000-100",B:AZ,column(ak1),0)*e715</f>
        <v>0</v>
      </c>
      <c r="AM715">
        <f>vlookup("906-958000-100",B:AZ,column(al1),0)*e715</f>
        <v>0</v>
      </c>
      <c r="AN715">
        <f>vlookup("906-958000-100",B:AZ,column(am1),0)*e715</f>
        <v>0</v>
      </c>
      <c r="AO715">
        <f>vlookup("906-958000-100",B:AZ,column(an1),0)*e715</f>
        <v>0</v>
      </c>
    </row>
    <row r="716" spans="1:41">
      <c r="A716" t="s">
        <v>22</v>
      </c>
      <c r="B716" t="s">
        <v>756</v>
      </c>
      <c r="C716" t="s">
        <v>757</v>
      </c>
      <c r="E716">
        <v>1</v>
      </c>
      <c r="F716" t="s">
        <v>13</v>
      </c>
      <c r="I716" t="s">
        <v>15</v>
      </c>
      <c r="J716">
        <f>vlookup("906-958000-100",B:AZ,column(i1),0)*e716</f>
        <v>0</v>
      </c>
      <c r="K716">
        <f>vlookup("906-958000-100",B:AZ,column(j1),0)*e716</f>
        <v>0</v>
      </c>
      <c r="L716">
        <f>vlookup("906-958000-100",B:AZ,column(k1),0)*e716</f>
        <v>0</v>
      </c>
      <c r="M716">
        <f>vlookup("906-958000-100",B:AZ,column(l1),0)*e716</f>
        <v>0</v>
      </c>
      <c r="N716">
        <f>vlookup("906-958000-100",B:AZ,column(m1),0)*e716</f>
        <v>0</v>
      </c>
      <c r="O716">
        <f>vlookup("906-958000-100",B:AZ,column(n1),0)*e716</f>
        <v>0</v>
      </c>
      <c r="P716">
        <f>vlookup("906-958000-100",B:AZ,column(o1),0)*e716</f>
        <v>0</v>
      </c>
      <c r="Q716">
        <f>vlookup("906-958000-100",B:AZ,column(p1),0)*e716</f>
        <v>0</v>
      </c>
      <c r="R716">
        <f>vlookup("906-958000-100",B:AZ,column(q1),0)*e716</f>
        <v>0</v>
      </c>
      <c r="S716">
        <f>vlookup("906-958000-100",B:AZ,column(r1),0)*e716</f>
        <v>0</v>
      </c>
      <c r="T716">
        <f>vlookup("906-958000-100",B:AZ,column(s1),0)*e716</f>
        <v>0</v>
      </c>
      <c r="U716">
        <f>vlookup("906-958000-100",B:AZ,column(t1),0)*e716</f>
        <v>0</v>
      </c>
      <c r="V716">
        <f>vlookup("906-958000-100",B:AZ,column(u1),0)*e716</f>
        <v>0</v>
      </c>
      <c r="W716">
        <f>vlookup("906-958000-100",B:AZ,column(v1),0)*e716</f>
        <v>0</v>
      </c>
      <c r="X716">
        <f>vlookup("906-958000-100",B:AZ,column(w1),0)*e716</f>
        <v>0</v>
      </c>
      <c r="Y716">
        <f>vlookup("906-958000-100",B:AZ,column(x1),0)*e716</f>
        <v>0</v>
      </c>
      <c r="Z716">
        <f>vlookup("906-958000-100",B:AZ,column(y1),0)*e716</f>
        <v>0</v>
      </c>
      <c r="AA716">
        <f>vlookup("906-958000-100",B:AZ,column(z1),0)*e716</f>
        <v>0</v>
      </c>
      <c r="AB716">
        <f>vlookup("906-958000-100",B:AZ,column(aa1),0)*e716</f>
        <v>0</v>
      </c>
      <c r="AC716">
        <f>vlookup("906-958000-100",B:AZ,column(ab1),0)*e716</f>
        <v>0</v>
      </c>
      <c r="AD716">
        <f>vlookup("906-958000-100",B:AZ,column(ac1),0)*e716</f>
        <v>0</v>
      </c>
      <c r="AE716">
        <f>vlookup("906-958000-100",B:AZ,column(ad1),0)*e716</f>
        <v>0</v>
      </c>
      <c r="AF716">
        <f>vlookup("906-958000-100",B:AZ,column(ae1),0)*e716</f>
        <v>0</v>
      </c>
      <c r="AG716">
        <f>vlookup("906-958000-100",B:AZ,column(af1),0)*e716</f>
        <v>0</v>
      </c>
      <c r="AH716">
        <f>vlookup("906-958000-100",B:AZ,column(ag1),0)*e716</f>
        <v>0</v>
      </c>
      <c r="AI716">
        <f>vlookup("906-958000-100",B:AZ,column(ah1),0)*e716</f>
        <v>0</v>
      </c>
      <c r="AJ716">
        <f>vlookup("906-958000-100",B:AZ,column(ai1),0)*e716</f>
        <v>0</v>
      </c>
      <c r="AK716">
        <f>vlookup("906-958000-100",B:AZ,column(aj1),0)*e716</f>
        <v>0</v>
      </c>
      <c r="AL716">
        <f>vlookup("906-958000-100",B:AZ,column(ak1),0)*e716</f>
        <v>0</v>
      </c>
      <c r="AM716">
        <f>vlookup("906-958000-100",B:AZ,column(al1),0)*e716</f>
        <v>0</v>
      </c>
      <c r="AN716">
        <f>vlookup("906-958000-100",B:AZ,column(am1),0)*e716</f>
        <v>0</v>
      </c>
      <c r="AO716">
        <f>vlookup("906-958000-100",B:AZ,column(an1),0)*e716</f>
        <v>0</v>
      </c>
    </row>
    <row r="717" spans="1:41">
      <c r="A717" t="s">
        <v>22</v>
      </c>
      <c r="B717" t="s">
        <v>758</v>
      </c>
      <c r="C717" t="s">
        <v>759</v>
      </c>
      <c r="E717">
        <v>2</v>
      </c>
      <c r="F717" t="s">
        <v>13</v>
      </c>
      <c r="I717" t="s">
        <v>15</v>
      </c>
      <c r="J717">
        <f>vlookup("906-958000-100",B:AZ,column(i1),0)*e717</f>
        <v>0</v>
      </c>
      <c r="K717">
        <f>vlookup("906-958000-100",B:AZ,column(j1),0)*e717</f>
        <v>0</v>
      </c>
      <c r="L717">
        <f>vlookup("906-958000-100",B:AZ,column(k1),0)*e717</f>
        <v>0</v>
      </c>
      <c r="M717">
        <f>vlookup("906-958000-100",B:AZ,column(l1),0)*e717</f>
        <v>0</v>
      </c>
      <c r="N717">
        <f>vlookup("906-958000-100",B:AZ,column(m1),0)*e717</f>
        <v>0</v>
      </c>
      <c r="O717">
        <f>vlookup("906-958000-100",B:AZ,column(n1),0)*e717</f>
        <v>0</v>
      </c>
      <c r="P717">
        <f>vlookup("906-958000-100",B:AZ,column(o1),0)*e717</f>
        <v>0</v>
      </c>
      <c r="Q717">
        <f>vlookup("906-958000-100",B:AZ,column(p1),0)*e717</f>
        <v>0</v>
      </c>
      <c r="R717">
        <f>vlookup("906-958000-100",B:AZ,column(q1),0)*e717</f>
        <v>0</v>
      </c>
      <c r="S717">
        <f>vlookup("906-958000-100",B:AZ,column(r1),0)*e717</f>
        <v>0</v>
      </c>
      <c r="T717">
        <f>vlookup("906-958000-100",B:AZ,column(s1),0)*e717</f>
        <v>0</v>
      </c>
      <c r="U717">
        <f>vlookup("906-958000-100",B:AZ,column(t1),0)*e717</f>
        <v>0</v>
      </c>
      <c r="V717">
        <f>vlookup("906-958000-100",B:AZ,column(u1),0)*e717</f>
        <v>0</v>
      </c>
      <c r="W717">
        <f>vlookup("906-958000-100",B:AZ,column(v1),0)*e717</f>
        <v>0</v>
      </c>
      <c r="X717">
        <f>vlookup("906-958000-100",B:AZ,column(w1),0)*e717</f>
        <v>0</v>
      </c>
      <c r="Y717">
        <f>vlookup("906-958000-100",B:AZ,column(x1),0)*e717</f>
        <v>0</v>
      </c>
      <c r="Z717">
        <f>vlookup("906-958000-100",B:AZ,column(y1),0)*e717</f>
        <v>0</v>
      </c>
      <c r="AA717">
        <f>vlookup("906-958000-100",B:AZ,column(z1),0)*e717</f>
        <v>0</v>
      </c>
      <c r="AB717">
        <f>vlookup("906-958000-100",B:AZ,column(aa1),0)*e717</f>
        <v>0</v>
      </c>
      <c r="AC717">
        <f>vlookup("906-958000-100",B:AZ,column(ab1),0)*e717</f>
        <v>0</v>
      </c>
      <c r="AD717">
        <f>vlookup("906-958000-100",B:AZ,column(ac1),0)*e717</f>
        <v>0</v>
      </c>
      <c r="AE717">
        <f>vlookup("906-958000-100",B:AZ,column(ad1),0)*e717</f>
        <v>0</v>
      </c>
      <c r="AF717">
        <f>vlookup("906-958000-100",B:AZ,column(ae1),0)*e717</f>
        <v>0</v>
      </c>
      <c r="AG717">
        <f>vlookup("906-958000-100",B:AZ,column(af1),0)*e717</f>
        <v>0</v>
      </c>
      <c r="AH717">
        <f>vlookup("906-958000-100",B:AZ,column(ag1),0)*e717</f>
        <v>0</v>
      </c>
      <c r="AI717">
        <f>vlookup("906-958000-100",B:AZ,column(ah1),0)*e717</f>
        <v>0</v>
      </c>
      <c r="AJ717">
        <f>vlookup("906-958000-100",B:AZ,column(ai1),0)*e717</f>
        <v>0</v>
      </c>
      <c r="AK717">
        <f>vlookup("906-958000-100",B:AZ,column(aj1),0)*e717</f>
        <v>0</v>
      </c>
      <c r="AL717">
        <f>vlookup("906-958000-100",B:AZ,column(ak1),0)*e717</f>
        <v>0</v>
      </c>
      <c r="AM717">
        <f>vlookup("906-958000-100",B:AZ,column(al1),0)*e717</f>
        <v>0</v>
      </c>
      <c r="AN717">
        <f>vlookup("906-958000-100",B:AZ,column(am1),0)*e717</f>
        <v>0</v>
      </c>
      <c r="AO717">
        <f>vlookup("906-958000-100",B:AZ,column(an1),0)*e717</f>
        <v>0</v>
      </c>
    </row>
    <row r="718" spans="1:41">
      <c r="A718" t="s">
        <v>22</v>
      </c>
      <c r="B718" t="s">
        <v>760</v>
      </c>
      <c r="C718" t="s">
        <v>761</v>
      </c>
      <c r="E718">
        <v>1</v>
      </c>
      <c r="F718" t="s">
        <v>13</v>
      </c>
      <c r="I718" t="s">
        <v>15</v>
      </c>
      <c r="J718">
        <f>vlookup("906-958000-100",B:AZ,column(i1),0)*e718</f>
        <v>0</v>
      </c>
      <c r="K718">
        <f>vlookup("906-958000-100",B:AZ,column(j1),0)*e718</f>
        <v>0</v>
      </c>
      <c r="L718">
        <f>vlookup("906-958000-100",B:AZ,column(k1),0)*e718</f>
        <v>0</v>
      </c>
      <c r="M718">
        <f>vlookup("906-958000-100",B:AZ,column(l1),0)*e718</f>
        <v>0</v>
      </c>
      <c r="N718">
        <f>vlookup("906-958000-100",B:AZ,column(m1),0)*e718</f>
        <v>0</v>
      </c>
      <c r="O718">
        <f>vlookup("906-958000-100",B:AZ,column(n1),0)*e718</f>
        <v>0</v>
      </c>
      <c r="P718">
        <f>vlookup("906-958000-100",B:AZ,column(o1),0)*e718</f>
        <v>0</v>
      </c>
      <c r="Q718">
        <f>vlookup("906-958000-100",B:AZ,column(p1),0)*e718</f>
        <v>0</v>
      </c>
      <c r="R718">
        <f>vlookup("906-958000-100",B:AZ,column(q1),0)*e718</f>
        <v>0</v>
      </c>
      <c r="S718">
        <f>vlookup("906-958000-100",B:AZ,column(r1),0)*e718</f>
        <v>0</v>
      </c>
      <c r="T718">
        <f>vlookup("906-958000-100",B:AZ,column(s1),0)*e718</f>
        <v>0</v>
      </c>
      <c r="U718">
        <f>vlookup("906-958000-100",B:AZ,column(t1),0)*e718</f>
        <v>0</v>
      </c>
      <c r="V718">
        <f>vlookup("906-958000-100",B:AZ,column(u1),0)*e718</f>
        <v>0</v>
      </c>
      <c r="W718">
        <f>vlookup("906-958000-100",B:AZ,column(v1),0)*e718</f>
        <v>0</v>
      </c>
      <c r="X718">
        <f>vlookup("906-958000-100",B:AZ,column(w1),0)*e718</f>
        <v>0</v>
      </c>
      <c r="Y718">
        <f>vlookup("906-958000-100",B:AZ,column(x1),0)*e718</f>
        <v>0</v>
      </c>
      <c r="Z718">
        <f>vlookup("906-958000-100",B:AZ,column(y1),0)*e718</f>
        <v>0</v>
      </c>
      <c r="AA718">
        <f>vlookup("906-958000-100",B:AZ,column(z1),0)*e718</f>
        <v>0</v>
      </c>
      <c r="AB718">
        <f>vlookup("906-958000-100",B:AZ,column(aa1),0)*e718</f>
        <v>0</v>
      </c>
      <c r="AC718">
        <f>vlookup("906-958000-100",B:AZ,column(ab1),0)*e718</f>
        <v>0</v>
      </c>
      <c r="AD718">
        <f>vlookup("906-958000-100",B:AZ,column(ac1),0)*e718</f>
        <v>0</v>
      </c>
      <c r="AE718">
        <f>vlookup("906-958000-100",B:AZ,column(ad1),0)*e718</f>
        <v>0</v>
      </c>
      <c r="AF718">
        <f>vlookup("906-958000-100",B:AZ,column(ae1),0)*e718</f>
        <v>0</v>
      </c>
      <c r="AG718">
        <f>vlookup("906-958000-100",B:AZ,column(af1),0)*e718</f>
        <v>0</v>
      </c>
      <c r="AH718">
        <f>vlookup("906-958000-100",B:AZ,column(ag1),0)*e718</f>
        <v>0</v>
      </c>
      <c r="AI718">
        <f>vlookup("906-958000-100",B:AZ,column(ah1),0)*e718</f>
        <v>0</v>
      </c>
      <c r="AJ718">
        <f>vlookup("906-958000-100",B:AZ,column(ai1),0)*e718</f>
        <v>0</v>
      </c>
      <c r="AK718">
        <f>vlookup("906-958000-100",B:AZ,column(aj1),0)*e718</f>
        <v>0</v>
      </c>
      <c r="AL718">
        <f>vlookup("906-958000-100",B:AZ,column(ak1),0)*e718</f>
        <v>0</v>
      </c>
      <c r="AM718">
        <f>vlookup("906-958000-100",B:AZ,column(al1),0)*e718</f>
        <v>0</v>
      </c>
      <c r="AN718">
        <f>vlookup("906-958000-100",B:AZ,column(am1),0)*e718</f>
        <v>0</v>
      </c>
      <c r="AO718">
        <f>vlookup("906-958000-100",B:AZ,column(an1),0)*e718</f>
        <v>0</v>
      </c>
    </row>
    <row r="719" spans="1:41">
      <c r="A719" t="s">
        <v>10</v>
      </c>
      <c r="B719" t="s">
        <v>542</v>
      </c>
      <c r="C719" t="s">
        <v>762</v>
      </c>
      <c r="E719">
        <v>1</v>
      </c>
      <c r="F719" t="s">
        <v>13</v>
      </c>
      <c r="I719" t="s">
        <v>14</v>
      </c>
      <c r="AO719">
        <f>sum(j719:an719)</f>
        <v>0</v>
      </c>
    </row>
    <row r="720" spans="1:41">
      <c r="I720" t="s">
        <v>15</v>
      </c>
      <c r="J720">
        <f>vlookup("906-793000-100",Out!B:AZ,column(i1),0)</f>
        <v>0</v>
      </c>
      <c r="K720">
        <f>vlookup("906-793000-100",Out!B:AZ,column(j1),0)</f>
        <v>0</v>
      </c>
      <c r="L720">
        <f>vlookup("906-793000-100",Out!B:AZ,column(k1),0)</f>
        <v>0</v>
      </c>
      <c r="M720">
        <f>vlookup("906-793000-100",Out!B:AZ,column(l1),0)</f>
        <v>0</v>
      </c>
      <c r="N720">
        <f>vlookup("906-793000-100",Out!B:AZ,column(m1),0)</f>
        <v>0</v>
      </c>
      <c r="O720">
        <f>vlookup("906-793000-100",Out!B:AZ,column(n1),0)</f>
        <v>0</v>
      </c>
      <c r="P720">
        <f>vlookup("906-793000-100",Out!B:AZ,column(o1),0)</f>
        <v>0</v>
      </c>
      <c r="Q720">
        <f>vlookup("906-793000-100",Out!B:AZ,column(p1),0)</f>
        <v>0</v>
      </c>
      <c r="R720">
        <f>vlookup("906-793000-100",Out!B:AZ,column(q1),0)</f>
        <v>0</v>
      </c>
      <c r="S720">
        <f>vlookup("906-793000-100",Out!B:AZ,column(r1),0)</f>
        <v>0</v>
      </c>
      <c r="T720">
        <f>vlookup("906-793000-100",Out!B:AZ,column(s1),0)</f>
        <v>0</v>
      </c>
      <c r="U720">
        <f>vlookup("906-793000-100",Out!B:AZ,column(t1),0)</f>
        <v>0</v>
      </c>
      <c r="V720">
        <f>vlookup("906-793000-100",Out!B:AZ,column(u1),0)</f>
        <v>0</v>
      </c>
      <c r="W720">
        <f>vlookup("906-793000-100",Out!B:AZ,column(v1),0)</f>
        <v>0</v>
      </c>
      <c r="X720">
        <f>vlookup("906-793000-100",Out!B:AZ,column(w1),0)</f>
        <v>0</v>
      </c>
      <c r="Y720">
        <f>vlookup("906-793000-100",Out!B:AZ,column(x1),0)</f>
        <v>0</v>
      </c>
      <c r="Z720">
        <f>vlookup("906-793000-100",Out!B:AZ,column(y1),0)</f>
        <v>0</v>
      </c>
      <c r="AA720">
        <f>vlookup("906-793000-100",Out!B:AZ,column(z1),0)</f>
        <v>0</v>
      </c>
      <c r="AB720">
        <f>vlookup("906-793000-100",Out!B:AZ,column(aa1),0)</f>
        <v>0</v>
      </c>
      <c r="AC720">
        <f>vlookup("906-793000-100",Out!B:AZ,column(ab1),0)</f>
        <v>0</v>
      </c>
      <c r="AD720">
        <f>vlookup("906-793000-100",Out!B:AZ,column(ac1),0)</f>
        <v>0</v>
      </c>
      <c r="AE720">
        <f>vlookup("906-793000-100",Out!B:AZ,column(ad1),0)</f>
        <v>0</v>
      </c>
      <c r="AF720">
        <f>vlookup("906-793000-100",Out!B:AZ,column(ae1),0)</f>
        <v>0</v>
      </c>
      <c r="AG720">
        <f>vlookup("906-793000-100",Out!B:AZ,column(af1),0)</f>
        <v>0</v>
      </c>
      <c r="AH720">
        <f>vlookup("906-793000-100",Out!B:AZ,column(ag1),0)</f>
        <v>0</v>
      </c>
      <c r="AI720">
        <f>vlookup("906-793000-100",Out!B:AZ,column(ah1),0)</f>
        <v>0</v>
      </c>
      <c r="AJ720">
        <f>vlookup("906-793000-100",Out!B:AZ,column(ai1),0)</f>
        <v>0</v>
      </c>
      <c r="AK720">
        <f>vlookup("906-793000-100",Out!B:AZ,column(aj1),0)</f>
        <v>0</v>
      </c>
      <c r="AL720">
        <f>vlookup("906-793000-100",Out!B:AZ,column(ak1),0)</f>
        <v>0</v>
      </c>
      <c r="AM720">
        <f>vlookup("906-793000-100",Out!B:AZ,column(al1),0)</f>
        <v>0</v>
      </c>
      <c r="AN720">
        <f>vlookup("906-793000-100",Out!B:AZ,column(am1),0)</f>
        <v>0</v>
      </c>
      <c r="AO720">
        <f>vlookup("906-793000-100",Out!B:AZ,column(an1),0)</f>
        <v>0</v>
      </c>
    </row>
    <row r="721" spans="1:41">
      <c r="H721" t="s">
        <v>16</v>
      </c>
      <c r="J721">
        <f>indirect(address(721,9))+indirect(address(719,10))-indirect(address(720,10))</f>
        <v>0</v>
      </c>
      <c r="K721">
        <f>indirect(address(721,10))+indirect(address(719,11))-indirect(address(720,11))</f>
        <v>0</v>
      </c>
      <c r="L721">
        <f>indirect(address(721,11))+indirect(address(719,12))-indirect(address(720,12))</f>
        <v>0</v>
      </c>
      <c r="M721">
        <f>indirect(address(721,12))+indirect(address(719,13))-indirect(address(720,13))</f>
        <v>0</v>
      </c>
      <c r="N721">
        <f>indirect(address(721,13))+indirect(address(719,14))-indirect(address(720,14))</f>
        <v>0</v>
      </c>
      <c r="O721">
        <f>indirect(address(721,14))+indirect(address(719,15))-indirect(address(720,15))</f>
        <v>0</v>
      </c>
      <c r="P721">
        <f>indirect(address(721,15))+indirect(address(719,16))-indirect(address(720,16))</f>
        <v>0</v>
      </c>
      <c r="Q721">
        <f>indirect(address(721,16))+indirect(address(719,17))-indirect(address(720,17))</f>
        <v>0</v>
      </c>
      <c r="R721">
        <f>indirect(address(721,17))+indirect(address(719,18))-indirect(address(720,18))</f>
        <v>0</v>
      </c>
      <c r="S721">
        <f>indirect(address(721,18))+indirect(address(719,19))-indirect(address(720,19))</f>
        <v>0</v>
      </c>
      <c r="T721">
        <f>indirect(address(721,19))+indirect(address(719,20))-indirect(address(720,20))</f>
        <v>0</v>
      </c>
      <c r="U721">
        <f>indirect(address(721,20))+indirect(address(719,21))-indirect(address(720,21))</f>
        <v>0</v>
      </c>
      <c r="V721">
        <f>indirect(address(721,21))+indirect(address(719,22))-indirect(address(720,22))</f>
        <v>0</v>
      </c>
      <c r="W721">
        <f>indirect(address(721,22))+indirect(address(719,23))-indirect(address(720,23))</f>
        <v>0</v>
      </c>
      <c r="X721">
        <f>indirect(address(721,23))+indirect(address(719,24))-indirect(address(720,24))</f>
        <v>0</v>
      </c>
      <c r="Y721">
        <f>indirect(address(721,24))+indirect(address(719,25))-indirect(address(720,25))</f>
        <v>0</v>
      </c>
      <c r="Z721">
        <f>indirect(address(721,25))+indirect(address(719,26))-indirect(address(720,26))</f>
        <v>0</v>
      </c>
      <c r="AA721">
        <f>indirect(address(721,26))+indirect(address(719,27))-indirect(address(720,27))</f>
        <v>0</v>
      </c>
      <c r="AB721">
        <f>indirect(address(721,27))+indirect(address(719,28))-indirect(address(720,28))</f>
        <v>0</v>
      </c>
      <c r="AC721">
        <f>indirect(address(721,28))+indirect(address(719,29))-indirect(address(720,29))</f>
        <v>0</v>
      </c>
      <c r="AD721">
        <f>indirect(address(721,29))+indirect(address(719,30))-indirect(address(720,30))</f>
        <v>0</v>
      </c>
      <c r="AE721">
        <f>indirect(address(721,30))+indirect(address(719,31))-indirect(address(720,31))</f>
        <v>0</v>
      </c>
      <c r="AF721">
        <f>indirect(address(721,31))+indirect(address(719,32))-indirect(address(720,32))</f>
        <v>0</v>
      </c>
      <c r="AG721">
        <f>indirect(address(721,32))+indirect(address(719,33))-indirect(address(720,33))</f>
        <v>0</v>
      </c>
      <c r="AH721">
        <f>indirect(address(721,33))+indirect(address(719,34))-indirect(address(720,34))</f>
        <v>0</v>
      </c>
      <c r="AI721">
        <f>indirect(address(721,34))+indirect(address(719,35))-indirect(address(720,35))</f>
        <v>0</v>
      </c>
      <c r="AJ721">
        <f>indirect(address(721,35))+indirect(address(719,36))-indirect(address(720,36))</f>
        <v>0</v>
      </c>
      <c r="AK721">
        <f>indirect(address(721,36))+indirect(address(719,37))-indirect(address(720,37))</f>
        <v>0</v>
      </c>
      <c r="AL721">
        <f>indirect(address(721,37))+indirect(address(719,38))-indirect(address(720,38))</f>
        <v>0</v>
      </c>
      <c r="AM721">
        <f>indirect(address(721,38))+indirect(address(719,39))-indirect(address(720,39))</f>
        <v>0</v>
      </c>
      <c r="AN721">
        <f>indirect(address(721,39))+indirect(address(719,40))-indirect(address(720,40))</f>
        <v>0</v>
      </c>
      <c r="AO721">
        <f>indirect(address(721,40))</f>
        <v>0</v>
      </c>
    </row>
    <row r="722" spans="1:41">
      <c r="A722" t="s">
        <v>17</v>
      </c>
      <c r="B722" t="s">
        <v>763</v>
      </c>
      <c r="C722" t="s">
        <v>764</v>
      </c>
      <c r="E722">
        <v>1</v>
      </c>
      <c r="F722" t="s">
        <v>13</v>
      </c>
      <c r="I722" t="s">
        <v>15</v>
      </c>
      <c r="J722">
        <f>vlookup("906-793000-100",B:AZ,column(i1),0)*e722</f>
        <v>0</v>
      </c>
      <c r="K722">
        <f>vlookup("906-793000-100",B:AZ,column(j1),0)*e722</f>
        <v>0</v>
      </c>
      <c r="L722">
        <f>vlookup("906-793000-100",B:AZ,column(k1),0)*e722</f>
        <v>0</v>
      </c>
      <c r="M722">
        <f>vlookup("906-793000-100",B:AZ,column(l1),0)*e722</f>
        <v>0</v>
      </c>
      <c r="N722">
        <f>vlookup("906-793000-100",B:AZ,column(m1),0)*e722</f>
        <v>0</v>
      </c>
      <c r="O722">
        <f>vlookup("906-793000-100",B:AZ,column(n1),0)*e722</f>
        <v>0</v>
      </c>
      <c r="P722">
        <f>vlookup("906-793000-100",B:AZ,column(o1),0)*e722</f>
        <v>0</v>
      </c>
      <c r="Q722">
        <f>vlookup("906-793000-100",B:AZ,column(p1),0)*e722</f>
        <v>0</v>
      </c>
      <c r="R722">
        <f>vlookup("906-793000-100",B:AZ,column(q1),0)*e722</f>
        <v>0</v>
      </c>
      <c r="S722">
        <f>vlookup("906-793000-100",B:AZ,column(r1),0)*e722</f>
        <v>0</v>
      </c>
      <c r="T722">
        <f>vlookup("906-793000-100",B:AZ,column(s1),0)*e722</f>
        <v>0</v>
      </c>
      <c r="U722">
        <f>vlookup("906-793000-100",B:AZ,column(t1),0)*e722</f>
        <v>0</v>
      </c>
      <c r="V722">
        <f>vlookup("906-793000-100",B:AZ,column(u1),0)*e722</f>
        <v>0</v>
      </c>
      <c r="W722">
        <f>vlookup("906-793000-100",B:AZ,column(v1),0)*e722</f>
        <v>0</v>
      </c>
      <c r="X722">
        <f>vlookup("906-793000-100",B:AZ,column(w1),0)*e722</f>
        <v>0</v>
      </c>
      <c r="Y722">
        <f>vlookup("906-793000-100",B:AZ,column(x1),0)*e722</f>
        <v>0</v>
      </c>
      <c r="Z722">
        <f>vlookup("906-793000-100",B:AZ,column(y1),0)*e722</f>
        <v>0</v>
      </c>
      <c r="AA722">
        <f>vlookup("906-793000-100",B:AZ,column(z1),0)*e722</f>
        <v>0</v>
      </c>
      <c r="AB722">
        <f>vlookup("906-793000-100",B:AZ,column(aa1),0)*e722</f>
        <v>0</v>
      </c>
      <c r="AC722">
        <f>vlookup("906-793000-100",B:AZ,column(ab1),0)*e722</f>
        <v>0</v>
      </c>
      <c r="AD722">
        <f>vlookup("906-793000-100",B:AZ,column(ac1),0)*e722</f>
        <v>0</v>
      </c>
      <c r="AE722">
        <f>vlookup("906-793000-100",B:AZ,column(ad1),0)*e722</f>
        <v>0</v>
      </c>
      <c r="AF722">
        <f>vlookup("906-793000-100",B:AZ,column(ae1),0)*e722</f>
        <v>0</v>
      </c>
      <c r="AG722">
        <f>vlookup("906-793000-100",B:AZ,column(af1),0)*e722</f>
        <v>0</v>
      </c>
      <c r="AH722">
        <f>vlookup("906-793000-100",B:AZ,column(ag1),0)*e722</f>
        <v>0</v>
      </c>
      <c r="AI722">
        <f>vlookup("906-793000-100",B:AZ,column(ah1),0)*e722</f>
        <v>0</v>
      </c>
      <c r="AJ722">
        <f>vlookup("906-793000-100",B:AZ,column(ai1),0)*e722</f>
        <v>0</v>
      </c>
      <c r="AK722">
        <f>vlookup("906-793000-100",B:AZ,column(aj1),0)*e722</f>
        <v>0</v>
      </c>
      <c r="AL722">
        <f>vlookup("906-793000-100",B:AZ,column(ak1),0)*e722</f>
        <v>0</v>
      </c>
      <c r="AM722">
        <f>vlookup("906-793000-100",B:AZ,column(al1),0)*e722</f>
        <v>0</v>
      </c>
      <c r="AN722">
        <f>vlookup("906-793000-100",B:AZ,column(am1),0)*e722</f>
        <v>0</v>
      </c>
      <c r="AO722">
        <f>vlookup("906-793000-100",B:AZ,column(an1),0)*e722</f>
        <v>0</v>
      </c>
    </row>
    <row r="723" spans="1:41">
      <c r="A723" t="s">
        <v>22</v>
      </c>
      <c r="B723" t="s">
        <v>641</v>
      </c>
      <c r="C723" t="s">
        <v>765</v>
      </c>
      <c r="E723">
        <v>2</v>
      </c>
      <c r="F723" t="s">
        <v>13</v>
      </c>
      <c r="I723" t="s">
        <v>15</v>
      </c>
      <c r="J723">
        <f>vlookup("906-793000-100",B:AZ,column(i1),0)*e723</f>
        <v>0</v>
      </c>
      <c r="K723">
        <f>vlookup("906-793000-100",B:AZ,column(j1),0)*e723</f>
        <v>0</v>
      </c>
      <c r="L723">
        <f>vlookup("906-793000-100",B:AZ,column(k1),0)*e723</f>
        <v>0</v>
      </c>
      <c r="M723">
        <f>vlookup("906-793000-100",B:AZ,column(l1),0)*e723</f>
        <v>0</v>
      </c>
      <c r="N723">
        <f>vlookup("906-793000-100",B:AZ,column(m1),0)*e723</f>
        <v>0</v>
      </c>
      <c r="O723">
        <f>vlookup("906-793000-100",B:AZ,column(n1),0)*e723</f>
        <v>0</v>
      </c>
      <c r="P723">
        <f>vlookup("906-793000-100",B:AZ,column(o1),0)*e723</f>
        <v>0</v>
      </c>
      <c r="Q723">
        <f>vlookup("906-793000-100",B:AZ,column(p1),0)*e723</f>
        <v>0</v>
      </c>
      <c r="R723">
        <f>vlookup("906-793000-100",B:AZ,column(q1),0)*e723</f>
        <v>0</v>
      </c>
      <c r="S723">
        <f>vlookup("906-793000-100",B:AZ,column(r1),0)*e723</f>
        <v>0</v>
      </c>
      <c r="T723">
        <f>vlookup("906-793000-100",B:AZ,column(s1),0)*e723</f>
        <v>0</v>
      </c>
      <c r="U723">
        <f>vlookup("906-793000-100",B:AZ,column(t1),0)*e723</f>
        <v>0</v>
      </c>
      <c r="V723">
        <f>vlookup("906-793000-100",B:AZ,column(u1),0)*e723</f>
        <v>0</v>
      </c>
      <c r="W723">
        <f>vlookup("906-793000-100",B:AZ,column(v1),0)*e723</f>
        <v>0</v>
      </c>
      <c r="X723">
        <f>vlookup("906-793000-100",B:AZ,column(w1),0)*e723</f>
        <v>0</v>
      </c>
      <c r="Y723">
        <f>vlookup("906-793000-100",B:AZ,column(x1),0)*e723</f>
        <v>0</v>
      </c>
      <c r="Z723">
        <f>vlookup("906-793000-100",B:AZ,column(y1),0)*e723</f>
        <v>0</v>
      </c>
      <c r="AA723">
        <f>vlookup("906-793000-100",B:AZ,column(z1),0)*e723</f>
        <v>0</v>
      </c>
      <c r="AB723">
        <f>vlookup("906-793000-100",B:AZ,column(aa1),0)*e723</f>
        <v>0</v>
      </c>
      <c r="AC723">
        <f>vlookup("906-793000-100",B:AZ,column(ab1),0)*e723</f>
        <v>0</v>
      </c>
      <c r="AD723">
        <f>vlookup("906-793000-100",B:AZ,column(ac1),0)*e723</f>
        <v>0</v>
      </c>
      <c r="AE723">
        <f>vlookup("906-793000-100",B:AZ,column(ad1),0)*e723</f>
        <v>0</v>
      </c>
      <c r="AF723">
        <f>vlookup("906-793000-100",B:AZ,column(ae1),0)*e723</f>
        <v>0</v>
      </c>
      <c r="AG723">
        <f>vlookup("906-793000-100",B:AZ,column(af1),0)*e723</f>
        <v>0</v>
      </c>
      <c r="AH723">
        <f>vlookup("906-793000-100",B:AZ,column(ag1),0)*e723</f>
        <v>0</v>
      </c>
      <c r="AI723">
        <f>vlookup("906-793000-100",B:AZ,column(ah1),0)*e723</f>
        <v>0</v>
      </c>
      <c r="AJ723">
        <f>vlookup("906-793000-100",B:AZ,column(ai1),0)*e723</f>
        <v>0</v>
      </c>
      <c r="AK723">
        <f>vlookup("906-793000-100",B:AZ,column(aj1),0)*e723</f>
        <v>0</v>
      </c>
      <c r="AL723">
        <f>vlookup("906-793000-100",B:AZ,column(ak1),0)*e723</f>
        <v>0</v>
      </c>
      <c r="AM723">
        <f>vlookup("906-793000-100",B:AZ,column(al1),0)*e723</f>
        <v>0</v>
      </c>
      <c r="AN723">
        <f>vlookup("906-793000-100",B:AZ,column(am1),0)*e723</f>
        <v>0</v>
      </c>
      <c r="AO723">
        <f>vlookup("906-793000-100",B:AZ,column(an1),0)*e723</f>
        <v>0</v>
      </c>
    </row>
    <row r="724" spans="1:41">
      <c r="A724" t="s">
        <v>22</v>
      </c>
      <c r="B724" t="s">
        <v>766</v>
      </c>
      <c r="C724" t="s">
        <v>767</v>
      </c>
      <c r="E724">
        <v>1</v>
      </c>
      <c r="F724" t="s">
        <v>13</v>
      </c>
      <c r="I724" t="s">
        <v>15</v>
      </c>
      <c r="J724">
        <f>vlookup("906-793000-100",B:AZ,column(i1),0)*e724</f>
        <v>0</v>
      </c>
      <c r="K724">
        <f>vlookup("906-793000-100",B:AZ,column(j1),0)*e724</f>
        <v>0</v>
      </c>
      <c r="L724">
        <f>vlookup("906-793000-100",B:AZ,column(k1),0)*e724</f>
        <v>0</v>
      </c>
      <c r="M724">
        <f>vlookup("906-793000-100",B:AZ,column(l1),0)*e724</f>
        <v>0</v>
      </c>
      <c r="N724">
        <f>vlookup("906-793000-100",B:AZ,column(m1),0)*e724</f>
        <v>0</v>
      </c>
      <c r="O724">
        <f>vlookup("906-793000-100",B:AZ,column(n1),0)*e724</f>
        <v>0</v>
      </c>
      <c r="P724">
        <f>vlookup("906-793000-100",B:AZ,column(o1),0)*e724</f>
        <v>0</v>
      </c>
      <c r="Q724">
        <f>vlookup("906-793000-100",B:AZ,column(p1),0)*e724</f>
        <v>0</v>
      </c>
      <c r="R724">
        <f>vlookup("906-793000-100",B:AZ,column(q1),0)*e724</f>
        <v>0</v>
      </c>
      <c r="S724">
        <f>vlookup("906-793000-100",B:AZ,column(r1),0)*e724</f>
        <v>0</v>
      </c>
      <c r="T724">
        <f>vlookup("906-793000-100",B:AZ,column(s1),0)*e724</f>
        <v>0</v>
      </c>
      <c r="U724">
        <f>vlookup("906-793000-100",B:AZ,column(t1),0)*e724</f>
        <v>0</v>
      </c>
      <c r="V724">
        <f>vlookup("906-793000-100",B:AZ,column(u1),0)*e724</f>
        <v>0</v>
      </c>
      <c r="W724">
        <f>vlookup("906-793000-100",B:AZ,column(v1),0)*e724</f>
        <v>0</v>
      </c>
      <c r="X724">
        <f>vlookup("906-793000-100",B:AZ,column(w1),0)*e724</f>
        <v>0</v>
      </c>
      <c r="Y724">
        <f>vlookup("906-793000-100",B:AZ,column(x1),0)*e724</f>
        <v>0</v>
      </c>
      <c r="Z724">
        <f>vlookup("906-793000-100",B:AZ,column(y1),0)*e724</f>
        <v>0</v>
      </c>
      <c r="AA724">
        <f>vlookup("906-793000-100",B:AZ,column(z1),0)*e724</f>
        <v>0</v>
      </c>
      <c r="AB724">
        <f>vlookup("906-793000-100",B:AZ,column(aa1),0)*e724</f>
        <v>0</v>
      </c>
      <c r="AC724">
        <f>vlookup("906-793000-100",B:AZ,column(ab1),0)*e724</f>
        <v>0</v>
      </c>
      <c r="AD724">
        <f>vlookup("906-793000-100",B:AZ,column(ac1),0)*e724</f>
        <v>0</v>
      </c>
      <c r="AE724">
        <f>vlookup("906-793000-100",B:AZ,column(ad1),0)*e724</f>
        <v>0</v>
      </c>
      <c r="AF724">
        <f>vlookup("906-793000-100",B:AZ,column(ae1),0)*e724</f>
        <v>0</v>
      </c>
      <c r="AG724">
        <f>vlookup("906-793000-100",B:AZ,column(af1),0)*e724</f>
        <v>0</v>
      </c>
      <c r="AH724">
        <f>vlookup("906-793000-100",B:AZ,column(ag1),0)*e724</f>
        <v>0</v>
      </c>
      <c r="AI724">
        <f>vlookup("906-793000-100",B:AZ,column(ah1),0)*e724</f>
        <v>0</v>
      </c>
      <c r="AJ724">
        <f>vlookup("906-793000-100",B:AZ,column(ai1),0)*e724</f>
        <v>0</v>
      </c>
      <c r="AK724">
        <f>vlookup("906-793000-100",B:AZ,column(aj1),0)*e724</f>
        <v>0</v>
      </c>
      <c r="AL724">
        <f>vlookup("906-793000-100",B:AZ,column(ak1),0)*e724</f>
        <v>0</v>
      </c>
      <c r="AM724">
        <f>vlookup("906-793000-100",B:AZ,column(al1),0)*e724</f>
        <v>0</v>
      </c>
      <c r="AN724">
        <f>vlookup("906-793000-100",B:AZ,column(am1),0)*e724</f>
        <v>0</v>
      </c>
      <c r="AO724">
        <f>vlookup("906-793000-100",B:AZ,column(an1),0)*e724</f>
        <v>0</v>
      </c>
    </row>
    <row r="725" spans="1:41">
      <c r="A725" t="s">
        <v>10</v>
      </c>
      <c r="B725" t="s">
        <v>768</v>
      </c>
      <c r="C725" t="s">
        <v>769</v>
      </c>
      <c r="E725">
        <v>1</v>
      </c>
      <c r="F725" t="s">
        <v>13</v>
      </c>
      <c r="I725" t="s">
        <v>14</v>
      </c>
      <c r="AO725">
        <f>sum(j725:an725)</f>
        <v>0</v>
      </c>
    </row>
    <row r="726" spans="1:41">
      <c r="I726" t="s">
        <v>15</v>
      </c>
      <c r="J726">
        <f>vlookup("906-959000-110",Out!B:AZ,column(i1),0)</f>
        <v>0</v>
      </c>
      <c r="K726">
        <f>vlookup("906-959000-110",Out!B:AZ,column(j1),0)</f>
        <v>0</v>
      </c>
      <c r="L726">
        <f>vlookup("906-959000-110",Out!B:AZ,column(k1),0)</f>
        <v>0</v>
      </c>
      <c r="M726">
        <f>vlookup("906-959000-110",Out!B:AZ,column(l1),0)</f>
        <v>0</v>
      </c>
      <c r="N726">
        <f>vlookup("906-959000-110",Out!B:AZ,column(m1),0)</f>
        <v>0</v>
      </c>
      <c r="O726">
        <f>vlookup("906-959000-110",Out!B:AZ,column(n1),0)</f>
        <v>0</v>
      </c>
      <c r="P726">
        <f>vlookup("906-959000-110",Out!B:AZ,column(o1),0)</f>
        <v>0</v>
      </c>
      <c r="Q726">
        <f>vlookup("906-959000-110",Out!B:AZ,column(p1),0)</f>
        <v>0</v>
      </c>
      <c r="R726">
        <f>vlookup("906-959000-110",Out!B:AZ,column(q1),0)</f>
        <v>0</v>
      </c>
      <c r="S726">
        <f>vlookup("906-959000-110",Out!B:AZ,column(r1),0)</f>
        <v>0</v>
      </c>
      <c r="T726">
        <f>vlookup("906-959000-110",Out!B:AZ,column(s1),0)</f>
        <v>0</v>
      </c>
      <c r="U726">
        <f>vlookup("906-959000-110",Out!B:AZ,column(t1),0)</f>
        <v>0</v>
      </c>
      <c r="V726">
        <f>vlookup("906-959000-110",Out!B:AZ,column(u1),0)</f>
        <v>0</v>
      </c>
      <c r="W726">
        <f>vlookup("906-959000-110",Out!B:AZ,column(v1),0)</f>
        <v>0</v>
      </c>
      <c r="X726">
        <f>vlookup("906-959000-110",Out!B:AZ,column(w1),0)</f>
        <v>0</v>
      </c>
      <c r="Y726">
        <f>vlookup("906-959000-110",Out!B:AZ,column(x1),0)</f>
        <v>0</v>
      </c>
      <c r="Z726">
        <f>vlookup("906-959000-110",Out!B:AZ,column(y1),0)</f>
        <v>0</v>
      </c>
      <c r="AA726">
        <f>vlookup("906-959000-110",Out!B:AZ,column(z1),0)</f>
        <v>0</v>
      </c>
      <c r="AB726">
        <f>vlookup("906-959000-110",Out!B:AZ,column(aa1),0)</f>
        <v>0</v>
      </c>
      <c r="AC726">
        <f>vlookup("906-959000-110",Out!B:AZ,column(ab1),0)</f>
        <v>0</v>
      </c>
      <c r="AD726">
        <f>vlookup("906-959000-110",Out!B:AZ,column(ac1),0)</f>
        <v>0</v>
      </c>
      <c r="AE726">
        <f>vlookup("906-959000-110",Out!B:AZ,column(ad1),0)</f>
        <v>0</v>
      </c>
      <c r="AF726">
        <f>vlookup("906-959000-110",Out!B:AZ,column(ae1),0)</f>
        <v>0</v>
      </c>
      <c r="AG726">
        <f>vlookup("906-959000-110",Out!B:AZ,column(af1),0)</f>
        <v>0</v>
      </c>
      <c r="AH726">
        <f>vlookup("906-959000-110",Out!B:AZ,column(ag1),0)</f>
        <v>0</v>
      </c>
      <c r="AI726">
        <f>vlookup("906-959000-110",Out!B:AZ,column(ah1),0)</f>
        <v>0</v>
      </c>
      <c r="AJ726">
        <f>vlookup("906-959000-110",Out!B:AZ,column(ai1),0)</f>
        <v>0</v>
      </c>
      <c r="AK726">
        <f>vlookup("906-959000-110",Out!B:AZ,column(aj1),0)</f>
        <v>0</v>
      </c>
      <c r="AL726">
        <f>vlookup("906-959000-110",Out!B:AZ,column(ak1),0)</f>
        <v>0</v>
      </c>
      <c r="AM726">
        <f>vlookup("906-959000-110",Out!B:AZ,column(al1),0)</f>
        <v>0</v>
      </c>
      <c r="AN726">
        <f>vlookup("906-959000-110",Out!B:AZ,column(am1),0)</f>
        <v>0</v>
      </c>
      <c r="AO726">
        <f>vlookup("906-959000-110",Out!B:AZ,column(an1),0)</f>
        <v>0</v>
      </c>
    </row>
    <row r="727" spans="1:41">
      <c r="H727" t="s">
        <v>16</v>
      </c>
      <c r="J727">
        <f>indirect(address(727,9))+indirect(address(725,10))-indirect(address(726,10))</f>
        <v>0</v>
      </c>
      <c r="K727">
        <f>indirect(address(727,10))+indirect(address(725,11))-indirect(address(726,11))</f>
        <v>0</v>
      </c>
      <c r="L727">
        <f>indirect(address(727,11))+indirect(address(725,12))-indirect(address(726,12))</f>
        <v>0</v>
      </c>
      <c r="M727">
        <f>indirect(address(727,12))+indirect(address(725,13))-indirect(address(726,13))</f>
        <v>0</v>
      </c>
      <c r="N727">
        <f>indirect(address(727,13))+indirect(address(725,14))-indirect(address(726,14))</f>
        <v>0</v>
      </c>
      <c r="O727">
        <f>indirect(address(727,14))+indirect(address(725,15))-indirect(address(726,15))</f>
        <v>0</v>
      </c>
      <c r="P727">
        <f>indirect(address(727,15))+indirect(address(725,16))-indirect(address(726,16))</f>
        <v>0</v>
      </c>
      <c r="Q727">
        <f>indirect(address(727,16))+indirect(address(725,17))-indirect(address(726,17))</f>
        <v>0</v>
      </c>
      <c r="R727">
        <f>indirect(address(727,17))+indirect(address(725,18))-indirect(address(726,18))</f>
        <v>0</v>
      </c>
      <c r="S727">
        <f>indirect(address(727,18))+indirect(address(725,19))-indirect(address(726,19))</f>
        <v>0</v>
      </c>
      <c r="T727">
        <f>indirect(address(727,19))+indirect(address(725,20))-indirect(address(726,20))</f>
        <v>0</v>
      </c>
      <c r="U727">
        <f>indirect(address(727,20))+indirect(address(725,21))-indirect(address(726,21))</f>
        <v>0</v>
      </c>
      <c r="V727">
        <f>indirect(address(727,21))+indirect(address(725,22))-indirect(address(726,22))</f>
        <v>0</v>
      </c>
      <c r="W727">
        <f>indirect(address(727,22))+indirect(address(725,23))-indirect(address(726,23))</f>
        <v>0</v>
      </c>
      <c r="X727">
        <f>indirect(address(727,23))+indirect(address(725,24))-indirect(address(726,24))</f>
        <v>0</v>
      </c>
      <c r="Y727">
        <f>indirect(address(727,24))+indirect(address(725,25))-indirect(address(726,25))</f>
        <v>0</v>
      </c>
      <c r="Z727">
        <f>indirect(address(727,25))+indirect(address(725,26))-indirect(address(726,26))</f>
        <v>0</v>
      </c>
      <c r="AA727">
        <f>indirect(address(727,26))+indirect(address(725,27))-indirect(address(726,27))</f>
        <v>0</v>
      </c>
      <c r="AB727">
        <f>indirect(address(727,27))+indirect(address(725,28))-indirect(address(726,28))</f>
        <v>0</v>
      </c>
      <c r="AC727">
        <f>indirect(address(727,28))+indirect(address(725,29))-indirect(address(726,29))</f>
        <v>0</v>
      </c>
      <c r="AD727">
        <f>indirect(address(727,29))+indirect(address(725,30))-indirect(address(726,30))</f>
        <v>0</v>
      </c>
      <c r="AE727">
        <f>indirect(address(727,30))+indirect(address(725,31))-indirect(address(726,31))</f>
        <v>0</v>
      </c>
      <c r="AF727">
        <f>indirect(address(727,31))+indirect(address(725,32))-indirect(address(726,32))</f>
        <v>0</v>
      </c>
      <c r="AG727">
        <f>indirect(address(727,32))+indirect(address(725,33))-indirect(address(726,33))</f>
        <v>0</v>
      </c>
      <c r="AH727">
        <f>indirect(address(727,33))+indirect(address(725,34))-indirect(address(726,34))</f>
        <v>0</v>
      </c>
      <c r="AI727">
        <f>indirect(address(727,34))+indirect(address(725,35))-indirect(address(726,35))</f>
        <v>0</v>
      </c>
      <c r="AJ727">
        <f>indirect(address(727,35))+indirect(address(725,36))-indirect(address(726,36))</f>
        <v>0</v>
      </c>
      <c r="AK727">
        <f>indirect(address(727,36))+indirect(address(725,37))-indirect(address(726,37))</f>
        <v>0</v>
      </c>
      <c r="AL727">
        <f>indirect(address(727,37))+indirect(address(725,38))-indirect(address(726,38))</f>
        <v>0</v>
      </c>
      <c r="AM727">
        <f>indirect(address(727,38))+indirect(address(725,39))-indirect(address(726,39))</f>
        <v>0</v>
      </c>
      <c r="AN727">
        <f>indirect(address(727,39))+indirect(address(725,40))-indirect(address(726,40))</f>
        <v>0</v>
      </c>
      <c r="AO727">
        <f>indirect(address(727,40))</f>
        <v>0</v>
      </c>
    </row>
    <row r="728" spans="1:41">
      <c r="A728" t="s">
        <v>17</v>
      </c>
      <c r="B728" t="s">
        <v>770</v>
      </c>
      <c r="C728" t="s">
        <v>771</v>
      </c>
      <c r="E728">
        <v>1</v>
      </c>
      <c r="F728" t="s">
        <v>13</v>
      </c>
      <c r="I728" t="s">
        <v>15</v>
      </c>
      <c r="J728">
        <f>vlookup("906-959000-110",B:AZ,column(i1),0)*e728</f>
        <v>0</v>
      </c>
      <c r="K728">
        <f>vlookup("906-959000-110",B:AZ,column(j1),0)*e728</f>
        <v>0</v>
      </c>
      <c r="L728">
        <f>vlookup("906-959000-110",B:AZ,column(k1),0)*e728</f>
        <v>0</v>
      </c>
      <c r="M728">
        <f>vlookup("906-959000-110",B:AZ,column(l1),0)*e728</f>
        <v>0</v>
      </c>
      <c r="N728">
        <f>vlookup("906-959000-110",B:AZ,column(m1),0)*e728</f>
        <v>0</v>
      </c>
      <c r="O728">
        <f>vlookup("906-959000-110",B:AZ,column(n1),0)*e728</f>
        <v>0</v>
      </c>
      <c r="P728">
        <f>vlookup("906-959000-110",B:AZ,column(o1),0)*e728</f>
        <v>0</v>
      </c>
      <c r="Q728">
        <f>vlookup("906-959000-110",B:AZ,column(p1),0)*e728</f>
        <v>0</v>
      </c>
      <c r="R728">
        <f>vlookup("906-959000-110",B:AZ,column(q1),0)*e728</f>
        <v>0</v>
      </c>
      <c r="S728">
        <f>vlookup("906-959000-110",B:AZ,column(r1),0)*e728</f>
        <v>0</v>
      </c>
      <c r="T728">
        <f>vlookup("906-959000-110",B:AZ,column(s1),0)*e728</f>
        <v>0</v>
      </c>
      <c r="U728">
        <f>vlookup("906-959000-110",B:AZ,column(t1),0)*e728</f>
        <v>0</v>
      </c>
      <c r="V728">
        <f>vlookup("906-959000-110",B:AZ,column(u1),0)*e728</f>
        <v>0</v>
      </c>
      <c r="W728">
        <f>vlookup("906-959000-110",B:AZ,column(v1),0)*e728</f>
        <v>0</v>
      </c>
      <c r="X728">
        <f>vlookup("906-959000-110",B:AZ,column(w1),0)*e728</f>
        <v>0</v>
      </c>
      <c r="Y728">
        <f>vlookup("906-959000-110",B:AZ,column(x1),0)*e728</f>
        <v>0</v>
      </c>
      <c r="Z728">
        <f>vlookup("906-959000-110",B:AZ,column(y1),0)*e728</f>
        <v>0</v>
      </c>
      <c r="AA728">
        <f>vlookup("906-959000-110",B:AZ,column(z1),0)*e728</f>
        <v>0</v>
      </c>
      <c r="AB728">
        <f>vlookup("906-959000-110",B:AZ,column(aa1),0)*e728</f>
        <v>0</v>
      </c>
      <c r="AC728">
        <f>vlookup("906-959000-110",B:AZ,column(ab1),0)*e728</f>
        <v>0</v>
      </c>
      <c r="AD728">
        <f>vlookup("906-959000-110",B:AZ,column(ac1),0)*e728</f>
        <v>0</v>
      </c>
      <c r="AE728">
        <f>vlookup("906-959000-110",B:AZ,column(ad1),0)*e728</f>
        <v>0</v>
      </c>
      <c r="AF728">
        <f>vlookup("906-959000-110",B:AZ,column(ae1),0)*e728</f>
        <v>0</v>
      </c>
      <c r="AG728">
        <f>vlookup("906-959000-110",B:AZ,column(af1),0)*e728</f>
        <v>0</v>
      </c>
      <c r="AH728">
        <f>vlookup("906-959000-110",B:AZ,column(ag1),0)*e728</f>
        <v>0</v>
      </c>
      <c r="AI728">
        <f>vlookup("906-959000-110",B:AZ,column(ah1),0)*e728</f>
        <v>0</v>
      </c>
      <c r="AJ728">
        <f>vlookup("906-959000-110",B:AZ,column(ai1),0)*e728</f>
        <v>0</v>
      </c>
      <c r="AK728">
        <f>vlookup("906-959000-110",B:AZ,column(aj1),0)*e728</f>
        <v>0</v>
      </c>
      <c r="AL728">
        <f>vlookup("906-959000-110",B:AZ,column(ak1),0)*e728</f>
        <v>0</v>
      </c>
      <c r="AM728">
        <f>vlookup("906-959000-110",B:AZ,column(al1),0)*e728</f>
        <v>0</v>
      </c>
      <c r="AN728">
        <f>vlookup("906-959000-110",B:AZ,column(am1),0)*e728</f>
        <v>0</v>
      </c>
      <c r="AO728">
        <f>vlookup("906-959000-110",B:AZ,column(an1),0)*e728</f>
        <v>0</v>
      </c>
    </row>
    <row r="729" spans="1:41">
      <c r="A729" t="s">
        <v>22</v>
      </c>
      <c r="B729" t="s">
        <v>772</v>
      </c>
      <c r="C729" t="s">
        <v>773</v>
      </c>
      <c r="E729">
        <v>1</v>
      </c>
      <c r="F729" t="s">
        <v>13</v>
      </c>
      <c r="I729" t="s">
        <v>15</v>
      </c>
      <c r="J729">
        <f>vlookup("906-959000-110",B:AZ,column(i1),0)*e729</f>
        <v>0</v>
      </c>
      <c r="K729">
        <f>vlookup("906-959000-110",B:AZ,column(j1),0)*e729</f>
        <v>0</v>
      </c>
      <c r="L729">
        <f>vlookup("906-959000-110",B:AZ,column(k1),0)*e729</f>
        <v>0</v>
      </c>
      <c r="M729">
        <f>vlookup("906-959000-110",B:AZ,column(l1),0)*e729</f>
        <v>0</v>
      </c>
      <c r="N729">
        <f>vlookup("906-959000-110",B:AZ,column(m1),0)*e729</f>
        <v>0</v>
      </c>
      <c r="O729">
        <f>vlookup("906-959000-110",B:AZ,column(n1),0)*e729</f>
        <v>0</v>
      </c>
      <c r="P729">
        <f>vlookup("906-959000-110",B:AZ,column(o1),0)*e729</f>
        <v>0</v>
      </c>
      <c r="Q729">
        <f>vlookup("906-959000-110",B:AZ,column(p1),0)*e729</f>
        <v>0</v>
      </c>
      <c r="R729">
        <f>vlookup("906-959000-110",B:AZ,column(q1),0)*e729</f>
        <v>0</v>
      </c>
      <c r="S729">
        <f>vlookup("906-959000-110",B:AZ,column(r1),0)*e729</f>
        <v>0</v>
      </c>
      <c r="T729">
        <f>vlookup("906-959000-110",B:AZ,column(s1),0)*e729</f>
        <v>0</v>
      </c>
      <c r="U729">
        <f>vlookup("906-959000-110",B:AZ,column(t1),0)*e729</f>
        <v>0</v>
      </c>
      <c r="V729">
        <f>vlookup("906-959000-110",B:AZ,column(u1),0)*e729</f>
        <v>0</v>
      </c>
      <c r="W729">
        <f>vlookup("906-959000-110",B:AZ,column(v1),0)*e729</f>
        <v>0</v>
      </c>
      <c r="X729">
        <f>vlookup("906-959000-110",B:AZ,column(w1),0)*e729</f>
        <v>0</v>
      </c>
      <c r="Y729">
        <f>vlookup("906-959000-110",B:AZ,column(x1),0)*e729</f>
        <v>0</v>
      </c>
      <c r="Z729">
        <f>vlookup("906-959000-110",B:AZ,column(y1),0)*e729</f>
        <v>0</v>
      </c>
      <c r="AA729">
        <f>vlookup("906-959000-110",B:AZ,column(z1),0)*e729</f>
        <v>0</v>
      </c>
      <c r="AB729">
        <f>vlookup("906-959000-110",B:AZ,column(aa1),0)*e729</f>
        <v>0</v>
      </c>
      <c r="AC729">
        <f>vlookup("906-959000-110",B:AZ,column(ab1),0)*e729</f>
        <v>0</v>
      </c>
      <c r="AD729">
        <f>vlookup("906-959000-110",B:AZ,column(ac1),0)*e729</f>
        <v>0</v>
      </c>
      <c r="AE729">
        <f>vlookup("906-959000-110",B:AZ,column(ad1),0)*e729</f>
        <v>0</v>
      </c>
      <c r="AF729">
        <f>vlookup("906-959000-110",B:AZ,column(ae1),0)*e729</f>
        <v>0</v>
      </c>
      <c r="AG729">
        <f>vlookup("906-959000-110",B:AZ,column(af1),0)*e729</f>
        <v>0</v>
      </c>
      <c r="AH729">
        <f>vlookup("906-959000-110",B:AZ,column(ag1),0)*e729</f>
        <v>0</v>
      </c>
      <c r="AI729">
        <f>vlookup("906-959000-110",B:AZ,column(ah1),0)*e729</f>
        <v>0</v>
      </c>
      <c r="AJ729">
        <f>vlookup("906-959000-110",B:AZ,column(ai1),0)*e729</f>
        <v>0</v>
      </c>
      <c r="AK729">
        <f>vlookup("906-959000-110",B:AZ,column(aj1),0)*e729</f>
        <v>0</v>
      </c>
      <c r="AL729">
        <f>vlookup("906-959000-110",B:AZ,column(ak1),0)*e729</f>
        <v>0</v>
      </c>
      <c r="AM729">
        <f>vlookup("906-959000-110",B:AZ,column(al1),0)*e729</f>
        <v>0</v>
      </c>
      <c r="AN729">
        <f>vlookup("906-959000-110",B:AZ,column(am1),0)*e729</f>
        <v>0</v>
      </c>
      <c r="AO729">
        <f>vlookup("906-959000-110",B:AZ,column(an1),0)*e729</f>
        <v>0</v>
      </c>
    </row>
    <row r="730" spans="1:41">
      <c r="A730" t="s">
        <v>22</v>
      </c>
      <c r="B730" t="s">
        <v>774</v>
      </c>
      <c r="C730" t="s">
        <v>775</v>
      </c>
      <c r="E730">
        <v>1</v>
      </c>
      <c r="F730" t="s">
        <v>13</v>
      </c>
      <c r="I730" t="s">
        <v>15</v>
      </c>
      <c r="J730">
        <f>vlookup("906-959000-110",B:AZ,column(i1),0)*e730</f>
        <v>0</v>
      </c>
      <c r="K730">
        <f>vlookup("906-959000-110",B:AZ,column(j1),0)*e730</f>
        <v>0</v>
      </c>
      <c r="L730">
        <f>vlookup("906-959000-110",B:AZ,column(k1),0)*e730</f>
        <v>0</v>
      </c>
      <c r="M730">
        <f>vlookup("906-959000-110",B:AZ,column(l1),0)*e730</f>
        <v>0</v>
      </c>
      <c r="N730">
        <f>vlookup("906-959000-110",B:AZ,column(m1),0)*e730</f>
        <v>0</v>
      </c>
      <c r="O730">
        <f>vlookup("906-959000-110",B:AZ,column(n1),0)*e730</f>
        <v>0</v>
      </c>
      <c r="P730">
        <f>vlookup("906-959000-110",B:AZ,column(o1),0)*e730</f>
        <v>0</v>
      </c>
      <c r="Q730">
        <f>vlookup("906-959000-110",B:AZ,column(p1),0)*e730</f>
        <v>0</v>
      </c>
      <c r="R730">
        <f>vlookup("906-959000-110",B:AZ,column(q1),0)*e730</f>
        <v>0</v>
      </c>
      <c r="S730">
        <f>vlookup("906-959000-110",B:AZ,column(r1),0)*e730</f>
        <v>0</v>
      </c>
      <c r="T730">
        <f>vlookup("906-959000-110",B:AZ,column(s1),0)*e730</f>
        <v>0</v>
      </c>
      <c r="U730">
        <f>vlookup("906-959000-110",B:AZ,column(t1),0)*e730</f>
        <v>0</v>
      </c>
      <c r="V730">
        <f>vlookup("906-959000-110",B:AZ,column(u1),0)*e730</f>
        <v>0</v>
      </c>
      <c r="W730">
        <f>vlookup("906-959000-110",B:AZ,column(v1),0)*e730</f>
        <v>0</v>
      </c>
      <c r="X730">
        <f>vlookup("906-959000-110",B:AZ,column(w1),0)*e730</f>
        <v>0</v>
      </c>
      <c r="Y730">
        <f>vlookup("906-959000-110",B:AZ,column(x1),0)*e730</f>
        <v>0</v>
      </c>
      <c r="Z730">
        <f>vlookup("906-959000-110",B:AZ,column(y1),0)*e730</f>
        <v>0</v>
      </c>
      <c r="AA730">
        <f>vlookup("906-959000-110",B:AZ,column(z1),0)*e730</f>
        <v>0</v>
      </c>
      <c r="AB730">
        <f>vlookup("906-959000-110",B:AZ,column(aa1),0)*e730</f>
        <v>0</v>
      </c>
      <c r="AC730">
        <f>vlookup("906-959000-110",B:AZ,column(ab1),0)*e730</f>
        <v>0</v>
      </c>
      <c r="AD730">
        <f>vlookup("906-959000-110",B:AZ,column(ac1),0)*e730</f>
        <v>0</v>
      </c>
      <c r="AE730">
        <f>vlookup("906-959000-110",B:AZ,column(ad1),0)*e730</f>
        <v>0</v>
      </c>
      <c r="AF730">
        <f>vlookup("906-959000-110",B:AZ,column(ae1),0)*e730</f>
        <v>0</v>
      </c>
      <c r="AG730">
        <f>vlookup("906-959000-110",B:AZ,column(af1),0)*e730</f>
        <v>0</v>
      </c>
      <c r="AH730">
        <f>vlookup("906-959000-110",B:AZ,column(ag1),0)*e730</f>
        <v>0</v>
      </c>
      <c r="AI730">
        <f>vlookup("906-959000-110",B:AZ,column(ah1),0)*e730</f>
        <v>0</v>
      </c>
      <c r="AJ730">
        <f>vlookup("906-959000-110",B:AZ,column(ai1),0)*e730</f>
        <v>0</v>
      </c>
      <c r="AK730">
        <f>vlookup("906-959000-110",B:AZ,column(aj1),0)*e730</f>
        <v>0</v>
      </c>
      <c r="AL730">
        <f>vlookup("906-959000-110",B:AZ,column(ak1),0)*e730</f>
        <v>0</v>
      </c>
      <c r="AM730">
        <f>vlookup("906-959000-110",B:AZ,column(al1),0)*e730</f>
        <v>0</v>
      </c>
      <c r="AN730">
        <f>vlookup("906-959000-110",B:AZ,column(am1),0)*e730</f>
        <v>0</v>
      </c>
      <c r="AO730">
        <f>vlookup("906-959000-110",B:AZ,column(an1),0)*e730</f>
        <v>0</v>
      </c>
    </row>
    <row r="731" spans="1:41">
      <c r="A731" t="s">
        <v>22</v>
      </c>
      <c r="B731" t="s">
        <v>776</v>
      </c>
      <c r="C731" t="s">
        <v>777</v>
      </c>
      <c r="E731">
        <v>1</v>
      </c>
      <c r="F731" t="s">
        <v>13</v>
      </c>
      <c r="I731" t="s">
        <v>15</v>
      </c>
      <c r="J731">
        <f>vlookup("906-959000-110",B:AZ,column(i1),0)*e731</f>
        <v>0</v>
      </c>
      <c r="K731">
        <f>vlookup("906-959000-110",B:AZ,column(j1),0)*e731</f>
        <v>0</v>
      </c>
      <c r="L731">
        <f>vlookup("906-959000-110",B:AZ,column(k1),0)*e731</f>
        <v>0</v>
      </c>
      <c r="M731">
        <f>vlookup("906-959000-110",B:AZ,column(l1),0)*e731</f>
        <v>0</v>
      </c>
      <c r="N731">
        <f>vlookup("906-959000-110",B:AZ,column(m1),0)*e731</f>
        <v>0</v>
      </c>
      <c r="O731">
        <f>vlookup("906-959000-110",B:AZ,column(n1),0)*e731</f>
        <v>0</v>
      </c>
      <c r="P731">
        <f>vlookup("906-959000-110",B:AZ,column(o1),0)*e731</f>
        <v>0</v>
      </c>
      <c r="Q731">
        <f>vlookup("906-959000-110",B:AZ,column(p1),0)*e731</f>
        <v>0</v>
      </c>
      <c r="R731">
        <f>vlookup("906-959000-110",B:AZ,column(q1),0)*e731</f>
        <v>0</v>
      </c>
      <c r="S731">
        <f>vlookup("906-959000-110",B:AZ,column(r1),0)*e731</f>
        <v>0</v>
      </c>
      <c r="T731">
        <f>vlookup("906-959000-110",B:AZ,column(s1),0)*e731</f>
        <v>0</v>
      </c>
      <c r="U731">
        <f>vlookup("906-959000-110",B:AZ,column(t1),0)*e731</f>
        <v>0</v>
      </c>
      <c r="V731">
        <f>vlookup("906-959000-110",B:AZ,column(u1),0)*e731</f>
        <v>0</v>
      </c>
      <c r="W731">
        <f>vlookup("906-959000-110",B:AZ,column(v1),0)*e731</f>
        <v>0</v>
      </c>
      <c r="X731">
        <f>vlookup("906-959000-110",B:AZ,column(w1),0)*e731</f>
        <v>0</v>
      </c>
      <c r="Y731">
        <f>vlookup("906-959000-110",B:AZ,column(x1),0)*e731</f>
        <v>0</v>
      </c>
      <c r="Z731">
        <f>vlookup("906-959000-110",B:AZ,column(y1),0)*e731</f>
        <v>0</v>
      </c>
      <c r="AA731">
        <f>vlookup("906-959000-110",B:AZ,column(z1),0)*e731</f>
        <v>0</v>
      </c>
      <c r="AB731">
        <f>vlookup("906-959000-110",B:AZ,column(aa1),0)*e731</f>
        <v>0</v>
      </c>
      <c r="AC731">
        <f>vlookup("906-959000-110",B:AZ,column(ab1),0)*e731</f>
        <v>0</v>
      </c>
      <c r="AD731">
        <f>vlookup("906-959000-110",B:AZ,column(ac1),0)*e731</f>
        <v>0</v>
      </c>
      <c r="AE731">
        <f>vlookup("906-959000-110",B:AZ,column(ad1),0)*e731</f>
        <v>0</v>
      </c>
      <c r="AF731">
        <f>vlookup("906-959000-110",B:AZ,column(ae1),0)*e731</f>
        <v>0</v>
      </c>
      <c r="AG731">
        <f>vlookup("906-959000-110",B:AZ,column(af1),0)*e731</f>
        <v>0</v>
      </c>
      <c r="AH731">
        <f>vlookup("906-959000-110",B:AZ,column(ag1),0)*e731</f>
        <v>0</v>
      </c>
      <c r="AI731">
        <f>vlookup("906-959000-110",B:AZ,column(ah1),0)*e731</f>
        <v>0</v>
      </c>
      <c r="AJ731">
        <f>vlookup("906-959000-110",B:AZ,column(ai1),0)*e731</f>
        <v>0</v>
      </c>
      <c r="AK731">
        <f>vlookup("906-959000-110",B:AZ,column(aj1),0)*e731</f>
        <v>0</v>
      </c>
      <c r="AL731">
        <f>vlookup("906-959000-110",B:AZ,column(ak1),0)*e731</f>
        <v>0</v>
      </c>
      <c r="AM731">
        <f>vlookup("906-959000-110",B:AZ,column(al1),0)*e731</f>
        <v>0</v>
      </c>
      <c r="AN731">
        <f>vlookup("906-959000-110",B:AZ,column(am1),0)*e731</f>
        <v>0</v>
      </c>
      <c r="AO731">
        <f>vlookup("906-959000-110",B:AZ,column(an1),0)*e731</f>
        <v>0</v>
      </c>
    </row>
    <row r="732" spans="1:41">
      <c r="A732" t="s">
        <v>10</v>
      </c>
      <c r="B732" t="s">
        <v>778</v>
      </c>
      <c r="C732" t="s">
        <v>779</v>
      </c>
      <c r="E732">
        <v>1</v>
      </c>
      <c r="F732" t="s">
        <v>13</v>
      </c>
      <c r="I732" t="s">
        <v>14</v>
      </c>
      <c r="AO732">
        <f>sum(j732:an732)</f>
        <v>0</v>
      </c>
    </row>
    <row r="733" spans="1:41">
      <c r="I733" t="s">
        <v>15</v>
      </c>
      <c r="J733">
        <f>vlookup("906-721000-310",Out!B:AZ,column(i1),0)</f>
        <v>0</v>
      </c>
      <c r="K733">
        <f>vlookup("906-721000-310",Out!B:AZ,column(j1),0)</f>
        <v>0</v>
      </c>
      <c r="L733">
        <f>vlookup("906-721000-310",Out!B:AZ,column(k1),0)</f>
        <v>0</v>
      </c>
      <c r="M733">
        <f>vlookup("906-721000-310",Out!B:AZ,column(l1),0)</f>
        <v>0</v>
      </c>
      <c r="N733">
        <f>vlookup("906-721000-310",Out!B:AZ,column(m1),0)</f>
        <v>0</v>
      </c>
      <c r="O733">
        <f>vlookup("906-721000-310",Out!B:AZ,column(n1),0)</f>
        <v>0</v>
      </c>
      <c r="P733">
        <f>vlookup("906-721000-310",Out!B:AZ,column(o1),0)</f>
        <v>0</v>
      </c>
      <c r="Q733">
        <f>vlookup("906-721000-310",Out!B:AZ,column(p1),0)</f>
        <v>0</v>
      </c>
      <c r="R733">
        <f>vlookup("906-721000-310",Out!B:AZ,column(q1),0)</f>
        <v>0</v>
      </c>
      <c r="S733">
        <f>vlookup("906-721000-310",Out!B:AZ,column(r1),0)</f>
        <v>0</v>
      </c>
      <c r="T733">
        <f>vlookup("906-721000-310",Out!B:AZ,column(s1),0)</f>
        <v>0</v>
      </c>
      <c r="U733">
        <f>vlookup("906-721000-310",Out!B:AZ,column(t1),0)</f>
        <v>0</v>
      </c>
      <c r="V733">
        <f>vlookup("906-721000-310",Out!B:AZ,column(u1),0)</f>
        <v>0</v>
      </c>
      <c r="W733">
        <f>vlookup("906-721000-310",Out!B:AZ,column(v1),0)</f>
        <v>0</v>
      </c>
      <c r="X733">
        <f>vlookup("906-721000-310",Out!B:AZ,column(w1),0)</f>
        <v>0</v>
      </c>
      <c r="Y733">
        <f>vlookup("906-721000-310",Out!B:AZ,column(x1),0)</f>
        <v>0</v>
      </c>
      <c r="Z733">
        <f>vlookup("906-721000-310",Out!B:AZ,column(y1),0)</f>
        <v>0</v>
      </c>
      <c r="AA733">
        <f>vlookup("906-721000-310",Out!B:AZ,column(z1),0)</f>
        <v>0</v>
      </c>
      <c r="AB733">
        <f>vlookup("906-721000-310",Out!B:AZ,column(aa1),0)</f>
        <v>0</v>
      </c>
      <c r="AC733">
        <f>vlookup("906-721000-310",Out!B:AZ,column(ab1),0)</f>
        <v>0</v>
      </c>
      <c r="AD733">
        <f>vlookup("906-721000-310",Out!B:AZ,column(ac1),0)</f>
        <v>0</v>
      </c>
      <c r="AE733">
        <f>vlookup("906-721000-310",Out!B:AZ,column(ad1),0)</f>
        <v>0</v>
      </c>
      <c r="AF733">
        <f>vlookup("906-721000-310",Out!B:AZ,column(ae1),0)</f>
        <v>0</v>
      </c>
      <c r="AG733">
        <f>vlookup("906-721000-310",Out!B:AZ,column(af1),0)</f>
        <v>0</v>
      </c>
      <c r="AH733">
        <f>vlookup("906-721000-310",Out!B:AZ,column(ag1),0)</f>
        <v>0</v>
      </c>
      <c r="AI733">
        <f>vlookup("906-721000-310",Out!B:AZ,column(ah1),0)</f>
        <v>0</v>
      </c>
      <c r="AJ733">
        <f>vlookup("906-721000-310",Out!B:AZ,column(ai1),0)</f>
        <v>0</v>
      </c>
      <c r="AK733">
        <f>vlookup("906-721000-310",Out!B:AZ,column(aj1),0)</f>
        <v>0</v>
      </c>
      <c r="AL733">
        <f>vlookup("906-721000-310",Out!B:AZ,column(ak1),0)</f>
        <v>0</v>
      </c>
      <c r="AM733">
        <f>vlookup("906-721000-310",Out!B:AZ,column(al1),0)</f>
        <v>0</v>
      </c>
      <c r="AN733">
        <f>vlookup("906-721000-310",Out!B:AZ,column(am1),0)</f>
        <v>0</v>
      </c>
      <c r="AO733">
        <f>vlookup("906-721000-310",Out!B:AZ,column(an1),0)</f>
        <v>0</v>
      </c>
    </row>
    <row r="734" spans="1:41">
      <c r="H734" t="s">
        <v>16</v>
      </c>
      <c r="J734">
        <f>indirect(address(734,9))+indirect(address(732,10))-indirect(address(733,10))</f>
        <v>0</v>
      </c>
      <c r="K734">
        <f>indirect(address(734,10))+indirect(address(732,11))-indirect(address(733,11))</f>
        <v>0</v>
      </c>
      <c r="L734">
        <f>indirect(address(734,11))+indirect(address(732,12))-indirect(address(733,12))</f>
        <v>0</v>
      </c>
      <c r="M734">
        <f>indirect(address(734,12))+indirect(address(732,13))-indirect(address(733,13))</f>
        <v>0</v>
      </c>
      <c r="N734">
        <f>indirect(address(734,13))+indirect(address(732,14))-indirect(address(733,14))</f>
        <v>0</v>
      </c>
      <c r="O734">
        <f>indirect(address(734,14))+indirect(address(732,15))-indirect(address(733,15))</f>
        <v>0</v>
      </c>
      <c r="P734">
        <f>indirect(address(734,15))+indirect(address(732,16))-indirect(address(733,16))</f>
        <v>0</v>
      </c>
      <c r="Q734">
        <f>indirect(address(734,16))+indirect(address(732,17))-indirect(address(733,17))</f>
        <v>0</v>
      </c>
      <c r="R734">
        <f>indirect(address(734,17))+indirect(address(732,18))-indirect(address(733,18))</f>
        <v>0</v>
      </c>
      <c r="S734">
        <f>indirect(address(734,18))+indirect(address(732,19))-indirect(address(733,19))</f>
        <v>0</v>
      </c>
      <c r="T734">
        <f>indirect(address(734,19))+indirect(address(732,20))-indirect(address(733,20))</f>
        <v>0</v>
      </c>
      <c r="U734">
        <f>indirect(address(734,20))+indirect(address(732,21))-indirect(address(733,21))</f>
        <v>0</v>
      </c>
      <c r="V734">
        <f>indirect(address(734,21))+indirect(address(732,22))-indirect(address(733,22))</f>
        <v>0</v>
      </c>
      <c r="W734">
        <f>indirect(address(734,22))+indirect(address(732,23))-indirect(address(733,23))</f>
        <v>0</v>
      </c>
      <c r="X734">
        <f>indirect(address(734,23))+indirect(address(732,24))-indirect(address(733,24))</f>
        <v>0</v>
      </c>
      <c r="Y734">
        <f>indirect(address(734,24))+indirect(address(732,25))-indirect(address(733,25))</f>
        <v>0</v>
      </c>
      <c r="Z734">
        <f>indirect(address(734,25))+indirect(address(732,26))-indirect(address(733,26))</f>
        <v>0</v>
      </c>
      <c r="AA734">
        <f>indirect(address(734,26))+indirect(address(732,27))-indirect(address(733,27))</f>
        <v>0</v>
      </c>
      <c r="AB734">
        <f>indirect(address(734,27))+indirect(address(732,28))-indirect(address(733,28))</f>
        <v>0</v>
      </c>
      <c r="AC734">
        <f>indirect(address(734,28))+indirect(address(732,29))-indirect(address(733,29))</f>
        <v>0</v>
      </c>
      <c r="AD734">
        <f>indirect(address(734,29))+indirect(address(732,30))-indirect(address(733,30))</f>
        <v>0</v>
      </c>
      <c r="AE734">
        <f>indirect(address(734,30))+indirect(address(732,31))-indirect(address(733,31))</f>
        <v>0</v>
      </c>
      <c r="AF734">
        <f>indirect(address(734,31))+indirect(address(732,32))-indirect(address(733,32))</f>
        <v>0</v>
      </c>
      <c r="AG734">
        <f>indirect(address(734,32))+indirect(address(732,33))-indirect(address(733,33))</f>
        <v>0</v>
      </c>
      <c r="AH734">
        <f>indirect(address(734,33))+indirect(address(732,34))-indirect(address(733,34))</f>
        <v>0</v>
      </c>
      <c r="AI734">
        <f>indirect(address(734,34))+indirect(address(732,35))-indirect(address(733,35))</f>
        <v>0</v>
      </c>
      <c r="AJ734">
        <f>indirect(address(734,35))+indirect(address(732,36))-indirect(address(733,36))</f>
        <v>0</v>
      </c>
      <c r="AK734">
        <f>indirect(address(734,36))+indirect(address(732,37))-indirect(address(733,37))</f>
        <v>0</v>
      </c>
      <c r="AL734">
        <f>indirect(address(734,37))+indirect(address(732,38))-indirect(address(733,38))</f>
        <v>0</v>
      </c>
      <c r="AM734">
        <f>indirect(address(734,38))+indirect(address(732,39))-indirect(address(733,39))</f>
        <v>0</v>
      </c>
      <c r="AN734">
        <f>indirect(address(734,39))+indirect(address(732,40))-indirect(address(733,40))</f>
        <v>0</v>
      </c>
      <c r="AO734">
        <f>indirect(address(734,40))</f>
        <v>0</v>
      </c>
    </row>
    <row r="735" spans="1:41">
      <c r="A735" t="s">
        <v>17</v>
      </c>
      <c r="B735" t="s">
        <v>780</v>
      </c>
      <c r="C735" t="s">
        <v>781</v>
      </c>
      <c r="E735">
        <v>1</v>
      </c>
      <c r="F735" t="s">
        <v>13</v>
      </c>
      <c r="I735" t="s">
        <v>15</v>
      </c>
      <c r="J735">
        <f>vlookup("906-721000-310",B:AZ,column(i1),0)*e735</f>
        <v>0</v>
      </c>
      <c r="K735">
        <f>vlookup("906-721000-310",B:AZ,column(j1),0)*e735</f>
        <v>0</v>
      </c>
      <c r="L735">
        <f>vlookup("906-721000-310",B:AZ,column(k1),0)*e735</f>
        <v>0</v>
      </c>
      <c r="M735">
        <f>vlookup("906-721000-310",B:AZ,column(l1),0)*e735</f>
        <v>0</v>
      </c>
      <c r="N735">
        <f>vlookup("906-721000-310",B:AZ,column(m1),0)*e735</f>
        <v>0</v>
      </c>
      <c r="O735">
        <f>vlookup("906-721000-310",B:AZ,column(n1),0)*e735</f>
        <v>0</v>
      </c>
      <c r="P735">
        <f>vlookup("906-721000-310",B:AZ,column(o1),0)*e735</f>
        <v>0</v>
      </c>
      <c r="Q735">
        <f>vlookup("906-721000-310",B:AZ,column(p1),0)*e735</f>
        <v>0</v>
      </c>
      <c r="R735">
        <f>vlookup("906-721000-310",B:AZ,column(q1),0)*e735</f>
        <v>0</v>
      </c>
      <c r="S735">
        <f>vlookup("906-721000-310",B:AZ,column(r1),0)*e735</f>
        <v>0</v>
      </c>
      <c r="T735">
        <f>vlookup("906-721000-310",B:AZ,column(s1),0)*e735</f>
        <v>0</v>
      </c>
      <c r="U735">
        <f>vlookup("906-721000-310",B:AZ,column(t1),0)*e735</f>
        <v>0</v>
      </c>
      <c r="V735">
        <f>vlookup("906-721000-310",B:AZ,column(u1),0)*e735</f>
        <v>0</v>
      </c>
      <c r="W735">
        <f>vlookup("906-721000-310",B:AZ,column(v1),0)*e735</f>
        <v>0</v>
      </c>
      <c r="X735">
        <f>vlookup("906-721000-310",B:AZ,column(w1),0)*e735</f>
        <v>0</v>
      </c>
      <c r="Y735">
        <f>vlookup("906-721000-310",B:AZ,column(x1),0)*e735</f>
        <v>0</v>
      </c>
      <c r="Z735">
        <f>vlookup("906-721000-310",B:AZ,column(y1),0)*e735</f>
        <v>0</v>
      </c>
      <c r="AA735">
        <f>vlookup("906-721000-310",B:AZ,column(z1),0)*e735</f>
        <v>0</v>
      </c>
      <c r="AB735">
        <f>vlookup("906-721000-310",B:AZ,column(aa1),0)*e735</f>
        <v>0</v>
      </c>
      <c r="AC735">
        <f>vlookup("906-721000-310",B:AZ,column(ab1),0)*e735</f>
        <v>0</v>
      </c>
      <c r="AD735">
        <f>vlookup("906-721000-310",B:AZ,column(ac1),0)*e735</f>
        <v>0</v>
      </c>
      <c r="AE735">
        <f>vlookup("906-721000-310",B:AZ,column(ad1),0)*e735</f>
        <v>0</v>
      </c>
      <c r="AF735">
        <f>vlookup("906-721000-310",B:AZ,column(ae1),0)*e735</f>
        <v>0</v>
      </c>
      <c r="AG735">
        <f>vlookup("906-721000-310",B:AZ,column(af1),0)*e735</f>
        <v>0</v>
      </c>
      <c r="AH735">
        <f>vlookup("906-721000-310",B:AZ,column(ag1),0)*e735</f>
        <v>0</v>
      </c>
      <c r="AI735">
        <f>vlookup("906-721000-310",B:AZ,column(ah1),0)*e735</f>
        <v>0</v>
      </c>
      <c r="AJ735">
        <f>vlookup("906-721000-310",B:AZ,column(ai1),0)*e735</f>
        <v>0</v>
      </c>
      <c r="AK735">
        <f>vlookup("906-721000-310",B:AZ,column(aj1),0)*e735</f>
        <v>0</v>
      </c>
      <c r="AL735">
        <f>vlookup("906-721000-310",B:AZ,column(ak1),0)*e735</f>
        <v>0</v>
      </c>
      <c r="AM735">
        <f>vlookup("906-721000-310",B:AZ,column(al1),0)*e735</f>
        <v>0</v>
      </c>
      <c r="AN735">
        <f>vlookup("906-721000-310",B:AZ,column(am1),0)*e735</f>
        <v>0</v>
      </c>
      <c r="AO735">
        <f>vlookup("906-721000-310",B:AZ,column(an1),0)*e735</f>
        <v>0</v>
      </c>
    </row>
    <row r="736" spans="1:41">
      <c r="A736" t="s">
        <v>17</v>
      </c>
      <c r="B736" t="s">
        <v>782</v>
      </c>
      <c r="C736" t="s">
        <v>783</v>
      </c>
      <c r="E736">
        <v>1</v>
      </c>
      <c r="F736" t="s">
        <v>13</v>
      </c>
      <c r="I736" t="s">
        <v>15</v>
      </c>
      <c r="J736">
        <f>vlookup("906-721000-310",B:AZ,column(i1),0)*e736</f>
        <v>0</v>
      </c>
      <c r="K736">
        <f>vlookup("906-721000-310",B:AZ,column(j1),0)*e736</f>
        <v>0</v>
      </c>
      <c r="L736">
        <f>vlookup("906-721000-310",B:AZ,column(k1),0)*e736</f>
        <v>0</v>
      </c>
      <c r="M736">
        <f>vlookup("906-721000-310",B:AZ,column(l1),0)*e736</f>
        <v>0</v>
      </c>
      <c r="N736">
        <f>vlookup("906-721000-310",B:AZ,column(m1),0)*e736</f>
        <v>0</v>
      </c>
      <c r="O736">
        <f>vlookup("906-721000-310",B:AZ,column(n1),0)*e736</f>
        <v>0</v>
      </c>
      <c r="P736">
        <f>vlookup("906-721000-310",B:AZ,column(o1),0)*e736</f>
        <v>0</v>
      </c>
      <c r="Q736">
        <f>vlookup("906-721000-310",B:AZ,column(p1),0)*e736</f>
        <v>0</v>
      </c>
      <c r="R736">
        <f>vlookup("906-721000-310",B:AZ,column(q1),0)*e736</f>
        <v>0</v>
      </c>
      <c r="S736">
        <f>vlookup("906-721000-310",B:AZ,column(r1),0)*e736</f>
        <v>0</v>
      </c>
      <c r="T736">
        <f>vlookup("906-721000-310",B:AZ,column(s1),0)*e736</f>
        <v>0</v>
      </c>
      <c r="U736">
        <f>vlookup("906-721000-310",B:AZ,column(t1),0)*e736</f>
        <v>0</v>
      </c>
      <c r="V736">
        <f>vlookup("906-721000-310",B:AZ,column(u1),0)*e736</f>
        <v>0</v>
      </c>
      <c r="W736">
        <f>vlookup("906-721000-310",B:AZ,column(v1),0)*e736</f>
        <v>0</v>
      </c>
      <c r="X736">
        <f>vlookup("906-721000-310",B:AZ,column(w1),0)*e736</f>
        <v>0</v>
      </c>
      <c r="Y736">
        <f>vlookup("906-721000-310",B:AZ,column(x1),0)*e736</f>
        <v>0</v>
      </c>
      <c r="Z736">
        <f>vlookup("906-721000-310",B:AZ,column(y1),0)*e736</f>
        <v>0</v>
      </c>
      <c r="AA736">
        <f>vlookup("906-721000-310",B:AZ,column(z1),0)*e736</f>
        <v>0</v>
      </c>
      <c r="AB736">
        <f>vlookup("906-721000-310",B:AZ,column(aa1),0)*e736</f>
        <v>0</v>
      </c>
      <c r="AC736">
        <f>vlookup("906-721000-310",B:AZ,column(ab1),0)*e736</f>
        <v>0</v>
      </c>
      <c r="AD736">
        <f>vlookup("906-721000-310",B:AZ,column(ac1),0)*e736</f>
        <v>0</v>
      </c>
      <c r="AE736">
        <f>vlookup("906-721000-310",B:AZ,column(ad1),0)*e736</f>
        <v>0</v>
      </c>
      <c r="AF736">
        <f>vlookup("906-721000-310",B:AZ,column(ae1),0)*e736</f>
        <v>0</v>
      </c>
      <c r="AG736">
        <f>vlookup("906-721000-310",B:AZ,column(af1),0)*e736</f>
        <v>0</v>
      </c>
      <c r="AH736">
        <f>vlookup("906-721000-310",B:AZ,column(ag1),0)*e736</f>
        <v>0</v>
      </c>
      <c r="AI736">
        <f>vlookup("906-721000-310",B:AZ,column(ah1),0)*e736</f>
        <v>0</v>
      </c>
      <c r="AJ736">
        <f>vlookup("906-721000-310",B:AZ,column(ai1),0)*e736</f>
        <v>0</v>
      </c>
      <c r="AK736">
        <f>vlookup("906-721000-310",B:AZ,column(aj1),0)*e736</f>
        <v>0</v>
      </c>
      <c r="AL736">
        <f>vlookup("906-721000-310",B:AZ,column(ak1),0)*e736</f>
        <v>0</v>
      </c>
      <c r="AM736">
        <f>vlookup("906-721000-310",B:AZ,column(al1),0)*e736</f>
        <v>0</v>
      </c>
      <c r="AN736">
        <f>vlookup("906-721000-310",B:AZ,column(am1),0)*e736</f>
        <v>0</v>
      </c>
      <c r="AO736">
        <f>vlookup("906-721000-310",B:AZ,column(an1),0)*e736</f>
        <v>0</v>
      </c>
    </row>
    <row r="737" spans="1:41">
      <c r="A737" t="s">
        <v>10</v>
      </c>
      <c r="B737" t="s">
        <v>784</v>
      </c>
      <c r="C737" t="s">
        <v>785</v>
      </c>
      <c r="E737">
        <v>1</v>
      </c>
      <c r="F737" t="s">
        <v>13</v>
      </c>
      <c r="I737" t="s">
        <v>14</v>
      </c>
      <c r="AO737">
        <f>sum(j737:an737)</f>
        <v>0</v>
      </c>
    </row>
    <row r="738" spans="1:41">
      <c r="I738" t="s">
        <v>15</v>
      </c>
      <c r="J738">
        <f>vlookup("906-738000-310",Out!B:AZ,column(i1),0)</f>
        <v>0</v>
      </c>
      <c r="K738">
        <f>vlookup("906-738000-310",Out!B:AZ,column(j1),0)</f>
        <v>0</v>
      </c>
      <c r="L738">
        <f>vlookup("906-738000-310",Out!B:AZ,column(k1),0)</f>
        <v>0</v>
      </c>
      <c r="M738">
        <f>vlookup("906-738000-310",Out!B:AZ,column(l1),0)</f>
        <v>0</v>
      </c>
      <c r="N738">
        <f>vlookup("906-738000-310",Out!B:AZ,column(m1),0)</f>
        <v>0</v>
      </c>
      <c r="O738">
        <f>vlookup("906-738000-310",Out!B:AZ,column(n1),0)</f>
        <v>0</v>
      </c>
      <c r="P738">
        <f>vlookup("906-738000-310",Out!B:AZ,column(o1),0)</f>
        <v>0</v>
      </c>
      <c r="Q738">
        <f>vlookup("906-738000-310",Out!B:AZ,column(p1),0)</f>
        <v>0</v>
      </c>
      <c r="R738">
        <f>vlookup("906-738000-310",Out!B:AZ,column(q1),0)</f>
        <v>0</v>
      </c>
      <c r="S738">
        <f>vlookup("906-738000-310",Out!B:AZ,column(r1),0)</f>
        <v>0</v>
      </c>
      <c r="T738">
        <f>vlookup("906-738000-310",Out!B:AZ,column(s1),0)</f>
        <v>0</v>
      </c>
      <c r="U738">
        <f>vlookup("906-738000-310",Out!B:AZ,column(t1),0)</f>
        <v>0</v>
      </c>
      <c r="V738">
        <f>vlookup("906-738000-310",Out!B:AZ,column(u1),0)</f>
        <v>0</v>
      </c>
      <c r="W738">
        <f>vlookup("906-738000-310",Out!B:AZ,column(v1),0)</f>
        <v>0</v>
      </c>
      <c r="X738">
        <f>vlookup("906-738000-310",Out!B:AZ,column(w1),0)</f>
        <v>0</v>
      </c>
      <c r="Y738">
        <f>vlookup("906-738000-310",Out!B:AZ,column(x1),0)</f>
        <v>0</v>
      </c>
      <c r="Z738">
        <f>vlookup("906-738000-310",Out!B:AZ,column(y1),0)</f>
        <v>0</v>
      </c>
      <c r="AA738">
        <f>vlookup("906-738000-310",Out!B:AZ,column(z1),0)</f>
        <v>0</v>
      </c>
      <c r="AB738">
        <f>vlookup("906-738000-310",Out!B:AZ,column(aa1),0)</f>
        <v>0</v>
      </c>
      <c r="AC738">
        <f>vlookup("906-738000-310",Out!B:AZ,column(ab1),0)</f>
        <v>0</v>
      </c>
      <c r="AD738">
        <f>vlookup("906-738000-310",Out!B:AZ,column(ac1),0)</f>
        <v>0</v>
      </c>
      <c r="AE738">
        <f>vlookup("906-738000-310",Out!B:AZ,column(ad1),0)</f>
        <v>0</v>
      </c>
      <c r="AF738">
        <f>vlookup("906-738000-310",Out!B:AZ,column(ae1),0)</f>
        <v>0</v>
      </c>
      <c r="AG738">
        <f>vlookup("906-738000-310",Out!B:AZ,column(af1),0)</f>
        <v>0</v>
      </c>
      <c r="AH738">
        <f>vlookup("906-738000-310",Out!B:AZ,column(ag1),0)</f>
        <v>0</v>
      </c>
      <c r="AI738">
        <f>vlookup("906-738000-310",Out!B:AZ,column(ah1),0)</f>
        <v>0</v>
      </c>
      <c r="AJ738">
        <f>vlookup("906-738000-310",Out!B:AZ,column(ai1),0)</f>
        <v>0</v>
      </c>
      <c r="AK738">
        <f>vlookup("906-738000-310",Out!B:AZ,column(aj1),0)</f>
        <v>0</v>
      </c>
      <c r="AL738">
        <f>vlookup("906-738000-310",Out!B:AZ,column(ak1),0)</f>
        <v>0</v>
      </c>
      <c r="AM738">
        <f>vlookup("906-738000-310",Out!B:AZ,column(al1),0)</f>
        <v>0</v>
      </c>
      <c r="AN738">
        <f>vlookup("906-738000-310",Out!B:AZ,column(am1),0)</f>
        <v>0</v>
      </c>
      <c r="AO738">
        <f>vlookup("906-738000-310",Out!B:AZ,column(an1),0)</f>
        <v>0</v>
      </c>
    </row>
    <row r="739" spans="1:41">
      <c r="H739" t="s">
        <v>16</v>
      </c>
      <c r="J739">
        <f>indirect(address(739,9))+indirect(address(737,10))-indirect(address(738,10))</f>
        <v>0</v>
      </c>
      <c r="K739">
        <f>indirect(address(739,10))+indirect(address(737,11))-indirect(address(738,11))</f>
        <v>0</v>
      </c>
      <c r="L739">
        <f>indirect(address(739,11))+indirect(address(737,12))-indirect(address(738,12))</f>
        <v>0</v>
      </c>
      <c r="M739">
        <f>indirect(address(739,12))+indirect(address(737,13))-indirect(address(738,13))</f>
        <v>0</v>
      </c>
      <c r="N739">
        <f>indirect(address(739,13))+indirect(address(737,14))-indirect(address(738,14))</f>
        <v>0</v>
      </c>
      <c r="O739">
        <f>indirect(address(739,14))+indirect(address(737,15))-indirect(address(738,15))</f>
        <v>0</v>
      </c>
      <c r="P739">
        <f>indirect(address(739,15))+indirect(address(737,16))-indirect(address(738,16))</f>
        <v>0</v>
      </c>
      <c r="Q739">
        <f>indirect(address(739,16))+indirect(address(737,17))-indirect(address(738,17))</f>
        <v>0</v>
      </c>
      <c r="R739">
        <f>indirect(address(739,17))+indirect(address(737,18))-indirect(address(738,18))</f>
        <v>0</v>
      </c>
      <c r="S739">
        <f>indirect(address(739,18))+indirect(address(737,19))-indirect(address(738,19))</f>
        <v>0</v>
      </c>
      <c r="T739">
        <f>indirect(address(739,19))+indirect(address(737,20))-indirect(address(738,20))</f>
        <v>0</v>
      </c>
      <c r="U739">
        <f>indirect(address(739,20))+indirect(address(737,21))-indirect(address(738,21))</f>
        <v>0</v>
      </c>
      <c r="V739">
        <f>indirect(address(739,21))+indirect(address(737,22))-indirect(address(738,22))</f>
        <v>0</v>
      </c>
      <c r="W739">
        <f>indirect(address(739,22))+indirect(address(737,23))-indirect(address(738,23))</f>
        <v>0</v>
      </c>
      <c r="X739">
        <f>indirect(address(739,23))+indirect(address(737,24))-indirect(address(738,24))</f>
        <v>0</v>
      </c>
      <c r="Y739">
        <f>indirect(address(739,24))+indirect(address(737,25))-indirect(address(738,25))</f>
        <v>0</v>
      </c>
      <c r="Z739">
        <f>indirect(address(739,25))+indirect(address(737,26))-indirect(address(738,26))</f>
        <v>0</v>
      </c>
      <c r="AA739">
        <f>indirect(address(739,26))+indirect(address(737,27))-indirect(address(738,27))</f>
        <v>0</v>
      </c>
      <c r="AB739">
        <f>indirect(address(739,27))+indirect(address(737,28))-indirect(address(738,28))</f>
        <v>0</v>
      </c>
      <c r="AC739">
        <f>indirect(address(739,28))+indirect(address(737,29))-indirect(address(738,29))</f>
        <v>0</v>
      </c>
      <c r="AD739">
        <f>indirect(address(739,29))+indirect(address(737,30))-indirect(address(738,30))</f>
        <v>0</v>
      </c>
      <c r="AE739">
        <f>indirect(address(739,30))+indirect(address(737,31))-indirect(address(738,31))</f>
        <v>0</v>
      </c>
      <c r="AF739">
        <f>indirect(address(739,31))+indirect(address(737,32))-indirect(address(738,32))</f>
        <v>0</v>
      </c>
      <c r="AG739">
        <f>indirect(address(739,32))+indirect(address(737,33))-indirect(address(738,33))</f>
        <v>0</v>
      </c>
      <c r="AH739">
        <f>indirect(address(739,33))+indirect(address(737,34))-indirect(address(738,34))</f>
        <v>0</v>
      </c>
      <c r="AI739">
        <f>indirect(address(739,34))+indirect(address(737,35))-indirect(address(738,35))</f>
        <v>0</v>
      </c>
      <c r="AJ739">
        <f>indirect(address(739,35))+indirect(address(737,36))-indirect(address(738,36))</f>
        <v>0</v>
      </c>
      <c r="AK739">
        <f>indirect(address(739,36))+indirect(address(737,37))-indirect(address(738,37))</f>
        <v>0</v>
      </c>
      <c r="AL739">
        <f>indirect(address(739,37))+indirect(address(737,38))-indirect(address(738,38))</f>
        <v>0</v>
      </c>
      <c r="AM739">
        <f>indirect(address(739,38))+indirect(address(737,39))-indirect(address(738,39))</f>
        <v>0</v>
      </c>
      <c r="AN739">
        <f>indirect(address(739,39))+indirect(address(737,40))-indirect(address(738,40))</f>
        <v>0</v>
      </c>
      <c r="AO739">
        <f>indirect(address(739,40))</f>
        <v>0</v>
      </c>
    </row>
    <row r="740" spans="1:41">
      <c r="A740" t="s">
        <v>17</v>
      </c>
      <c r="B740" t="s">
        <v>786</v>
      </c>
      <c r="C740" t="s">
        <v>787</v>
      </c>
      <c r="E740">
        <v>1</v>
      </c>
      <c r="F740" t="s">
        <v>13</v>
      </c>
      <c r="I740" t="s">
        <v>15</v>
      </c>
      <c r="J740">
        <f>vlookup("906-738000-310",B:AZ,column(i1),0)*e740</f>
        <v>0</v>
      </c>
      <c r="K740">
        <f>vlookup("906-738000-310",B:AZ,column(j1),0)*e740</f>
        <v>0</v>
      </c>
      <c r="L740">
        <f>vlookup("906-738000-310",B:AZ,column(k1),0)*e740</f>
        <v>0</v>
      </c>
      <c r="M740">
        <f>vlookup("906-738000-310",B:AZ,column(l1),0)*e740</f>
        <v>0</v>
      </c>
      <c r="N740">
        <f>vlookup("906-738000-310",B:AZ,column(m1),0)*e740</f>
        <v>0</v>
      </c>
      <c r="O740">
        <f>vlookup("906-738000-310",B:AZ,column(n1),0)*e740</f>
        <v>0</v>
      </c>
      <c r="P740">
        <f>vlookup("906-738000-310",B:AZ,column(o1),0)*e740</f>
        <v>0</v>
      </c>
      <c r="Q740">
        <f>vlookup("906-738000-310",B:AZ,column(p1),0)*e740</f>
        <v>0</v>
      </c>
      <c r="R740">
        <f>vlookup("906-738000-310",B:AZ,column(q1),0)*e740</f>
        <v>0</v>
      </c>
      <c r="S740">
        <f>vlookup("906-738000-310",B:AZ,column(r1),0)*e740</f>
        <v>0</v>
      </c>
      <c r="T740">
        <f>vlookup("906-738000-310",B:AZ,column(s1),0)*e740</f>
        <v>0</v>
      </c>
      <c r="U740">
        <f>vlookup("906-738000-310",B:AZ,column(t1),0)*e740</f>
        <v>0</v>
      </c>
      <c r="V740">
        <f>vlookup("906-738000-310",B:AZ,column(u1),0)*e740</f>
        <v>0</v>
      </c>
      <c r="W740">
        <f>vlookup("906-738000-310",B:AZ,column(v1),0)*e740</f>
        <v>0</v>
      </c>
      <c r="X740">
        <f>vlookup("906-738000-310",B:AZ,column(w1),0)*e740</f>
        <v>0</v>
      </c>
      <c r="Y740">
        <f>vlookup("906-738000-310",B:AZ,column(x1),0)*e740</f>
        <v>0</v>
      </c>
      <c r="Z740">
        <f>vlookup("906-738000-310",B:AZ,column(y1),0)*e740</f>
        <v>0</v>
      </c>
      <c r="AA740">
        <f>vlookup("906-738000-310",B:AZ,column(z1),0)*e740</f>
        <v>0</v>
      </c>
      <c r="AB740">
        <f>vlookup("906-738000-310",B:AZ,column(aa1),0)*e740</f>
        <v>0</v>
      </c>
      <c r="AC740">
        <f>vlookup("906-738000-310",B:AZ,column(ab1),0)*e740</f>
        <v>0</v>
      </c>
      <c r="AD740">
        <f>vlookup("906-738000-310",B:AZ,column(ac1),0)*e740</f>
        <v>0</v>
      </c>
      <c r="AE740">
        <f>vlookup("906-738000-310",B:AZ,column(ad1),0)*e740</f>
        <v>0</v>
      </c>
      <c r="AF740">
        <f>vlookup("906-738000-310",B:AZ,column(ae1),0)*e740</f>
        <v>0</v>
      </c>
      <c r="AG740">
        <f>vlookup("906-738000-310",B:AZ,column(af1),0)*e740</f>
        <v>0</v>
      </c>
      <c r="AH740">
        <f>vlookup("906-738000-310",B:AZ,column(ag1),0)*e740</f>
        <v>0</v>
      </c>
      <c r="AI740">
        <f>vlookup("906-738000-310",B:AZ,column(ah1),0)*e740</f>
        <v>0</v>
      </c>
      <c r="AJ740">
        <f>vlookup("906-738000-310",B:AZ,column(ai1),0)*e740</f>
        <v>0</v>
      </c>
      <c r="AK740">
        <f>vlookup("906-738000-310",B:AZ,column(aj1),0)*e740</f>
        <v>0</v>
      </c>
      <c r="AL740">
        <f>vlookup("906-738000-310",B:AZ,column(ak1),0)*e740</f>
        <v>0</v>
      </c>
      <c r="AM740">
        <f>vlookup("906-738000-310",B:AZ,column(al1),0)*e740</f>
        <v>0</v>
      </c>
      <c r="AN740">
        <f>vlookup("906-738000-310",B:AZ,column(am1),0)*e740</f>
        <v>0</v>
      </c>
      <c r="AO740">
        <f>vlookup("906-738000-310",B:AZ,column(an1),0)*e740</f>
        <v>0</v>
      </c>
    </row>
    <row r="741" spans="1:41">
      <c r="A741" t="s">
        <v>17</v>
      </c>
      <c r="B741" t="s">
        <v>788</v>
      </c>
      <c r="C741" t="s">
        <v>789</v>
      </c>
      <c r="E741">
        <v>1</v>
      </c>
      <c r="F741" t="s">
        <v>13</v>
      </c>
      <c r="I741" t="s">
        <v>15</v>
      </c>
      <c r="J741">
        <f>vlookup("906-738000-310",B:AZ,column(i1),0)*e741</f>
        <v>0</v>
      </c>
      <c r="K741">
        <f>vlookup("906-738000-310",B:AZ,column(j1),0)*e741</f>
        <v>0</v>
      </c>
      <c r="L741">
        <f>vlookup("906-738000-310",B:AZ,column(k1),0)*e741</f>
        <v>0</v>
      </c>
      <c r="M741">
        <f>vlookup("906-738000-310",B:AZ,column(l1),0)*e741</f>
        <v>0</v>
      </c>
      <c r="N741">
        <f>vlookup("906-738000-310",B:AZ,column(m1),0)*e741</f>
        <v>0</v>
      </c>
      <c r="O741">
        <f>vlookup("906-738000-310",B:AZ,column(n1),0)*e741</f>
        <v>0</v>
      </c>
      <c r="P741">
        <f>vlookup("906-738000-310",B:AZ,column(o1),0)*e741</f>
        <v>0</v>
      </c>
      <c r="Q741">
        <f>vlookup("906-738000-310",B:AZ,column(p1),0)*e741</f>
        <v>0</v>
      </c>
      <c r="R741">
        <f>vlookup("906-738000-310",B:AZ,column(q1),0)*e741</f>
        <v>0</v>
      </c>
      <c r="S741">
        <f>vlookup("906-738000-310",B:AZ,column(r1),0)*e741</f>
        <v>0</v>
      </c>
      <c r="T741">
        <f>vlookup("906-738000-310",B:AZ,column(s1),0)*e741</f>
        <v>0</v>
      </c>
      <c r="U741">
        <f>vlookup("906-738000-310",B:AZ,column(t1),0)*e741</f>
        <v>0</v>
      </c>
      <c r="V741">
        <f>vlookup("906-738000-310",B:AZ,column(u1),0)*e741</f>
        <v>0</v>
      </c>
      <c r="W741">
        <f>vlookup("906-738000-310",B:AZ,column(v1),0)*e741</f>
        <v>0</v>
      </c>
      <c r="X741">
        <f>vlookup("906-738000-310",B:AZ,column(w1),0)*e741</f>
        <v>0</v>
      </c>
      <c r="Y741">
        <f>vlookup("906-738000-310",B:AZ,column(x1),0)*e741</f>
        <v>0</v>
      </c>
      <c r="Z741">
        <f>vlookup("906-738000-310",B:AZ,column(y1),0)*e741</f>
        <v>0</v>
      </c>
      <c r="AA741">
        <f>vlookup("906-738000-310",B:AZ,column(z1),0)*e741</f>
        <v>0</v>
      </c>
      <c r="AB741">
        <f>vlookup("906-738000-310",B:AZ,column(aa1),0)*e741</f>
        <v>0</v>
      </c>
      <c r="AC741">
        <f>vlookup("906-738000-310",B:AZ,column(ab1),0)*e741</f>
        <v>0</v>
      </c>
      <c r="AD741">
        <f>vlookup("906-738000-310",B:AZ,column(ac1),0)*e741</f>
        <v>0</v>
      </c>
      <c r="AE741">
        <f>vlookup("906-738000-310",B:AZ,column(ad1),0)*e741</f>
        <v>0</v>
      </c>
      <c r="AF741">
        <f>vlookup("906-738000-310",B:AZ,column(ae1),0)*e741</f>
        <v>0</v>
      </c>
      <c r="AG741">
        <f>vlookup("906-738000-310",B:AZ,column(af1),0)*e741</f>
        <v>0</v>
      </c>
      <c r="AH741">
        <f>vlookup("906-738000-310",B:AZ,column(ag1),0)*e741</f>
        <v>0</v>
      </c>
      <c r="AI741">
        <f>vlookup("906-738000-310",B:AZ,column(ah1),0)*e741</f>
        <v>0</v>
      </c>
      <c r="AJ741">
        <f>vlookup("906-738000-310",B:AZ,column(ai1),0)*e741</f>
        <v>0</v>
      </c>
      <c r="AK741">
        <f>vlookup("906-738000-310",B:AZ,column(aj1),0)*e741</f>
        <v>0</v>
      </c>
      <c r="AL741">
        <f>vlookup("906-738000-310",B:AZ,column(ak1),0)*e741</f>
        <v>0</v>
      </c>
      <c r="AM741">
        <f>vlookup("906-738000-310",B:AZ,column(al1),0)*e741</f>
        <v>0</v>
      </c>
      <c r="AN741">
        <f>vlookup("906-738000-310",B:AZ,column(am1),0)*e741</f>
        <v>0</v>
      </c>
      <c r="AO741">
        <f>vlookup("906-738000-310",B:AZ,column(an1),0)*e741</f>
        <v>0</v>
      </c>
    </row>
    <row r="742" spans="1:41">
      <c r="A742" t="s">
        <v>10</v>
      </c>
      <c r="B742" t="s">
        <v>790</v>
      </c>
      <c r="C742" t="s">
        <v>791</v>
      </c>
      <c r="E742">
        <v>1</v>
      </c>
      <c r="F742" t="s">
        <v>13</v>
      </c>
      <c r="I742" t="s">
        <v>14</v>
      </c>
      <c r="AO742">
        <f>sum(j742:an742)</f>
        <v>0</v>
      </c>
    </row>
    <row r="743" spans="1:41">
      <c r="I743" t="s">
        <v>15</v>
      </c>
      <c r="J743">
        <f>vlookup("906-487000-110",Out!B:AZ,column(i1),0)</f>
        <v>0</v>
      </c>
      <c r="K743">
        <f>vlookup("906-487000-110",Out!B:AZ,column(j1),0)</f>
        <v>0</v>
      </c>
      <c r="L743">
        <f>vlookup("906-487000-110",Out!B:AZ,column(k1),0)</f>
        <v>0</v>
      </c>
      <c r="M743">
        <f>vlookup("906-487000-110",Out!B:AZ,column(l1),0)</f>
        <v>0</v>
      </c>
      <c r="N743">
        <f>vlookup("906-487000-110",Out!B:AZ,column(m1),0)</f>
        <v>0</v>
      </c>
      <c r="O743">
        <f>vlookup("906-487000-110",Out!B:AZ,column(n1),0)</f>
        <v>0</v>
      </c>
      <c r="P743">
        <f>vlookup("906-487000-110",Out!B:AZ,column(o1),0)</f>
        <v>0</v>
      </c>
      <c r="Q743">
        <f>vlookup("906-487000-110",Out!B:AZ,column(p1),0)</f>
        <v>0</v>
      </c>
      <c r="R743">
        <f>vlookup("906-487000-110",Out!B:AZ,column(q1),0)</f>
        <v>0</v>
      </c>
      <c r="S743">
        <f>vlookup("906-487000-110",Out!B:AZ,column(r1),0)</f>
        <v>0</v>
      </c>
      <c r="T743">
        <f>vlookup("906-487000-110",Out!B:AZ,column(s1),0)</f>
        <v>0</v>
      </c>
      <c r="U743">
        <f>vlookup("906-487000-110",Out!B:AZ,column(t1),0)</f>
        <v>0</v>
      </c>
      <c r="V743">
        <f>vlookup("906-487000-110",Out!B:AZ,column(u1),0)</f>
        <v>0</v>
      </c>
      <c r="W743">
        <f>vlookup("906-487000-110",Out!B:AZ,column(v1),0)</f>
        <v>0</v>
      </c>
      <c r="X743">
        <f>vlookup("906-487000-110",Out!B:AZ,column(w1),0)</f>
        <v>0</v>
      </c>
      <c r="Y743">
        <f>vlookup("906-487000-110",Out!B:AZ,column(x1),0)</f>
        <v>0</v>
      </c>
      <c r="Z743">
        <f>vlookup("906-487000-110",Out!B:AZ,column(y1),0)</f>
        <v>0</v>
      </c>
      <c r="AA743">
        <f>vlookup("906-487000-110",Out!B:AZ,column(z1),0)</f>
        <v>0</v>
      </c>
      <c r="AB743">
        <f>vlookup("906-487000-110",Out!B:AZ,column(aa1),0)</f>
        <v>0</v>
      </c>
      <c r="AC743">
        <f>vlookup("906-487000-110",Out!B:AZ,column(ab1),0)</f>
        <v>0</v>
      </c>
      <c r="AD743">
        <f>vlookup("906-487000-110",Out!B:AZ,column(ac1),0)</f>
        <v>0</v>
      </c>
      <c r="AE743">
        <f>vlookup("906-487000-110",Out!B:AZ,column(ad1),0)</f>
        <v>0</v>
      </c>
      <c r="AF743">
        <f>vlookup("906-487000-110",Out!B:AZ,column(ae1),0)</f>
        <v>0</v>
      </c>
      <c r="AG743">
        <f>vlookup("906-487000-110",Out!B:AZ,column(af1),0)</f>
        <v>0</v>
      </c>
      <c r="AH743">
        <f>vlookup("906-487000-110",Out!B:AZ,column(ag1),0)</f>
        <v>0</v>
      </c>
      <c r="AI743">
        <f>vlookup("906-487000-110",Out!B:AZ,column(ah1),0)</f>
        <v>0</v>
      </c>
      <c r="AJ743">
        <f>vlookup("906-487000-110",Out!B:AZ,column(ai1),0)</f>
        <v>0</v>
      </c>
      <c r="AK743">
        <f>vlookup("906-487000-110",Out!B:AZ,column(aj1),0)</f>
        <v>0</v>
      </c>
      <c r="AL743">
        <f>vlookup("906-487000-110",Out!B:AZ,column(ak1),0)</f>
        <v>0</v>
      </c>
      <c r="AM743">
        <f>vlookup("906-487000-110",Out!B:AZ,column(al1),0)</f>
        <v>0</v>
      </c>
      <c r="AN743">
        <f>vlookup("906-487000-110",Out!B:AZ,column(am1),0)</f>
        <v>0</v>
      </c>
      <c r="AO743">
        <f>vlookup("906-487000-110",Out!B:AZ,column(an1),0)</f>
        <v>0</v>
      </c>
    </row>
    <row r="744" spans="1:41">
      <c r="H744" t="s">
        <v>16</v>
      </c>
      <c r="J744">
        <f>indirect(address(744,9))+indirect(address(742,10))-indirect(address(743,10))</f>
        <v>0</v>
      </c>
      <c r="K744">
        <f>indirect(address(744,10))+indirect(address(742,11))-indirect(address(743,11))</f>
        <v>0</v>
      </c>
      <c r="L744">
        <f>indirect(address(744,11))+indirect(address(742,12))-indirect(address(743,12))</f>
        <v>0</v>
      </c>
      <c r="M744">
        <f>indirect(address(744,12))+indirect(address(742,13))-indirect(address(743,13))</f>
        <v>0</v>
      </c>
      <c r="N744">
        <f>indirect(address(744,13))+indirect(address(742,14))-indirect(address(743,14))</f>
        <v>0</v>
      </c>
      <c r="O744">
        <f>indirect(address(744,14))+indirect(address(742,15))-indirect(address(743,15))</f>
        <v>0</v>
      </c>
      <c r="P744">
        <f>indirect(address(744,15))+indirect(address(742,16))-indirect(address(743,16))</f>
        <v>0</v>
      </c>
      <c r="Q744">
        <f>indirect(address(744,16))+indirect(address(742,17))-indirect(address(743,17))</f>
        <v>0</v>
      </c>
      <c r="R744">
        <f>indirect(address(744,17))+indirect(address(742,18))-indirect(address(743,18))</f>
        <v>0</v>
      </c>
      <c r="S744">
        <f>indirect(address(744,18))+indirect(address(742,19))-indirect(address(743,19))</f>
        <v>0</v>
      </c>
      <c r="T744">
        <f>indirect(address(744,19))+indirect(address(742,20))-indirect(address(743,20))</f>
        <v>0</v>
      </c>
      <c r="U744">
        <f>indirect(address(744,20))+indirect(address(742,21))-indirect(address(743,21))</f>
        <v>0</v>
      </c>
      <c r="V744">
        <f>indirect(address(744,21))+indirect(address(742,22))-indirect(address(743,22))</f>
        <v>0</v>
      </c>
      <c r="W744">
        <f>indirect(address(744,22))+indirect(address(742,23))-indirect(address(743,23))</f>
        <v>0</v>
      </c>
      <c r="X744">
        <f>indirect(address(744,23))+indirect(address(742,24))-indirect(address(743,24))</f>
        <v>0</v>
      </c>
      <c r="Y744">
        <f>indirect(address(744,24))+indirect(address(742,25))-indirect(address(743,25))</f>
        <v>0</v>
      </c>
      <c r="Z744">
        <f>indirect(address(744,25))+indirect(address(742,26))-indirect(address(743,26))</f>
        <v>0</v>
      </c>
      <c r="AA744">
        <f>indirect(address(744,26))+indirect(address(742,27))-indirect(address(743,27))</f>
        <v>0</v>
      </c>
      <c r="AB744">
        <f>indirect(address(744,27))+indirect(address(742,28))-indirect(address(743,28))</f>
        <v>0</v>
      </c>
      <c r="AC744">
        <f>indirect(address(744,28))+indirect(address(742,29))-indirect(address(743,29))</f>
        <v>0</v>
      </c>
      <c r="AD744">
        <f>indirect(address(744,29))+indirect(address(742,30))-indirect(address(743,30))</f>
        <v>0</v>
      </c>
      <c r="AE744">
        <f>indirect(address(744,30))+indirect(address(742,31))-indirect(address(743,31))</f>
        <v>0</v>
      </c>
      <c r="AF744">
        <f>indirect(address(744,31))+indirect(address(742,32))-indirect(address(743,32))</f>
        <v>0</v>
      </c>
      <c r="AG744">
        <f>indirect(address(744,32))+indirect(address(742,33))-indirect(address(743,33))</f>
        <v>0</v>
      </c>
      <c r="AH744">
        <f>indirect(address(744,33))+indirect(address(742,34))-indirect(address(743,34))</f>
        <v>0</v>
      </c>
      <c r="AI744">
        <f>indirect(address(744,34))+indirect(address(742,35))-indirect(address(743,35))</f>
        <v>0</v>
      </c>
      <c r="AJ744">
        <f>indirect(address(744,35))+indirect(address(742,36))-indirect(address(743,36))</f>
        <v>0</v>
      </c>
      <c r="AK744">
        <f>indirect(address(744,36))+indirect(address(742,37))-indirect(address(743,37))</f>
        <v>0</v>
      </c>
      <c r="AL744">
        <f>indirect(address(744,37))+indirect(address(742,38))-indirect(address(743,38))</f>
        <v>0</v>
      </c>
      <c r="AM744">
        <f>indirect(address(744,38))+indirect(address(742,39))-indirect(address(743,39))</f>
        <v>0</v>
      </c>
      <c r="AN744">
        <f>indirect(address(744,39))+indirect(address(742,40))-indirect(address(743,40))</f>
        <v>0</v>
      </c>
      <c r="AO744">
        <f>indirect(address(744,40))</f>
        <v>0</v>
      </c>
    </row>
    <row r="745" spans="1:41">
      <c r="A745" t="s">
        <v>17</v>
      </c>
      <c r="B745" t="s">
        <v>792</v>
      </c>
      <c r="C745" t="s">
        <v>793</v>
      </c>
      <c r="E745">
        <v>1</v>
      </c>
      <c r="F745" t="s">
        <v>13</v>
      </c>
      <c r="I745" t="s">
        <v>15</v>
      </c>
      <c r="J745">
        <f>vlookup("906-487000-110",B:AZ,column(i1),0)*e745</f>
        <v>0</v>
      </c>
      <c r="K745">
        <f>vlookup("906-487000-110",B:AZ,column(j1),0)*e745</f>
        <v>0</v>
      </c>
      <c r="L745">
        <f>vlookup("906-487000-110",B:AZ,column(k1),0)*e745</f>
        <v>0</v>
      </c>
      <c r="M745">
        <f>vlookup("906-487000-110",B:AZ,column(l1),0)*e745</f>
        <v>0</v>
      </c>
      <c r="N745">
        <f>vlookup("906-487000-110",B:AZ,column(m1),0)*e745</f>
        <v>0</v>
      </c>
      <c r="O745">
        <f>vlookup("906-487000-110",B:AZ,column(n1),0)*e745</f>
        <v>0</v>
      </c>
      <c r="P745">
        <f>vlookup("906-487000-110",B:AZ,column(o1),0)*e745</f>
        <v>0</v>
      </c>
      <c r="Q745">
        <f>vlookup("906-487000-110",B:AZ,column(p1),0)*e745</f>
        <v>0</v>
      </c>
      <c r="R745">
        <f>vlookup("906-487000-110",B:AZ,column(q1),0)*e745</f>
        <v>0</v>
      </c>
      <c r="S745">
        <f>vlookup("906-487000-110",B:AZ,column(r1),0)*e745</f>
        <v>0</v>
      </c>
      <c r="T745">
        <f>vlookup("906-487000-110",B:AZ,column(s1),0)*e745</f>
        <v>0</v>
      </c>
      <c r="U745">
        <f>vlookup("906-487000-110",B:AZ,column(t1),0)*e745</f>
        <v>0</v>
      </c>
      <c r="V745">
        <f>vlookup("906-487000-110",B:AZ,column(u1),0)*e745</f>
        <v>0</v>
      </c>
      <c r="W745">
        <f>vlookup("906-487000-110",B:AZ,column(v1),0)*e745</f>
        <v>0</v>
      </c>
      <c r="X745">
        <f>vlookup("906-487000-110",B:AZ,column(w1),0)*e745</f>
        <v>0</v>
      </c>
      <c r="Y745">
        <f>vlookup("906-487000-110",B:AZ,column(x1),0)*e745</f>
        <v>0</v>
      </c>
      <c r="Z745">
        <f>vlookup("906-487000-110",B:AZ,column(y1),0)*e745</f>
        <v>0</v>
      </c>
      <c r="AA745">
        <f>vlookup("906-487000-110",B:AZ,column(z1),0)*e745</f>
        <v>0</v>
      </c>
      <c r="AB745">
        <f>vlookup("906-487000-110",B:AZ,column(aa1),0)*e745</f>
        <v>0</v>
      </c>
      <c r="AC745">
        <f>vlookup("906-487000-110",B:AZ,column(ab1),0)*e745</f>
        <v>0</v>
      </c>
      <c r="AD745">
        <f>vlookup("906-487000-110",B:AZ,column(ac1),0)*e745</f>
        <v>0</v>
      </c>
      <c r="AE745">
        <f>vlookup("906-487000-110",B:AZ,column(ad1),0)*e745</f>
        <v>0</v>
      </c>
      <c r="AF745">
        <f>vlookup("906-487000-110",B:AZ,column(ae1),0)*e745</f>
        <v>0</v>
      </c>
      <c r="AG745">
        <f>vlookup("906-487000-110",B:AZ,column(af1),0)*e745</f>
        <v>0</v>
      </c>
      <c r="AH745">
        <f>vlookup("906-487000-110",B:AZ,column(ag1),0)*e745</f>
        <v>0</v>
      </c>
      <c r="AI745">
        <f>vlookup("906-487000-110",B:AZ,column(ah1),0)*e745</f>
        <v>0</v>
      </c>
      <c r="AJ745">
        <f>vlookup("906-487000-110",B:AZ,column(ai1),0)*e745</f>
        <v>0</v>
      </c>
      <c r="AK745">
        <f>vlookup("906-487000-110",B:AZ,column(aj1),0)*e745</f>
        <v>0</v>
      </c>
      <c r="AL745">
        <f>vlookup("906-487000-110",B:AZ,column(ak1),0)*e745</f>
        <v>0</v>
      </c>
      <c r="AM745">
        <f>vlookup("906-487000-110",B:AZ,column(al1),0)*e745</f>
        <v>0</v>
      </c>
      <c r="AN745">
        <f>vlookup("906-487000-110",B:AZ,column(am1),0)*e745</f>
        <v>0</v>
      </c>
      <c r="AO745">
        <f>vlookup("906-487000-110",B:AZ,column(an1),0)*e745</f>
        <v>0</v>
      </c>
    </row>
    <row r="746" spans="1:41">
      <c r="A746" t="s">
        <v>17</v>
      </c>
      <c r="B746" t="s">
        <v>490</v>
      </c>
      <c r="C746" t="s">
        <v>794</v>
      </c>
      <c r="E746">
        <v>1</v>
      </c>
      <c r="F746" t="s">
        <v>13</v>
      </c>
      <c r="I746" t="s">
        <v>15</v>
      </c>
      <c r="J746">
        <f>vlookup("906-487000-110",B:AZ,column(i1),0)*e746</f>
        <v>0</v>
      </c>
      <c r="K746">
        <f>vlookup("906-487000-110",B:AZ,column(j1),0)*e746</f>
        <v>0</v>
      </c>
      <c r="L746">
        <f>vlookup("906-487000-110",B:AZ,column(k1),0)*e746</f>
        <v>0</v>
      </c>
      <c r="M746">
        <f>vlookup("906-487000-110",B:AZ,column(l1),0)*e746</f>
        <v>0</v>
      </c>
      <c r="N746">
        <f>vlookup("906-487000-110",B:AZ,column(m1),0)*e746</f>
        <v>0</v>
      </c>
      <c r="O746">
        <f>vlookup("906-487000-110",B:AZ,column(n1),0)*e746</f>
        <v>0</v>
      </c>
      <c r="P746">
        <f>vlookup("906-487000-110",B:AZ,column(o1),0)*e746</f>
        <v>0</v>
      </c>
      <c r="Q746">
        <f>vlookup("906-487000-110",B:AZ,column(p1),0)*e746</f>
        <v>0</v>
      </c>
      <c r="R746">
        <f>vlookup("906-487000-110",B:AZ,column(q1),0)*e746</f>
        <v>0</v>
      </c>
      <c r="S746">
        <f>vlookup("906-487000-110",B:AZ,column(r1),0)*e746</f>
        <v>0</v>
      </c>
      <c r="T746">
        <f>vlookup("906-487000-110",B:AZ,column(s1),0)*e746</f>
        <v>0</v>
      </c>
      <c r="U746">
        <f>vlookup("906-487000-110",B:AZ,column(t1),0)*e746</f>
        <v>0</v>
      </c>
      <c r="V746">
        <f>vlookup("906-487000-110",B:AZ,column(u1),0)*e746</f>
        <v>0</v>
      </c>
      <c r="W746">
        <f>vlookup("906-487000-110",B:AZ,column(v1),0)*e746</f>
        <v>0</v>
      </c>
      <c r="X746">
        <f>vlookup("906-487000-110",B:AZ,column(w1),0)*e746</f>
        <v>0</v>
      </c>
      <c r="Y746">
        <f>vlookup("906-487000-110",B:AZ,column(x1),0)*e746</f>
        <v>0</v>
      </c>
      <c r="Z746">
        <f>vlookup("906-487000-110",B:AZ,column(y1),0)*e746</f>
        <v>0</v>
      </c>
      <c r="AA746">
        <f>vlookup("906-487000-110",B:AZ,column(z1),0)*e746</f>
        <v>0</v>
      </c>
      <c r="AB746">
        <f>vlookup("906-487000-110",B:AZ,column(aa1),0)*e746</f>
        <v>0</v>
      </c>
      <c r="AC746">
        <f>vlookup("906-487000-110",B:AZ,column(ab1),0)*e746</f>
        <v>0</v>
      </c>
      <c r="AD746">
        <f>vlookup("906-487000-110",B:AZ,column(ac1),0)*e746</f>
        <v>0</v>
      </c>
      <c r="AE746">
        <f>vlookup("906-487000-110",B:AZ,column(ad1),0)*e746</f>
        <v>0</v>
      </c>
      <c r="AF746">
        <f>vlookup("906-487000-110",B:AZ,column(ae1),0)*e746</f>
        <v>0</v>
      </c>
      <c r="AG746">
        <f>vlookup("906-487000-110",B:AZ,column(af1),0)*e746</f>
        <v>0</v>
      </c>
      <c r="AH746">
        <f>vlookup("906-487000-110",B:AZ,column(ag1),0)*e746</f>
        <v>0</v>
      </c>
      <c r="AI746">
        <f>vlookup("906-487000-110",B:AZ,column(ah1),0)*e746</f>
        <v>0</v>
      </c>
      <c r="AJ746">
        <f>vlookup("906-487000-110",B:AZ,column(ai1),0)*e746</f>
        <v>0</v>
      </c>
      <c r="AK746">
        <f>vlookup("906-487000-110",B:AZ,column(aj1),0)*e746</f>
        <v>0</v>
      </c>
      <c r="AL746">
        <f>vlookup("906-487000-110",B:AZ,column(ak1),0)*e746</f>
        <v>0</v>
      </c>
      <c r="AM746">
        <f>vlookup("906-487000-110",B:AZ,column(al1),0)*e746</f>
        <v>0</v>
      </c>
      <c r="AN746">
        <f>vlookup("906-487000-110",B:AZ,column(am1),0)*e746</f>
        <v>0</v>
      </c>
      <c r="AO746">
        <f>vlookup("906-487000-110",B:AZ,column(an1),0)*e746</f>
        <v>0</v>
      </c>
    </row>
    <row r="747" spans="1:41">
      <c r="A747" t="s">
        <v>22</v>
      </c>
      <c r="B747" t="s">
        <v>795</v>
      </c>
      <c r="C747" t="s">
        <v>796</v>
      </c>
      <c r="E747">
        <v>1</v>
      </c>
      <c r="F747" t="s">
        <v>13</v>
      </c>
      <c r="I747" t="s">
        <v>15</v>
      </c>
      <c r="J747">
        <f>vlookup("906-487000-110",B:AZ,column(i1),0)*e747</f>
        <v>0</v>
      </c>
      <c r="K747">
        <f>vlookup("906-487000-110",B:AZ,column(j1),0)*e747</f>
        <v>0</v>
      </c>
      <c r="L747">
        <f>vlookup("906-487000-110",B:AZ,column(k1),0)*e747</f>
        <v>0</v>
      </c>
      <c r="M747">
        <f>vlookup("906-487000-110",B:AZ,column(l1),0)*e747</f>
        <v>0</v>
      </c>
      <c r="N747">
        <f>vlookup("906-487000-110",B:AZ,column(m1),0)*e747</f>
        <v>0</v>
      </c>
      <c r="O747">
        <f>vlookup("906-487000-110",B:AZ,column(n1),0)*e747</f>
        <v>0</v>
      </c>
      <c r="P747">
        <f>vlookup("906-487000-110",B:AZ,column(o1),0)*e747</f>
        <v>0</v>
      </c>
      <c r="Q747">
        <f>vlookup("906-487000-110",B:AZ,column(p1),0)*e747</f>
        <v>0</v>
      </c>
      <c r="R747">
        <f>vlookup("906-487000-110",B:AZ,column(q1),0)*e747</f>
        <v>0</v>
      </c>
      <c r="S747">
        <f>vlookup("906-487000-110",B:AZ,column(r1),0)*e747</f>
        <v>0</v>
      </c>
      <c r="T747">
        <f>vlookup("906-487000-110",B:AZ,column(s1),0)*e747</f>
        <v>0</v>
      </c>
      <c r="U747">
        <f>vlookup("906-487000-110",B:AZ,column(t1),0)*e747</f>
        <v>0</v>
      </c>
      <c r="V747">
        <f>vlookup("906-487000-110",B:AZ,column(u1),0)*e747</f>
        <v>0</v>
      </c>
      <c r="W747">
        <f>vlookup("906-487000-110",B:AZ,column(v1),0)*e747</f>
        <v>0</v>
      </c>
      <c r="X747">
        <f>vlookup("906-487000-110",B:AZ,column(w1),0)*e747</f>
        <v>0</v>
      </c>
      <c r="Y747">
        <f>vlookup("906-487000-110",B:AZ,column(x1),0)*e747</f>
        <v>0</v>
      </c>
      <c r="Z747">
        <f>vlookup("906-487000-110",B:AZ,column(y1),0)*e747</f>
        <v>0</v>
      </c>
      <c r="AA747">
        <f>vlookup("906-487000-110",B:AZ,column(z1),0)*e747</f>
        <v>0</v>
      </c>
      <c r="AB747">
        <f>vlookup("906-487000-110",B:AZ,column(aa1),0)*e747</f>
        <v>0</v>
      </c>
      <c r="AC747">
        <f>vlookup("906-487000-110",B:AZ,column(ab1),0)*e747</f>
        <v>0</v>
      </c>
      <c r="AD747">
        <f>vlookup("906-487000-110",B:AZ,column(ac1),0)*e747</f>
        <v>0</v>
      </c>
      <c r="AE747">
        <f>vlookup("906-487000-110",B:AZ,column(ad1),0)*e747</f>
        <v>0</v>
      </c>
      <c r="AF747">
        <f>vlookup("906-487000-110",B:AZ,column(ae1),0)*e747</f>
        <v>0</v>
      </c>
      <c r="AG747">
        <f>vlookup("906-487000-110",B:AZ,column(af1),0)*e747</f>
        <v>0</v>
      </c>
      <c r="AH747">
        <f>vlookup("906-487000-110",B:AZ,column(ag1),0)*e747</f>
        <v>0</v>
      </c>
      <c r="AI747">
        <f>vlookup("906-487000-110",B:AZ,column(ah1),0)*e747</f>
        <v>0</v>
      </c>
      <c r="AJ747">
        <f>vlookup("906-487000-110",B:AZ,column(ai1),0)*e747</f>
        <v>0</v>
      </c>
      <c r="AK747">
        <f>vlookup("906-487000-110",B:AZ,column(aj1),0)*e747</f>
        <v>0</v>
      </c>
      <c r="AL747">
        <f>vlookup("906-487000-110",B:AZ,column(ak1),0)*e747</f>
        <v>0</v>
      </c>
      <c r="AM747">
        <f>vlookup("906-487000-110",B:AZ,column(al1),0)*e747</f>
        <v>0</v>
      </c>
      <c r="AN747">
        <f>vlookup("906-487000-110",B:AZ,column(am1),0)*e747</f>
        <v>0</v>
      </c>
      <c r="AO747">
        <f>vlookup("906-487000-110",B:AZ,column(an1),0)*e747</f>
        <v>0</v>
      </c>
    </row>
    <row r="748" spans="1:41">
      <c r="A748" t="s">
        <v>10</v>
      </c>
      <c r="B748" t="s">
        <v>797</v>
      </c>
      <c r="C748" t="s">
        <v>796</v>
      </c>
      <c r="E748">
        <v>1</v>
      </c>
      <c r="F748" t="s">
        <v>13</v>
      </c>
      <c r="I748" t="s">
        <v>14</v>
      </c>
      <c r="AO748">
        <f>sum(j748:an748)</f>
        <v>0</v>
      </c>
    </row>
    <row r="749" spans="1:41">
      <c r="I749" t="s">
        <v>15</v>
      </c>
      <c r="J749">
        <f>vlookup("906-442000-110",Out!B:AZ,column(i1),0)</f>
        <v>0</v>
      </c>
      <c r="K749">
        <f>vlookup("906-442000-110",Out!B:AZ,column(j1),0)</f>
        <v>0</v>
      </c>
      <c r="L749">
        <f>vlookup("906-442000-110",Out!B:AZ,column(k1),0)</f>
        <v>0</v>
      </c>
      <c r="M749">
        <f>vlookup("906-442000-110",Out!B:AZ,column(l1),0)</f>
        <v>0</v>
      </c>
      <c r="N749">
        <f>vlookup("906-442000-110",Out!B:AZ,column(m1),0)</f>
        <v>0</v>
      </c>
      <c r="O749">
        <f>vlookup("906-442000-110",Out!B:AZ,column(n1),0)</f>
        <v>0</v>
      </c>
      <c r="P749">
        <f>vlookup("906-442000-110",Out!B:AZ,column(o1),0)</f>
        <v>0</v>
      </c>
      <c r="Q749">
        <f>vlookup("906-442000-110",Out!B:AZ,column(p1),0)</f>
        <v>0</v>
      </c>
      <c r="R749">
        <f>vlookup("906-442000-110",Out!B:AZ,column(q1),0)</f>
        <v>0</v>
      </c>
      <c r="S749">
        <f>vlookup("906-442000-110",Out!B:AZ,column(r1),0)</f>
        <v>0</v>
      </c>
      <c r="T749">
        <f>vlookup("906-442000-110",Out!B:AZ,column(s1),0)</f>
        <v>0</v>
      </c>
      <c r="U749">
        <f>vlookup("906-442000-110",Out!B:AZ,column(t1),0)</f>
        <v>0</v>
      </c>
      <c r="V749">
        <f>vlookup("906-442000-110",Out!B:AZ,column(u1),0)</f>
        <v>0</v>
      </c>
      <c r="W749">
        <f>vlookup("906-442000-110",Out!B:AZ,column(v1),0)</f>
        <v>0</v>
      </c>
      <c r="X749">
        <f>vlookup("906-442000-110",Out!B:AZ,column(w1),0)</f>
        <v>0</v>
      </c>
      <c r="Y749">
        <f>vlookup("906-442000-110",Out!B:AZ,column(x1),0)</f>
        <v>0</v>
      </c>
      <c r="Z749">
        <f>vlookup("906-442000-110",Out!B:AZ,column(y1),0)</f>
        <v>0</v>
      </c>
      <c r="AA749">
        <f>vlookup("906-442000-110",Out!B:AZ,column(z1),0)</f>
        <v>0</v>
      </c>
      <c r="AB749">
        <f>vlookup("906-442000-110",Out!B:AZ,column(aa1),0)</f>
        <v>0</v>
      </c>
      <c r="AC749">
        <f>vlookup("906-442000-110",Out!B:AZ,column(ab1),0)</f>
        <v>0</v>
      </c>
      <c r="AD749">
        <f>vlookup("906-442000-110",Out!B:AZ,column(ac1),0)</f>
        <v>0</v>
      </c>
      <c r="AE749">
        <f>vlookup("906-442000-110",Out!B:AZ,column(ad1),0)</f>
        <v>0</v>
      </c>
      <c r="AF749">
        <f>vlookup("906-442000-110",Out!B:AZ,column(ae1),0)</f>
        <v>0</v>
      </c>
      <c r="AG749">
        <f>vlookup("906-442000-110",Out!B:AZ,column(af1),0)</f>
        <v>0</v>
      </c>
      <c r="AH749">
        <f>vlookup("906-442000-110",Out!B:AZ,column(ag1),0)</f>
        <v>0</v>
      </c>
      <c r="AI749">
        <f>vlookup("906-442000-110",Out!B:AZ,column(ah1),0)</f>
        <v>0</v>
      </c>
      <c r="AJ749">
        <f>vlookup("906-442000-110",Out!B:AZ,column(ai1),0)</f>
        <v>0</v>
      </c>
      <c r="AK749">
        <f>vlookup("906-442000-110",Out!B:AZ,column(aj1),0)</f>
        <v>0</v>
      </c>
      <c r="AL749">
        <f>vlookup("906-442000-110",Out!B:AZ,column(ak1),0)</f>
        <v>0</v>
      </c>
      <c r="AM749">
        <f>vlookup("906-442000-110",Out!B:AZ,column(al1),0)</f>
        <v>0</v>
      </c>
      <c r="AN749">
        <f>vlookup("906-442000-110",Out!B:AZ,column(am1),0)</f>
        <v>0</v>
      </c>
      <c r="AO749">
        <f>vlookup("906-442000-110",Out!B:AZ,column(an1),0)</f>
        <v>0</v>
      </c>
    </row>
    <row r="750" spans="1:41">
      <c r="H750" t="s">
        <v>16</v>
      </c>
      <c r="J750">
        <f>indirect(address(750,9))+indirect(address(748,10))-indirect(address(749,10))</f>
        <v>0</v>
      </c>
      <c r="K750">
        <f>indirect(address(750,10))+indirect(address(748,11))-indirect(address(749,11))</f>
        <v>0</v>
      </c>
      <c r="L750">
        <f>indirect(address(750,11))+indirect(address(748,12))-indirect(address(749,12))</f>
        <v>0</v>
      </c>
      <c r="M750">
        <f>indirect(address(750,12))+indirect(address(748,13))-indirect(address(749,13))</f>
        <v>0</v>
      </c>
      <c r="N750">
        <f>indirect(address(750,13))+indirect(address(748,14))-indirect(address(749,14))</f>
        <v>0</v>
      </c>
      <c r="O750">
        <f>indirect(address(750,14))+indirect(address(748,15))-indirect(address(749,15))</f>
        <v>0</v>
      </c>
      <c r="P750">
        <f>indirect(address(750,15))+indirect(address(748,16))-indirect(address(749,16))</f>
        <v>0</v>
      </c>
      <c r="Q750">
        <f>indirect(address(750,16))+indirect(address(748,17))-indirect(address(749,17))</f>
        <v>0</v>
      </c>
      <c r="R750">
        <f>indirect(address(750,17))+indirect(address(748,18))-indirect(address(749,18))</f>
        <v>0</v>
      </c>
      <c r="S750">
        <f>indirect(address(750,18))+indirect(address(748,19))-indirect(address(749,19))</f>
        <v>0</v>
      </c>
      <c r="T750">
        <f>indirect(address(750,19))+indirect(address(748,20))-indirect(address(749,20))</f>
        <v>0</v>
      </c>
      <c r="U750">
        <f>indirect(address(750,20))+indirect(address(748,21))-indirect(address(749,21))</f>
        <v>0</v>
      </c>
      <c r="V750">
        <f>indirect(address(750,21))+indirect(address(748,22))-indirect(address(749,22))</f>
        <v>0</v>
      </c>
      <c r="W750">
        <f>indirect(address(750,22))+indirect(address(748,23))-indirect(address(749,23))</f>
        <v>0</v>
      </c>
      <c r="X750">
        <f>indirect(address(750,23))+indirect(address(748,24))-indirect(address(749,24))</f>
        <v>0</v>
      </c>
      <c r="Y750">
        <f>indirect(address(750,24))+indirect(address(748,25))-indirect(address(749,25))</f>
        <v>0</v>
      </c>
      <c r="Z750">
        <f>indirect(address(750,25))+indirect(address(748,26))-indirect(address(749,26))</f>
        <v>0</v>
      </c>
      <c r="AA750">
        <f>indirect(address(750,26))+indirect(address(748,27))-indirect(address(749,27))</f>
        <v>0</v>
      </c>
      <c r="AB750">
        <f>indirect(address(750,27))+indirect(address(748,28))-indirect(address(749,28))</f>
        <v>0</v>
      </c>
      <c r="AC750">
        <f>indirect(address(750,28))+indirect(address(748,29))-indirect(address(749,29))</f>
        <v>0</v>
      </c>
      <c r="AD750">
        <f>indirect(address(750,29))+indirect(address(748,30))-indirect(address(749,30))</f>
        <v>0</v>
      </c>
      <c r="AE750">
        <f>indirect(address(750,30))+indirect(address(748,31))-indirect(address(749,31))</f>
        <v>0</v>
      </c>
      <c r="AF750">
        <f>indirect(address(750,31))+indirect(address(748,32))-indirect(address(749,32))</f>
        <v>0</v>
      </c>
      <c r="AG750">
        <f>indirect(address(750,32))+indirect(address(748,33))-indirect(address(749,33))</f>
        <v>0</v>
      </c>
      <c r="AH750">
        <f>indirect(address(750,33))+indirect(address(748,34))-indirect(address(749,34))</f>
        <v>0</v>
      </c>
      <c r="AI750">
        <f>indirect(address(750,34))+indirect(address(748,35))-indirect(address(749,35))</f>
        <v>0</v>
      </c>
      <c r="AJ750">
        <f>indirect(address(750,35))+indirect(address(748,36))-indirect(address(749,36))</f>
        <v>0</v>
      </c>
      <c r="AK750">
        <f>indirect(address(750,36))+indirect(address(748,37))-indirect(address(749,37))</f>
        <v>0</v>
      </c>
      <c r="AL750">
        <f>indirect(address(750,37))+indirect(address(748,38))-indirect(address(749,38))</f>
        <v>0</v>
      </c>
      <c r="AM750">
        <f>indirect(address(750,38))+indirect(address(748,39))-indirect(address(749,39))</f>
        <v>0</v>
      </c>
      <c r="AN750">
        <f>indirect(address(750,39))+indirect(address(748,40))-indirect(address(749,40))</f>
        <v>0</v>
      </c>
      <c r="AO750">
        <f>indirect(address(750,40))</f>
        <v>0</v>
      </c>
    </row>
    <row r="751" spans="1:41">
      <c r="A751" t="s">
        <v>17</v>
      </c>
      <c r="B751" t="s">
        <v>798</v>
      </c>
      <c r="C751" t="s">
        <v>796</v>
      </c>
      <c r="E751">
        <v>1</v>
      </c>
      <c r="F751" t="s">
        <v>13</v>
      </c>
      <c r="I751" t="s">
        <v>15</v>
      </c>
      <c r="J751">
        <f>vlookup("906-442000-110",B:AZ,column(i1),0)*e751</f>
        <v>0</v>
      </c>
      <c r="K751">
        <f>vlookup("906-442000-110",B:AZ,column(j1),0)*e751</f>
        <v>0</v>
      </c>
      <c r="L751">
        <f>vlookup("906-442000-110",B:AZ,column(k1),0)*e751</f>
        <v>0</v>
      </c>
      <c r="M751">
        <f>vlookup("906-442000-110",B:AZ,column(l1),0)*e751</f>
        <v>0</v>
      </c>
      <c r="N751">
        <f>vlookup("906-442000-110",B:AZ,column(m1),0)*e751</f>
        <v>0</v>
      </c>
      <c r="O751">
        <f>vlookup("906-442000-110",B:AZ,column(n1),0)*e751</f>
        <v>0</v>
      </c>
      <c r="P751">
        <f>vlookup("906-442000-110",B:AZ,column(o1),0)*e751</f>
        <v>0</v>
      </c>
      <c r="Q751">
        <f>vlookup("906-442000-110",B:AZ,column(p1),0)*e751</f>
        <v>0</v>
      </c>
      <c r="R751">
        <f>vlookup("906-442000-110",B:AZ,column(q1),0)*e751</f>
        <v>0</v>
      </c>
      <c r="S751">
        <f>vlookup("906-442000-110",B:AZ,column(r1),0)*e751</f>
        <v>0</v>
      </c>
      <c r="T751">
        <f>vlookup("906-442000-110",B:AZ,column(s1),0)*e751</f>
        <v>0</v>
      </c>
      <c r="U751">
        <f>vlookup("906-442000-110",B:AZ,column(t1),0)*e751</f>
        <v>0</v>
      </c>
      <c r="V751">
        <f>vlookup("906-442000-110",B:AZ,column(u1),0)*e751</f>
        <v>0</v>
      </c>
      <c r="W751">
        <f>vlookup("906-442000-110",B:AZ,column(v1),0)*e751</f>
        <v>0</v>
      </c>
      <c r="X751">
        <f>vlookup("906-442000-110",B:AZ,column(w1),0)*e751</f>
        <v>0</v>
      </c>
      <c r="Y751">
        <f>vlookup("906-442000-110",B:AZ,column(x1),0)*e751</f>
        <v>0</v>
      </c>
      <c r="Z751">
        <f>vlookup("906-442000-110",B:AZ,column(y1),0)*e751</f>
        <v>0</v>
      </c>
      <c r="AA751">
        <f>vlookup("906-442000-110",B:AZ,column(z1),0)*e751</f>
        <v>0</v>
      </c>
      <c r="AB751">
        <f>vlookup("906-442000-110",B:AZ,column(aa1),0)*e751</f>
        <v>0</v>
      </c>
      <c r="AC751">
        <f>vlookup("906-442000-110",B:AZ,column(ab1),0)*e751</f>
        <v>0</v>
      </c>
      <c r="AD751">
        <f>vlookup("906-442000-110",B:AZ,column(ac1),0)*e751</f>
        <v>0</v>
      </c>
      <c r="AE751">
        <f>vlookup("906-442000-110",B:AZ,column(ad1),0)*e751</f>
        <v>0</v>
      </c>
      <c r="AF751">
        <f>vlookup("906-442000-110",B:AZ,column(ae1),0)*e751</f>
        <v>0</v>
      </c>
      <c r="AG751">
        <f>vlookup("906-442000-110",B:AZ,column(af1),0)*e751</f>
        <v>0</v>
      </c>
      <c r="AH751">
        <f>vlookup("906-442000-110",B:AZ,column(ag1),0)*e751</f>
        <v>0</v>
      </c>
      <c r="AI751">
        <f>vlookup("906-442000-110",B:AZ,column(ah1),0)*e751</f>
        <v>0</v>
      </c>
      <c r="AJ751">
        <f>vlookup("906-442000-110",B:AZ,column(ai1),0)*e751</f>
        <v>0</v>
      </c>
      <c r="AK751">
        <f>vlookup("906-442000-110",B:AZ,column(aj1),0)*e751</f>
        <v>0</v>
      </c>
      <c r="AL751">
        <f>vlookup("906-442000-110",B:AZ,column(ak1),0)*e751</f>
        <v>0</v>
      </c>
      <c r="AM751">
        <f>vlookup("906-442000-110",B:AZ,column(al1),0)*e751</f>
        <v>0</v>
      </c>
      <c r="AN751">
        <f>vlookup("906-442000-110",B:AZ,column(am1),0)*e751</f>
        <v>0</v>
      </c>
      <c r="AO751">
        <f>vlookup("906-442000-110",B:AZ,column(an1),0)*e751</f>
        <v>0</v>
      </c>
    </row>
    <row r="752" spans="1:41">
      <c r="A752" t="s">
        <v>22</v>
      </c>
      <c r="B752" t="s">
        <v>798</v>
      </c>
      <c r="C752" t="s">
        <v>796</v>
      </c>
      <c r="E752">
        <v>0.33</v>
      </c>
      <c r="F752" t="s">
        <v>13</v>
      </c>
      <c r="I752" t="s">
        <v>15</v>
      </c>
      <c r="J752">
        <f>vlookup("906-442000-110",B:AZ,column(i1),0)*e752</f>
        <v>0</v>
      </c>
      <c r="K752">
        <f>vlookup("906-442000-110",B:AZ,column(j1),0)*e752</f>
        <v>0</v>
      </c>
      <c r="L752">
        <f>vlookup("906-442000-110",B:AZ,column(k1),0)*e752</f>
        <v>0</v>
      </c>
      <c r="M752">
        <f>vlookup("906-442000-110",B:AZ,column(l1),0)*e752</f>
        <v>0</v>
      </c>
      <c r="N752">
        <f>vlookup("906-442000-110",B:AZ,column(m1),0)*e752</f>
        <v>0</v>
      </c>
      <c r="O752">
        <f>vlookup("906-442000-110",B:AZ,column(n1),0)*e752</f>
        <v>0</v>
      </c>
      <c r="P752">
        <f>vlookup("906-442000-110",B:AZ,column(o1),0)*e752</f>
        <v>0</v>
      </c>
      <c r="Q752">
        <f>vlookup("906-442000-110",B:AZ,column(p1),0)*e752</f>
        <v>0</v>
      </c>
      <c r="R752">
        <f>vlookup("906-442000-110",B:AZ,column(q1),0)*e752</f>
        <v>0</v>
      </c>
      <c r="S752">
        <f>vlookup("906-442000-110",B:AZ,column(r1),0)*e752</f>
        <v>0</v>
      </c>
      <c r="T752">
        <f>vlookup("906-442000-110",B:AZ,column(s1),0)*e752</f>
        <v>0</v>
      </c>
      <c r="U752">
        <f>vlookup("906-442000-110",B:AZ,column(t1),0)*e752</f>
        <v>0</v>
      </c>
      <c r="V752">
        <f>vlookup("906-442000-110",B:AZ,column(u1),0)*e752</f>
        <v>0</v>
      </c>
      <c r="W752">
        <f>vlookup("906-442000-110",B:AZ,column(v1),0)*e752</f>
        <v>0</v>
      </c>
      <c r="X752">
        <f>vlookup("906-442000-110",B:AZ,column(w1),0)*e752</f>
        <v>0</v>
      </c>
      <c r="Y752">
        <f>vlookup("906-442000-110",B:AZ,column(x1),0)*e752</f>
        <v>0</v>
      </c>
      <c r="Z752">
        <f>vlookup("906-442000-110",B:AZ,column(y1),0)*e752</f>
        <v>0</v>
      </c>
      <c r="AA752">
        <f>vlookup("906-442000-110",B:AZ,column(z1),0)*e752</f>
        <v>0</v>
      </c>
      <c r="AB752">
        <f>vlookup("906-442000-110",B:AZ,column(aa1),0)*e752</f>
        <v>0</v>
      </c>
      <c r="AC752">
        <f>vlookup("906-442000-110",B:AZ,column(ab1),0)*e752</f>
        <v>0</v>
      </c>
      <c r="AD752">
        <f>vlookup("906-442000-110",B:AZ,column(ac1),0)*e752</f>
        <v>0</v>
      </c>
      <c r="AE752">
        <f>vlookup("906-442000-110",B:AZ,column(ad1),0)*e752</f>
        <v>0</v>
      </c>
      <c r="AF752">
        <f>vlookup("906-442000-110",B:AZ,column(ae1),0)*e752</f>
        <v>0</v>
      </c>
      <c r="AG752">
        <f>vlookup("906-442000-110",B:AZ,column(af1),0)*e752</f>
        <v>0</v>
      </c>
      <c r="AH752">
        <f>vlookup("906-442000-110",B:AZ,column(ag1),0)*e752</f>
        <v>0</v>
      </c>
      <c r="AI752">
        <f>vlookup("906-442000-110",B:AZ,column(ah1),0)*e752</f>
        <v>0</v>
      </c>
      <c r="AJ752">
        <f>vlookup("906-442000-110",B:AZ,column(ai1),0)*e752</f>
        <v>0</v>
      </c>
      <c r="AK752">
        <f>vlookup("906-442000-110",B:AZ,column(aj1),0)*e752</f>
        <v>0</v>
      </c>
      <c r="AL752">
        <f>vlookup("906-442000-110",B:AZ,column(ak1),0)*e752</f>
        <v>0</v>
      </c>
      <c r="AM752">
        <f>vlookup("906-442000-110",B:AZ,column(al1),0)*e752</f>
        <v>0</v>
      </c>
      <c r="AN752">
        <f>vlookup("906-442000-110",B:AZ,column(am1),0)*e752</f>
        <v>0</v>
      </c>
      <c r="AO752">
        <f>vlookup("906-442000-110",B:AZ,column(an1),0)*e752</f>
        <v>0</v>
      </c>
    </row>
    <row r="753" spans="1:41">
      <c r="A753" t="s">
        <v>22</v>
      </c>
      <c r="B753" t="s">
        <v>799</v>
      </c>
      <c r="C753" t="s">
        <v>796</v>
      </c>
      <c r="E753">
        <v>1</v>
      </c>
      <c r="F753" t="s">
        <v>13</v>
      </c>
      <c r="I753" t="s">
        <v>15</v>
      </c>
      <c r="J753">
        <f>vlookup("906-442000-110",B:AZ,column(i1),0)*e753</f>
        <v>0</v>
      </c>
      <c r="K753">
        <f>vlookup("906-442000-110",B:AZ,column(j1),0)*e753</f>
        <v>0</v>
      </c>
      <c r="L753">
        <f>vlookup("906-442000-110",B:AZ,column(k1),0)*e753</f>
        <v>0</v>
      </c>
      <c r="M753">
        <f>vlookup("906-442000-110",B:AZ,column(l1),0)*e753</f>
        <v>0</v>
      </c>
      <c r="N753">
        <f>vlookup("906-442000-110",B:AZ,column(m1),0)*e753</f>
        <v>0</v>
      </c>
      <c r="O753">
        <f>vlookup("906-442000-110",B:AZ,column(n1),0)*e753</f>
        <v>0</v>
      </c>
      <c r="P753">
        <f>vlookup("906-442000-110",B:AZ,column(o1),0)*e753</f>
        <v>0</v>
      </c>
      <c r="Q753">
        <f>vlookup("906-442000-110",B:AZ,column(p1),0)*e753</f>
        <v>0</v>
      </c>
      <c r="R753">
        <f>vlookup("906-442000-110",B:AZ,column(q1),0)*e753</f>
        <v>0</v>
      </c>
      <c r="S753">
        <f>vlookup("906-442000-110",B:AZ,column(r1),0)*e753</f>
        <v>0</v>
      </c>
      <c r="T753">
        <f>vlookup("906-442000-110",B:AZ,column(s1),0)*e753</f>
        <v>0</v>
      </c>
      <c r="U753">
        <f>vlookup("906-442000-110",B:AZ,column(t1),0)*e753</f>
        <v>0</v>
      </c>
      <c r="V753">
        <f>vlookup("906-442000-110",B:AZ,column(u1),0)*e753</f>
        <v>0</v>
      </c>
      <c r="W753">
        <f>vlookup("906-442000-110",B:AZ,column(v1),0)*e753</f>
        <v>0</v>
      </c>
      <c r="X753">
        <f>vlookup("906-442000-110",B:AZ,column(w1),0)*e753</f>
        <v>0</v>
      </c>
      <c r="Y753">
        <f>vlookup("906-442000-110",B:AZ,column(x1),0)*e753</f>
        <v>0</v>
      </c>
      <c r="Z753">
        <f>vlookup("906-442000-110",B:AZ,column(y1),0)*e753</f>
        <v>0</v>
      </c>
      <c r="AA753">
        <f>vlookup("906-442000-110",B:AZ,column(z1),0)*e753</f>
        <v>0</v>
      </c>
      <c r="AB753">
        <f>vlookup("906-442000-110",B:AZ,column(aa1),0)*e753</f>
        <v>0</v>
      </c>
      <c r="AC753">
        <f>vlookup("906-442000-110",B:AZ,column(ab1),0)*e753</f>
        <v>0</v>
      </c>
      <c r="AD753">
        <f>vlookup("906-442000-110",B:AZ,column(ac1),0)*e753</f>
        <v>0</v>
      </c>
      <c r="AE753">
        <f>vlookup("906-442000-110",B:AZ,column(ad1),0)*e753</f>
        <v>0</v>
      </c>
      <c r="AF753">
        <f>vlookup("906-442000-110",B:AZ,column(ae1),0)*e753</f>
        <v>0</v>
      </c>
      <c r="AG753">
        <f>vlookup("906-442000-110",B:AZ,column(af1),0)*e753</f>
        <v>0</v>
      </c>
      <c r="AH753">
        <f>vlookup("906-442000-110",B:AZ,column(ag1),0)*e753</f>
        <v>0</v>
      </c>
      <c r="AI753">
        <f>vlookup("906-442000-110",B:AZ,column(ah1),0)*e753</f>
        <v>0</v>
      </c>
      <c r="AJ753">
        <f>vlookup("906-442000-110",B:AZ,column(ai1),0)*e753</f>
        <v>0</v>
      </c>
      <c r="AK753">
        <f>vlookup("906-442000-110",B:AZ,column(aj1),0)*e753</f>
        <v>0</v>
      </c>
      <c r="AL753">
        <f>vlookup("906-442000-110",B:AZ,column(ak1),0)*e753</f>
        <v>0</v>
      </c>
      <c r="AM753">
        <f>vlookup("906-442000-110",B:AZ,column(al1),0)*e753</f>
        <v>0</v>
      </c>
      <c r="AN753">
        <f>vlookup("906-442000-110",B:AZ,column(am1),0)*e753</f>
        <v>0</v>
      </c>
      <c r="AO753">
        <f>vlookup("906-442000-110",B:AZ,column(an1),0)*e753</f>
        <v>0</v>
      </c>
    </row>
    <row r="754" spans="1:41">
      <c r="A754" t="s">
        <v>10</v>
      </c>
      <c r="B754" t="s">
        <v>800</v>
      </c>
      <c r="C754" t="s">
        <v>796</v>
      </c>
      <c r="E754">
        <v>1</v>
      </c>
      <c r="F754" t="s">
        <v>13</v>
      </c>
      <c r="I754" t="s">
        <v>14</v>
      </c>
      <c r="AO754">
        <f>sum(j754:an754)</f>
        <v>0</v>
      </c>
    </row>
    <row r="755" spans="1:41">
      <c r="I755" t="s">
        <v>15</v>
      </c>
      <c r="J755">
        <f>vlookup("906-442000-210",Out!B:AZ,column(i1),0)</f>
        <v>0</v>
      </c>
      <c r="K755">
        <f>vlookup("906-442000-210",Out!B:AZ,column(j1),0)</f>
        <v>0</v>
      </c>
      <c r="L755">
        <f>vlookup("906-442000-210",Out!B:AZ,column(k1),0)</f>
        <v>0</v>
      </c>
      <c r="M755">
        <f>vlookup("906-442000-210",Out!B:AZ,column(l1),0)</f>
        <v>0</v>
      </c>
      <c r="N755">
        <f>vlookup("906-442000-210",Out!B:AZ,column(m1),0)</f>
        <v>0</v>
      </c>
      <c r="O755">
        <f>vlookup("906-442000-210",Out!B:AZ,column(n1),0)</f>
        <v>0</v>
      </c>
      <c r="P755">
        <f>vlookup("906-442000-210",Out!B:AZ,column(o1),0)</f>
        <v>0</v>
      </c>
      <c r="Q755">
        <f>vlookup("906-442000-210",Out!B:AZ,column(p1),0)</f>
        <v>0</v>
      </c>
      <c r="R755">
        <f>vlookup("906-442000-210",Out!B:AZ,column(q1),0)</f>
        <v>0</v>
      </c>
      <c r="S755">
        <f>vlookup("906-442000-210",Out!B:AZ,column(r1),0)</f>
        <v>0</v>
      </c>
      <c r="T755">
        <f>vlookup("906-442000-210",Out!B:AZ,column(s1),0)</f>
        <v>0</v>
      </c>
      <c r="U755">
        <f>vlookup("906-442000-210",Out!B:AZ,column(t1),0)</f>
        <v>0</v>
      </c>
      <c r="V755">
        <f>vlookup("906-442000-210",Out!B:AZ,column(u1),0)</f>
        <v>0</v>
      </c>
      <c r="W755">
        <f>vlookup("906-442000-210",Out!B:AZ,column(v1),0)</f>
        <v>0</v>
      </c>
      <c r="X755">
        <f>vlookup("906-442000-210",Out!B:AZ,column(w1),0)</f>
        <v>0</v>
      </c>
      <c r="Y755">
        <f>vlookup("906-442000-210",Out!B:AZ,column(x1),0)</f>
        <v>0</v>
      </c>
      <c r="Z755">
        <f>vlookup("906-442000-210",Out!B:AZ,column(y1),0)</f>
        <v>0</v>
      </c>
      <c r="AA755">
        <f>vlookup("906-442000-210",Out!B:AZ,column(z1),0)</f>
        <v>0</v>
      </c>
      <c r="AB755">
        <f>vlookup("906-442000-210",Out!B:AZ,column(aa1),0)</f>
        <v>0</v>
      </c>
      <c r="AC755">
        <f>vlookup("906-442000-210",Out!B:AZ,column(ab1),0)</f>
        <v>0</v>
      </c>
      <c r="AD755">
        <f>vlookup("906-442000-210",Out!B:AZ,column(ac1),0)</f>
        <v>0</v>
      </c>
      <c r="AE755">
        <f>vlookup("906-442000-210",Out!B:AZ,column(ad1),0)</f>
        <v>0</v>
      </c>
      <c r="AF755">
        <f>vlookup("906-442000-210",Out!B:AZ,column(ae1),0)</f>
        <v>0</v>
      </c>
      <c r="AG755">
        <f>vlookup("906-442000-210",Out!B:AZ,column(af1),0)</f>
        <v>0</v>
      </c>
      <c r="AH755">
        <f>vlookup("906-442000-210",Out!B:AZ,column(ag1),0)</f>
        <v>0</v>
      </c>
      <c r="AI755">
        <f>vlookup("906-442000-210",Out!B:AZ,column(ah1),0)</f>
        <v>0</v>
      </c>
      <c r="AJ755">
        <f>vlookup("906-442000-210",Out!B:AZ,column(ai1),0)</f>
        <v>0</v>
      </c>
      <c r="AK755">
        <f>vlookup("906-442000-210",Out!B:AZ,column(aj1),0)</f>
        <v>0</v>
      </c>
      <c r="AL755">
        <f>vlookup("906-442000-210",Out!B:AZ,column(ak1),0)</f>
        <v>0</v>
      </c>
      <c r="AM755">
        <f>vlookup("906-442000-210",Out!B:AZ,column(al1),0)</f>
        <v>0</v>
      </c>
      <c r="AN755">
        <f>vlookup("906-442000-210",Out!B:AZ,column(am1),0)</f>
        <v>0</v>
      </c>
      <c r="AO755">
        <f>vlookup("906-442000-210",Out!B:AZ,column(an1),0)</f>
        <v>0</v>
      </c>
    </row>
    <row r="756" spans="1:41">
      <c r="H756" t="s">
        <v>16</v>
      </c>
      <c r="J756">
        <f>indirect(address(756,9))+indirect(address(754,10))-indirect(address(755,10))</f>
        <v>0</v>
      </c>
      <c r="K756">
        <f>indirect(address(756,10))+indirect(address(754,11))-indirect(address(755,11))</f>
        <v>0</v>
      </c>
      <c r="L756">
        <f>indirect(address(756,11))+indirect(address(754,12))-indirect(address(755,12))</f>
        <v>0</v>
      </c>
      <c r="M756">
        <f>indirect(address(756,12))+indirect(address(754,13))-indirect(address(755,13))</f>
        <v>0</v>
      </c>
      <c r="N756">
        <f>indirect(address(756,13))+indirect(address(754,14))-indirect(address(755,14))</f>
        <v>0</v>
      </c>
      <c r="O756">
        <f>indirect(address(756,14))+indirect(address(754,15))-indirect(address(755,15))</f>
        <v>0</v>
      </c>
      <c r="P756">
        <f>indirect(address(756,15))+indirect(address(754,16))-indirect(address(755,16))</f>
        <v>0</v>
      </c>
      <c r="Q756">
        <f>indirect(address(756,16))+indirect(address(754,17))-indirect(address(755,17))</f>
        <v>0</v>
      </c>
      <c r="R756">
        <f>indirect(address(756,17))+indirect(address(754,18))-indirect(address(755,18))</f>
        <v>0</v>
      </c>
      <c r="S756">
        <f>indirect(address(756,18))+indirect(address(754,19))-indirect(address(755,19))</f>
        <v>0</v>
      </c>
      <c r="T756">
        <f>indirect(address(756,19))+indirect(address(754,20))-indirect(address(755,20))</f>
        <v>0</v>
      </c>
      <c r="U756">
        <f>indirect(address(756,20))+indirect(address(754,21))-indirect(address(755,21))</f>
        <v>0</v>
      </c>
      <c r="V756">
        <f>indirect(address(756,21))+indirect(address(754,22))-indirect(address(755,22))</f>
        <v>0</v>
      </c>
      <c r="W756">
        <f>indirect(address(756,22))+indirect(address(754,23))-indirect(address(755,23))</f>
        <v>0</v>
      </c>
      <c r="X756">
        <f>indirect(address(756,23))+indirect(address(754,24))-indirect(address(755,24))</f>
        <v>0</v>
      </c>
      <c r="Y756">
        <f>indirect(address(756,24))+indirect(address(754,25))-indirect(address(755,25))</f>
        <v>0</v>
      </c>
      <c r="Z756">
        <f>indirect(address(756,25))+indirect(address(754,26))-indirect(address(755,26))</f>
        <v>0</v>
      </c>
      <c r="AA756">
        <f>indirect(address(756,26))+indirect(address(754,27))-indirect(address(755,27))</f>
        <v>0</v>
      </c>
      <c r="AB756">
        <f>indirect(address(756,27))+indirect(address(754,28))-indirect(address(755,28))</f>
        <v>0</v>
      </c>
      <c r="AC756">
        <f>indirect(address(756,28))+indirect(address(754,29))-indirect(address(755,29))</f>
        <v>0</v>
      </c>
      <c r="AD756">
        <f>indirect(address(756,29))+indirect(address(754,30))-indirect(address(755,30))</f>
        <v>0</v>
      </c>
      <c r="AE756">
        <f>indirect(address(756,30))+indirect(address(754,31))-indirect(address(755,31))</f>
        <v>0</v>
      </c>
      <c r="AF756">
        <f>indirect(address(756,31))+indirect(address(754,32))-indirect(address(755,32))</f>
        <v>0</v>
      </c>
      <c r="AG756">
        <f>indirect(address(756,32))+indirect(address(754,33))-indirect(address(755,33))</f>
        <v>0</v>
      </c>
      <c r="AH756">
        <f>indirect(address(756,33))+indirect(address(754,34))-indirect(address(755,34))</f>
        <v>0</v>
      </c>
      <c r="AI756">
        <f>indirect(address(756,34))+indirect(address(754,35))-indirect(address(755,35))</f>
        <v>0</v>
      </c>
      <c r="AJ756">
        <f>indirect(address(756,35))+indirect(address(754,36))-indirect(address(755,36))</f>
        <v>0</v>
      </c>
      <c r="AK756">
        <f>indirect(address(756,36))+indirect(address(754,37))-indirect(address(755,37))</f>
        <v>0</v>
      </c>
      <c r="AL756">
        <f>indirect(address(756,37))+indirect(address(754,38))-indirect(address(755,38))</f>
        <v>0</v>
      </c>
      <c r="AM756">
        <f>indirect(address(756,38))+indirect(address(754,39))-indirect(address(755,39))</f>
        <v>0</v>
      </c>
      <c r="AN756">
        <f>indirect(address(756,39))+indirect(address(754,40))-indirect(address(755,40))</f>
        <v>0</v>
      </c>
      <c r="AO756">
        <f>indirect(address(756,40))</f>
        <v>0</v>
      </c>
    </row>
    <row r="757" spans="1:41">
      <c r="A757" t="s">
        <v>17</v>
      </c>
      <c r="B757" t="s">
        <v>801</v>
      </c>
      <c r="C757" t="s">
        <v>796</v>
      </c>
      <c r="E757">
        <v>1</v>
      </c>
      <c r="F757" t="s">
        <v>13</v>
      </c>
      <c r="I757" t="s">
        <v>15</v>
      </c>
      <c r="J757">
        <f>vlookup("906-442000-210",B:AZ,column(i1),0)*e757</f>
        <v>0</v>
      </c>
      <c r="K757">
        <f>vlookup("906-442000-210",B:AZ,column(j1),0)*e757</f>
        <v>0</v>
      </c>
      <c r="L757">
        <f>vlookup("906-442000-210",B:AZ,column(k1),0)*e757</f>
        <v>0</v>
      </c>
      <c r="M757">
        <f>vlookup("906-442000-210",B:AZ,column(l1),0)*e757</f>
        <v>0</v>
      </c>
      <c r="N757">
        <f>vlookup("906-442000-210",B:AZ,column(m1),0)*e757</f>
        <v>0</v>
      </c>
      <c r="O757">
        <f>vlookup("906-442000-210",B:AZ,column(n1),0)*e757</f>
        <v>0</v>
      </c>
      <c r="P757">
        <f>vlookup("906-442000-210",B:AZ,column(o1),0)*e757</f>
        <v>0</v>
      </c>
      <c r="Q757">
        <f>vlookup("906-442000-210",B:AZ,column(p1),0)*e757</f>
        <v>0</v>
      </c>
      <c r="R757">
        <f>vlookup("906-442000-210",B:AZ,column(q1),0)*e757</f>
        <v>0</v>
      </c>
      <c r="S757">
        <f>vlookup("906-442000-210",B:AZ,column(r1),0)*e757</f>
        <v>0</v>
      </c>
      <c r="T757">
        <f>vlookup("906-442000-210",B:AZ,column(s1),0)*e757</f>
        <v>0</v>
      </c>
      <c r="U757">
        <f>vlookup("906-442000-210",B:AZ,column(t1),0)*e757</f>
        <v>0</v>
      </c>
      <c r="V757">
        <f>vlookup("906-442000-210",B:AZ,column(u1),0)*e757</f>
        <v>0</v>
      </c>
      <c r="W757">
        <f>vlookup("906-442000-210",B:AZ,column(v1),0)*e757</f>
        <v>0</v>
      </c>
      <c r="X757">
        <f>vlookup("906-442000-210",B:AZ,column(w1),0)*e757</f>
        <v>0</v>
      </c>
      <c r="Y757">
        <f>vlookup("906-442000-210",B:AZ,column(x1),0)*e757</f>
        <v>0</v>
      </c>
      <c r="Z757">
        <f>vlookup("906-442000-210",B:AZ,column(y1),0)*e757</f>
        <v>0</v>
      </c>
      <c r="AA757">
        <f>vlookup("906-442000-210",B:AZ,column(z1),0)*e757</f>
        <v>0</v>
      </c>
      <c r="AB757">
        <f>vlookup("906-442000-210",B:AZ,column(aa1),0)*e757</f>
        <v>0</v>
      </c>
      <c r="AC757">
        <f>vlookup("906-442000-210",B:AZ,column(ab1),0)*e757</f>
        <v>0</v>
      </c>
      <c r="AD757">
        <f>vlookup("906-442000-210",B:AZ,column(ac1),0)*e757</f>
        <v>0</v>
      </c>
      <c r="AE757">
        <f>vlookup("906-442000-210",B:AZ,column(ad1),0)*e757</f>
        <v>0</v>
      </c>
      <c r="AF757">
        <f>vlookup("906-442000-210",B:AZ,column(ae1),0)*e757</f>
        <v>0</v>
      </c>
      <c r="AG757">
        <f>vlookup("906-442000-210",B:AZ,column(af1),0)*e757</f>
        <v>0</v>
      </c>
      <c r="AH757">
        <f>vlookup("906-442000-210",B:AZ,column(ag1),0)*e757</f>
        <v>0</v>
      </c>
      <c r="AI757">
        <f>vlookup("906-442000-210",B:AZ,column(ah1),0)*e757</f>
        <v>0</v>
      </c>
      <c r="AJ757">
        <f>vlookup("906-442000-210",B:AZ,column(ai1),0)*e757</f>
        <v>0</v>
      </c>
      <c r="AK757">
        <f>vlookup("906-442000-210",B:AZ,column(aj1),0)*e757</f>
        <v>0</v>
      </c>
      <c r="AL757">
        <f>vlookup("906-442000-210",B:AZ,column(ak1),0)*e757</f>
        <v>0</v>
      </c>
      <c r="AM757">
        <f>vlookup("906-442000-210",B:AZ,column(al1),0)*e757</f>
        <v>0</v>
      </c>
      <c r="AN757">
        <f>vlookup("906-442000-210",B:AZ,column(am1),0)*e757</f>
        <v>0</v>
      </c>
      <c r="AO757">
        <f>vlookup("906-442000-210",B:AZ,column(an1),0)*e757</f>
        <v>0</v>
      </c>
    </row>
    <row r="758" spans="1:41">
      <c r="A758" t="s">
        <v>22</v>
      </c>
      <c r="B758" t="s">
        <v>801</v>
      </c>
      <c r="C758" t="s">
        <v>796</v>
      </c>
      <c r="E758">
        <v>0.33</v>
      </c>
      <c r="F758" t="s">
        <v>13</v>
      </c>
      <c r="I758" t="s">
        <v>15</v>
      </c>
      <c r="J758">
        <f>vlookup("906-442000-210",B:AZ,column(i1),0)*e758</f>
        <v>0</v>
      </c>
      <c r="K758">
        <f>vlookup("906-442000-210",B:AZ,column(j1),0)*e758</f>
        <v>0</v>
      </c>
      <c r="L758">
        <f>vlookup("906-442000-210",B:AZ,column(k1),0)*e758</f>
        <v>0</v>
      </c>
      <c r="M758">
        <f>vlookup("906-442000-210",B:AZ,column(l1),0)*e758</f>
        <v>0</v>
      </c>
      <c r="N758">
        <f>vlookup("906-442000-210",B:AZ,column(m1),0)*e758</f>
        <v>0</v>
      </c>
      <c r="O758">
        <f>vlookup("906-442000-210",B:AZ,column(n1),0)*e758</f>
        <v>0</v>
      </c>
      <c r="P758">
        <f>vlookup("906-442000-210",B:AZ,column(o1),0)*e758</f>
        <v>0</v>
      </c>
      <c r="Q758">
        <f>vlookup("906-442000-210",B:AZ,column(p1),0)*e758</f>
        <v>0</v>
      </c>
      <c r="R758">
        <f>vlookup("906-442000-210",B:AZ,column(q1),0)*e758</f>
        <v>0</v>
      </c>
      <c r="S758">
        <f>vlookup("906-442000-210",B:AZ,column(r1),0)*e758</f>
        <v>0</v>
      </c>
      <c r="T758">
        <f>vlookup("906-442000-210",B:AZ,column(s1),0)*e758</f>
        <v>0</v>
      </c>
      <c r="U758">
        <f>vlookup("906-442000-210",B:AZ,column(t1),0)*e758</f>
        <v>0</v>
      </c>
      <c r="V758">
        <f>vlookup("906-442000-210",B:AZ,column(u1),0)*e758</f>
        <v>0</v>
      </c>
      <c r="W758">
        <f>vlookup("906-442000-210",B:AZ,column(v1),0)*e758</f>
        <v>0</v>
      </c>
      <c r="X758">
        <f>vlookup("906-442000-210",B:AZ,column(w1),0)*e758</f>
        <v>0</v>
      </c>
      <c r="Y758">
        <f>vlookup("906-442000-210",B:AZ,column(x1),0)*e758</f>
        <v>0</v>
      </c>
      <c r="Z758">
        <f>vlookup("906-442000-210",B:AZ,column(y1),0)*e758</f>
        <v>0</v>
      </c>
      <c r="AA758">
        <f>vlookup("906-442000-210",B:AZ,column(z1),0)*e758</f>
        <v>0</v>
      </c>
      <c r="AB758">
        <f>vlookup("906-442000-210",B:AZ,column(aa1),0)*e758</f>
        <v>0</v>
      </c>
      <c r="AC758">
        <f>vlookup("906-442000-210",B:AZ,column(ab1),0)*e758</f>
        <v>0</v>
      </c>
      <c r="AD758">
        <f>vlookup("906-442000-210",B:AZ,column(ac1),0)*e758</f>
        <v>0</v>
      </c>
      <c r="AE758">
        <f>vlookup("906-442000-210",B:AZ,column(ad1),0)*e758</f>
        <v>0</v>
      </c>
      <c r="AF758">
        <f>vlookup("906-442000-210",B:AZ,column(ae1),0)*e758</f>
        <v>0</v>
      </c>
      <c r="AG758">
        <f>vlookup("906-442000-210",B:AZ,column(af1),0)*e758</f>
        <v>0</v>
      </c>
      <c r="AH758">
        <f>vlookup("906-442000-210",B:AZ,column(ag1),0)*e758</f>
        <v>0</v>
      </c>
      <c r="AI758">
        <f>vlookup("906-442000-210",B:AZ,column(ah1),0)*e758</f>
        <v>0</v>
      </c>
      <c r="AJ758">
        <f>vlookup("906-442000-210",B:AZ,column(ai1),0)*e758</f>
        <v>0</v>
      </c>
      <c r="AK758">
        <f>vlookup("906-442000-210",B:AZ,column(aj1),0)*e758</f>
        <v>0</v>
      </c>
      <c r="AL758">
        <f>vlookup("906-442000-210",B:AZ,column(ak1),0)*e758</f>
        <v>0</v>
      </c>
      <c r="AM758">
        <f>vlookup("906-442000-210",B:AZ,column(al1),0)*e758</f>
        <v>0</v>
      </c>
      <c r="AN758">
        <f>vlookup("906-442000-210",B:AZ,column(am1),0)*e758</f>
        <v>0</v>
      </c>
      <c r="AO758">
        <f>vlookup("906-442000-210",B:AZ,column(an1),0)*e758</f>
        <v>0</v>
      </c>
    </row>
    <row r="759" spans="1:41">
      <c r="A759" t="s">
        <v>22</v>
      </c>
      <c r="B759" t="s">
        <v>799</v>
      </c>
      <c r="C759" t="s">
        <v>796</v>
      </c>
      <c r="E759">
        <v>1</v>
      </c>
      <c r="F759" t="s">
        <v>13</v>
      </c>
      <c r="I759" t="s">
        <v>15</v>
      </c>
      <c r="J759">
        <f>vlookup("906-442000-210",B:AZ,column(i1),0)*e759</f>
        <v>0</v>
      </c>
      <c r="K759">
        <f>vlookup("906-442000-210",B:AZ,column(j1),0)*e759</f>
        <v>0</v>
      </c>
      <c r="L759">
        <f>vlookup("906-442000-210",B:AZ,column(k1),0)*e759</f>
        <v>0</v>
      </c>
      <c r="M759">
        <f>vlookup("906-442000-210",B:AZ,column(l1),0)*e759</f>
        <v>0</v>
      </c>
      <c r="N759">
        <f>vlookup("906-442000-210",B:AZ,column(m1),0)*e759</f>
        <v>0</v>
      </c>
      <c r="O759">
        <f>vlookup("906-442000-210",B:AZ,column(n1),0)*e759</f>
        <v>0</v>
      </c>
      <c r="P759">
        <f>vlookup("906-442000-210",B:AZ,column(o1),0)*e759</f>
        <v>0</v>
      </c>
      <c r="Q759">
        <f>vlookup("906-442000-210",B:AZ,column(p1),0)*e759</f>
        <v>0</v>
      </c>
      <c r="R759">
        <f>vlookup("906-442000-210",B:AZ,column(q1),0)*e759</f>
        <v>0</v>
      </c>
      <c r="S759">
        <f>vlookup("906-442000-210",B:AZ,column(r1),0)*e759</f>
        <v>0</v>
      </c>
      <c r="T759">
        <f>vlookup("906-442000-210",B:AZ,column(s1),0)*e759</f>
        <v>0</v>
      </c>
      <c r="U759">
        <f>vlookup("906-442000-210",B:AZ,column(t1),0)*e759</f>
        <v>0</v>
      </c>
      <c r="V759">
        <f>vlookup("906-442000-210",B:AZ,column(u1),0)*e759</f>
        <v>0</v>
      </c>
      <c r="W759">
        <f>vlookup("906-442000-210",B:AZ,column(v1),0)*e759</f>
        <v>0</v>
      </c>
      <c r="X759">
        <f>vlookup("906-442000-210",B:AZ,column(w1),0)*e759</f>
        <v>0</v>
      </c>
      <c r="Y759">
        <f>vlookup("906-442000-210",B:AZ,column(x1),0)*e759</f>
        <v>0</v>
      </c>
      <c r="Z759">
        <f>vlookup("906-442000-210",B:AZ,column(y1),0)*e759</f>
        <v>0</v>
      </c>
      <c r="AA759">
        <f>vlookup("906-442000-210",B:AZ,column(z1),0)*e759</f>
        <v>0</v>
      </c>
      <c r="AB759">
        <f>vlookup("906-442000-210",B:AZ,column(aa1),0)*e759</f>
        <v>0</v>
      </c>
      <c r="AC759">
        <f>vlookup("906-442000-210",B:AZ,column(ab1),0)*e759</f>
        <v>0</v>
      </c>
      <c r="AD759">
        <f>vlookup("906-442000-210",B:AZ,column(ac1),0)*e759</f>
        <v>0</v>
      </c>
      <c r="AE759">
        <f>vlookup("906-442000-210",B:AZ,column(ad1),0)*e759</f>
        <v>0</v>
      </c>
      <c r="AF759">
        <f>vlookup("906-442000-210",B:AZ,column(ae1),0)*e759</f>
        <v>0</v>
      </c>
      <c r="AG759">
        <f>vlookup("906-442000-210",B:AZ,column(af1),0)*e759</f>
        <v>0</v>
      </c>
      <c r="AH759">
        <f>vlookup("906-442000-210",B:AZ,column(ag1),0)*e759</f>
        <v>0</v>
      </c>
      <c r="AI759">
        <f>vlookup("906-442000-210",B:AZ,column(ah1),0)*e759</f>
        <v>0</v>
      </c>
      <c r="AJ759">
        <f>vlookup("906-442000-210",B:AZ,column(ai1),0)*e759</f>
        <v>0</v>
      </c>
      <c r="AK759">
        <f>vlookup("906-442000-210",B:AZ,column(aj1),0)*e759</f>
        <v>0</v>
      </c>
      <c r="AL759">
        <f>vlookup("906-442000-210",B:AZ,column(ak1),0)*e759</f>
        <v>0</v>
      </c>
      <c r="AM759">
        <f>vlookup("906-442000-210",B:AZ,column(al1),0)*e759</f>
        <v>0</v>
      </c>
      <c r="AN759">
        <f>vlookup("906-442000-210",B:AZ,column(am1),0)*e759</f>
        <v>0</v>
      </c>
      <c r="AO759">
        <f>vlookup("906-442000-210",B:AZ,column(an1),0)*e759</f>
        <v>0</v>
      </c>
    </row>
    <row r="760" spans="1:41">
      <c r="A760" t="s">
        <v>10</v>
      </c>
      <c r="B760" t="s">
        <v>802</v>
      </c>
      <c r="C760" t="s">
        <v>803</v>
      </c>
      <c r="E760" t="s">
        <v>804</v>
      </c>
      <c r="F760" t="s">
        <v>13</v>
      </c>
      <c r="I760" t="s">
        <v>14</v>
      </c>
      <c r="AO760">
        <f>sum(j760:an760)</f>
        <v>0</v>
      </c>
    </row>
    <row r="761" spans="1:41">
      <c r="I761" t="s">
        <v>15</v>
      </c>
      <c r="J761">
        <f>vlookup("906-443000-210",Out!B:AZ,column(i1),0)</f>
        <v>0</v>
      </c>
      <c r="K761">
        <f>vlookup("906-443000-210",Out!B:AZ,column(j1),0)</f>
        <v>0</v>
      </c>
      <c r="L761">
        <f>vlookup("906-443000-210",Out!B:AZ,column(k1),0)</f>
        <v>0</v>
      </c>
      <c r="M761">
        <f>vlookup("906-443000-210",Out!B:AZ,column(l1),0)</f>
        <v>0</v>
      </c>
      <c r="N761">
        <f>vlookup("906-443000-210",Out!B:AZ,column(m1),0)</f>
        <v>0</v>
      </c>
      <c r="O761">
        <f>vlookup("906-443000-210",Out!B:AZ,column(n1),0)</f>
        <v>0</v>
      </c>
      <c r="P761">
        <f>vlookup("906-443000-210",Out!B:AZ,column(o1),0)</f>
        <v>0</v>
      </c>
      <c r="Q761">
        <f>vlookup("906-443000-210",Out!B:AZ,column(p1),0)</f>
        <v>0</v>
      </c>
      <c r="R761">
        <f>vlookup("906-443000-210",Out!B:AZ,column(q1),0)</f>
        <v>0</v>
      </c>
      <c r="S761">
        <f>vlookup("906-443000-210",Out!B:AZ,column(r1),0)</f>
        <v>0</v>
      </c>
      <c r="T761">
        <f>vlookup("906-443000-210",Out!B:AZ,column(s1),0)</f>
        <v>0</v>
      </c>
      <c r="U761">
        <f>vlookup("906-443000-210",Out!B:AZ,column(t1),0)</f>
        <v>0</v>
      </c>
      <c r="V761">
        <f>vlookup("906-443000-210",Out!B:AZ,column(u1),0)</f>
        <v>0</v>
      </c>
      <c r="W761">
        <f>vlookup("906-443000-210",Out!B:AZ,column(v1),0)</f>
        <v>0</v>
      </c>
      <c r="X761">
        <f>vlookup("906-443000-210",Out!B:AZ,column(w1),0)</f>
        <v>0</v>
      </c>
      <c r="Y761">
        <f>vlookup("906-443000-210",Out!B:AZ,column(x1),0)</f>
        <v>0</v>
      </c>
      <c r="Z761">
        <f>vlookup("906-443000-210",Out!B:AZ,column(y1),0)</f>
        <v>0</v>
      </c>
      <c r="AA761">
        <f>vlookup("906-443000-210",Out!B:AZ,column(z1),0)</f>
        <v>0</v>
      </c>
      <c r="AB761">
        <f>vlookup("906-443000-210",Out!B:AZ,column(aa1),0)</f>
        <v>0</v>
      </c>
      <c r="AC761">
        <f>vlookup("906-443000-210",Out!B:AZ,column(ab1),0)</f>
        <v>0</v>
      </c>
      <c r="AD761">
        <f>vlookup("906-443000-210",Out!B:AZ,column(ac1),0)</f>
        <v>0</v>
      </c>
      <c r="AE761">
        <f>vlookup("906-443000-210",Out!B:AZ,column(ad1),0)</f>
        <v>0</v>
      </c>
      <c r="AF761">
        <f>vlookup("906-443000-210",Out!B:AZ,column(ae1),0)</f>
        <v>0</v>
      </c>
      <c r="AG761">
        <f>vlookup("906-443000-210",Out!B:AZ,column(af1),0)</f>
        <v>0</v>
      </c>
      <c r="AH761">
        <f>vlookup("906-443000-210",Out!B:AZ,column(ag1),0)</f>
        <v>0</v>
      </c>
      <c r="AI761">
        <f>vlookup("906-443000-210",Out!B:AZ,column(ah1),0)</f>
        <v>0</v>
      </c>
      <c r="AJ761">
        <f>vlookup("906-443000-210",Out!B:AZ,column(ai1),0)</f>
        <v>0</v>
      </c>
      <c r="AK761">
        <f>vlookup("906-443000-210",Out!B:AZ,column(aj1),0)</f>
        <v>0</v>
      </c>
      <c r="AL761">
        <f>vlookup("906-443000-210",Out!B:AZ,column(ak1),0)</f>
        <v>0</v>
      </c>
      <c r="AM761">
        <f>vlookup("906-443000-210",Out!B:AZ,column(al1),0)</f>
        <v>0</v>
      </c>
      <c r="AN761">
        <f>vlookup("906-443000-210",Out!B:AZ,column(am1),0)</f>
        <v>0</v>
      </c>
      <c r="AO761">
        <f>vlookup("906-443000-210",Out!B:AZ,column(an1),0)</f>
        <v>0</v>
      </c>
    </row>
    <row r="762" spans="1:41">
      <c r="H762" t="s">
        <v>16</v>
      </c>
      <c r="J762">
        <f>indirect(address(762,9))+indirect(address(760,10))-indirect(address(761,10))</f>
        <v>0</v>
      </c>
      <c r="K762">
        <f>indirect(address(762,10))+indirect(address(760,11))-indirect(address(761,11))</f>
        <v>0</v>
      </c>
      <c r="L762">
        <f>indirect(address(762,11))+indirect(address(760,12))-indirect(address(761,12))</f>
        <v>0</v>
      </c>
      <c r="M762">
        <f>indirect(address(762,12))+indirect(address(760,13))-indirect(address(761,13))</f>
        <v>0</v>
      </c>
      <c r="N762">
        <f>indirect(address(762,13))+indirect(address(760,14))-indirect(address(761,14))</f>
        <v>0</v>
      </c>
      <c r="O762">
        <f>indirect(address(762,14))+indirect(address(760,15))-indirect(address(761,15))</f>
        <v>0</v>
      </c>
      <c r="P762">
        <f>indirect(address(762,15))+indirect(address(760,16))-indirect(address(761,16))</f>
        <v>0</v>
      </c>
      <c r="Q762">
        <f>indirect(address(762,16))+indirect(address(760,17))-indirect(address(761,17))</f>
        <v>0</v>
      </c>
      <c r="R762">
        <f>indirect(address(762,17))+indirect(address(760,18))-indirect(address(761,18))</f>
        <v>0</v>
      </c>
      <c r="S762">
        <f>indirect(address(762,18))+indirect(address(760,19))-indirect(address(761,19))</f>
        <v>0</v>
      </c>
      <c r="T762">
        <f>indirect(address(762,19))+indirect(address(760,20))-indirect(address(761,20))</f>
        <v>0</v>
      </c>
      <c r="U762">
        <f>indirect(address(762,20))+indirect(address(760,21))-indirect(address(761,21))</f>
        <v>0</v>
      </c>
      <c r="V762">
        <f>indirect(address(762,21))+indirect(address(760,22))-indirect(address(761,22))</f>
        <v>0</v>
      </c>
      <c r="W762">
        <f>indirect(address(762,22))+indirect(address(760,23))-indirect(address(761,23))</f>
        <v>0</v>
      </c>
      <c r="X762">
        <f>indirect(address(762,23))+indirect(address(760,24))-indirect(address(761,24))</f>
        <v>0</v>
      </c>
      <c r="Y762">
        <f>indirect(address(762,24))+indirect(address(760,25))-indirect(address(761,25))</f>
        <v>0</v>
      </c>
      <c r="Z762">
        <f>indirect(address(762,25))+indirect(address(760,26))-indirect(address(761,26))</f>
        <v>0</v>
      </c>
      <c r="AA762">
        <f>indirect(address(762,26))+indirect(address(760,27))-indirect(address(761,27))</f>
        <v>0</v>
      </c>
      <c r="AB762">
        <f>indirect(address(762,27))+indirect(address(760,28))-indirect(address(761,28))</f>
        <v>0</v>
      </c>
      <c r="AC762">
        <f>indirect(address(762,28))+indirect(address(760,29))-indirect(address(761,29))</f>
        <v>0</v>
      </c>
      <c r="AD762">
        <f>indirect(address(762,29))+indirect(address(760,30))-indirect(address(761,30))</f>
        <v>0</v>
      </c>
      <c r="AE762">
        <f>indirect(address(762,30))+indirect(address(760,31))-indirect(address(761,31))</f>
        <v>0</v>
      </c>
      <c r="AF762">
        <f>indirect(address(762,31))+indirect(address(760,32))-indirect(address(761,32))</f>
        <v>0</v>
      </c>
      <c r="AG762">
        <f>indirect(address(762,32))+indirect(address(760,33))-indirect(address(761,33))</f>
        <v>0</v>
      </c>
      <c r="AH762">
        <f>indirect(address(762,33))+indirect(address(760,34))-indirect(address(761,34))</f>
        <v>0</v>
      </c>
      <c r="AI762">
        <f>indirect(address(762,34))+indirect(address(760,35))-indirect(address(761,35))</f>
        <v>0</v>
      </c>
      <c r="AJ762">
        <f>indirect(address(762,35))+indirect(address(760,36))-indirect(address(761,36))</f>
        <v>0</v>
      </c>
      <c r="AK762">
        <f>indirect(address(762,36))+indirect(address(760,37))-indirect(address(761,37))</f>
        <v>0</v>
      </c>
      <c r="AL762">
        <f>indirect(address(762,37))+indirect(address(760,38))-indirect(address(761,38))</f>
        <v>0</v>
      </c>
      <c r="AM762">
        <f>indirect(address(762,38))+indirect(address(760,39))-indirect(address(761,39))</f>
        <v>0</v>
      </c>
      <c r="AN762">
        <f>indirect(address(762,39))+indirect(address(760,40))-indirect(address(761,40))</f>
        <v>0</v>
      </c>
      <c r="AO762">
        <f>indirect(address(762,40))</f>
        <v>0</v>
      </c>
    </row>
    <row r="763" spans="1:41">
      <c r="A763" t="s">
        <v>17</v>
      </c>
      <c r="B763" t="s">
        <v>805</v>
      </c>
      <c r="C763" t="s">
        <v>806</v>
      </c>
      <c r="E763">
        <v>1</v>
      </c>
      <c r="F763" t="s">
        <v>13</v>
      </c>
      <c r="I763" t="s">
        <v>15</v>
      </c>
      <c r="J763">
        <f>vlookup("906-443000-210",B:AZ,column(i1),0)*e763</f>
        <v>0</v>
      </c>
      <c r="K763">
        <f>vlookup("906-443000-210",B:AZ,column(j1),0)*e763</f>
        <v>0</v>
      </c>
      <c r="L763">
        <f>vlookup("906-443000-210",B:AZ,column(k1),0)*e763</f>
        <v>0</v>
      </c>
      <c r="M763">
        <f>vlookup("906-443000-210",B:AZ,column(l1),0)*e763</f>
        <v>0</v>
      </c>
      <c r="N763">
        <f>vlookup("906-443000-210",B:AZ,column(m1),0)*e763</f>
        <v>0</v>
      </c>
      <c r="O763">
        <f>vlookup("906-443000-210",B:AZ,column(n1),0)*e763</f>
        <v>0</v>
      </c>
      <c r="P763">
        <f>vlookup("906-443000-210",B:AZ,column(o1),0)*e763</f>
        <v>0</v>
      </c>
      <c r="Q763">
        <f>vlookup("906-443000-210",B:AZ,column(p1),0)*e763</f>
        <v>0</v>
      </c>
      <c r="R763">
        <f>vlookup("906-443000-210",B:AZ,column(q1),0)*e763</f>
        <v>0</v>
      </c>
      <c r="S763">
        <f>vlookup("906-443000-210",B:AZ,column(r1),0)*e763</f>
        <v>0</v>
      </c>
      <c r="T763">
        <f>vlookup("906-443000-210",B:AZ,column(s1),0)*e763</f>
        <v>0</v>
      </c>
      <c r="U763">
        <f>vlookup("906-443000-210",B:AZ,column(t1),0)*e763</f>
        <v>0</v>
      </c>
      <c r="V763">
        <f>vlookup("906-443000-210",B:AZ,column(u1),0)*e763</f>
        <v>0</v>
      </c>
      <c r="W763">
        <f>vlookup("906-443000-210",B:AZ,column(v1),0)*e763</f>
        <v>0</v>
      </c>
      <c r="X763">
        <f>vlookup("906-443000-210",B:AZ,column(w1),0)*e763</f>
        <v>0</v>
      </c>
      <c r="Y763">
        <f>vlookup("906-443000-210",B:AZ,column(x1),0)*e763</f>
        <v>0</v>
      </c>
      <c r="Z763">
        <f>vlookup("906-443000-210",B:AZ,column(y1),0)*e763</f>
        <v>0</v>
      </c>
      <c r="AA763">
        <f>vlookup("906-443000-210",B:AZ,column(z1),0)*e763</f>
        <v>0</v>
      </c>
      <c r="AB763">
        <f>vlookup("906-443000-210",B:AZ,column(aa1),0)*e763</f>
        <v>0</v>
      </c>
      <c r="AC763">
        <f>vlookup("906-443000-210",B:AZ,column(ab1),0)*e763</f>
        <v>0</v>
      </c>
      <c r="AD763">
        <f>vlookup("906-443000-210",B:AZ,column(ac1),0)*e763</f>
        <v>0</v>
      </c>
      <c r="AE763">
        <f>vlookup("906-443000-210",B:AZ,column(ad1),0)*e763</f>
        <v>0</v>
      </c>
      <c r="AF763">
        <f>vlookup("906-443000-210",B:AZ,column(ae1),0)*e763</f>
        <v>0</v>
      </c>
      <c r="AG763">
        <f>vlookup("906-443000-210",B:AZ,column(af1),0)*e763</f>
        <v>0</v>
      </c>
      <c r="AH763">
        <f>vlookup("906-443000-210",B:AZ,column(ag1),0)*e763</f>
        <v>0</v>
      </c>
      <c r="AI763">
        <f>vlookup("906-443000-210",B:AZ,column(ah1),0)*e763</f>
        <v>0</v>
      </c>
      <c r="AJ763">
        <f>vlookup("906-443000-210",B:AZ,column(ai1),0)*e763</f>
        <v>0</v>
      </c>
      <c r="AK763">
        <f>vlookup("906-443000-210",B:AZ,column(aj1),0)*e763</f>
        <v>0</v>
      </c>
      <c r="AL763">
        <f>vlookup("906-443000-210",B:AZ,column(ak1),0)*e763</f>
        <v>0</v>
      </c>
      <c r="AM763">
        <f>vlookup("906-443000-210",B:AZ,column(al1),0)*e763</f>
        <v>0</v>
      </c>
      <c r="AN763">
        <f>vlookup("906-443000-210",B:AZ,column(am1),0)*e763</f>
        <v>0</v>
      </c>
      <c r="AO763">
        <f>vlookup("906-443000-210",B:AZ,column(an1),0)*e763</f>
        <v>0</v>
      </c>
    </row>
    <row r="764" spans="1:41">
      <c r="A764" t="s">
        <v>22</v>
      </c>
      <c r="B764" t="s">
        <v>807</v>
      </c>
      <c r="C764" t="s">
        <v>808</v>
      </c>
      <c r="E764">
        <v>1</v>
      </c>
      <c r="F764" t="s">
        <v>13</v>
      </c>
      <c r="I764" t="s">
        <v>15</v>
      </c>
      <c r="J764">
        <f>vlookup("906-443000-210",B:AZ,column(i1),0)*e764</f>
        <v>0</v>
      </c>
      <c r="K764">
        <f>vlookup("906-443000-210",B:AZ,column(j1),0)*e764</f>
        <v>0</v>
      </c>
      <c r="L764">
        <f>vlookup("906-443000-210",B:AZ,column(k1),0)*e764</f>
        <v>0</v>
      </c>
      <c r="M764">
        <f>vlookup("906-443000-210",B:AZ,column(l1),0)*e764</f>
        <v>0</v>
      </c>
      <c r="N764">
        <f>vlookup("906-443000-210",B:AZ,column(m1),0)*e764</f>
        <v>0</v>
      </c>
      <c r="O764">
        <f>vlookup("906-443000-210",B:AZ,column(n1),0)*e764</f>
        <v>0</v>
      </c>
      <c r="P764">
        <f>vlookup("906-443000-210",B:AZ,column(o1),0)*e764</f>
        <v>0</v>
      </c>
      <c r="Q764">
        <f>vlookup("906-443000-210",B:AZ,column(p1),0)*e764</f>
        <v>0</v>
      </c>
      <c r="R764">
        <f>vlookup("906-443000-210",B:AZ,column(q1),0)*e764</f>
        <v>0</v>
      </c>
      <c r="S764">
        <f>vlookup("906-443000-210",B:AZ,column(r1),0)*e764</f>
        <v>0</v>
      </c>
      <c r="T764">
        <f>vlookup("906-443000-210",B:AZ,column(s1),0)*e764</f>
        <v>0</v>
      </c>
      <c r="U764">
        <f>vlookup("906-443000-210",B:AZ,column(t1),0)*e764</f>
        <v>0</v>
      </c>
      <c r="V764">
        <f>vlookup("906-443000-210",B:AZ,column(u1),0)*e764</f>
        <v>0</v>
      </c>
      <c r="W764">
        <f>vlookup("906-443000-210",B:AZ,column(v1),0)*e764</f>
        <v>0</v>
      </c>
      <c r="X764">
        <f>vlookup("906-443000-210",B:AZ,column(w1),0)*e764</f>
        <v>0</v>
      </c>
      <c r="Y764">
        <f>vlookup("906-443000-210",B:AZ,column(x1),0)*e764</f>
        <v>0</v>
      </c>
      <c r="Z764">
        <f>vlookup("906-443000-210",B:AZ,column(y1),0)*e764</f>
        <v>0</v>
      </c>
      <c r="AA764">
        <f>vlookup("906-443000-210",B:AZ,column(z1),0)*e764</f>
        <v>0</v>
      </c>
      <c r="AB764">
        <f>vlookup("906-443000-210",B:AZ,column(aa1),0)*e764</f>
        <v>0</v>
      </c>
      <c r="AC764">
        <f>vlookup("906-443000-210",B:AZ,column(ab1),0)*e764</f>
        <v>0</v>
      </c>
      <c r="AD764">
        <f>vlookup("906-443000-210",B:AZ,column(ac1),0)*e764</f>
        <v>0</v>
      </c>
      <c r="AE764">
        <f>vlookup("906-443000-210",B:AZ,column(ad1),0)*e764</f>
        <v>0</v>
      </c>
      <c r="AF764">
        <f>vlookup("906-443000-210",B:AZ,column(ae1),0)*e764</f>
        <v>0</v>
      </c>
      <c r="AG764">
        <f>vlookup("906-443000-210",B:AZ,column(af1),0)*e764</f>
        <v>0</v>
      </c>
      <c r="AH764">
        <f>vlookup("906-443000-210",B:AZ,column(ag1),0)*e764</f>
        <v>0</v>
      </c>
      <c r="AI764">
        <f>vlookup("906-443000-210",B:AZ,column(ah1),0)*e764</f>
        <v>0</v>
      </c>
      <c r="AJ764">
        <f>vlookup("906-443000-210",B:AZ,column(ai1),0)*e764</f>
        <v>0</v>
      </c>
      <c r="AK764">
        <f>vlookup("906-443000-210",B:AZ,column(aj1),0)*e764</f>
        <v>0</v>
      </c>
      <c r="AL764">
        <f>vlookup("906-443000-210",B:AZ,column(ak1),0)*e764</f>
        <v>0</v>
      </c>
      <c r="AM764">
        <f>vlookup("906-443000-210",B:AZ,column(al1),0)*e764</f>
        <v>0</v>
      </c>
      <c r="AN764">
        <f>vlookup("906-443000-210",B:AZ,column(am1),0)*e764</f>
        <v>0</v>
      </c>
      <c r="AO764">
        <f>vlookup("906-443000-210",B:AZ,column(an1),0)*e764</f>
        <v>0</v>
      </c>
    </row>
    <row r="765" spans="1:41">
      <c r="A765" t="s">
        <v>22</v>
      </c>
      <c r="B765" t="s">
        <v>809</v>
      </c>
      <c r="C765" t="s">
        <v>810</v>
      </c>
      <c r="E765">
        <v>0.25</v>
      </c>
      <c r="F765" t="s">
        <v>13</v>
      </c>
      <c r="I765" t="s">
        <v>15</v>
      </c>
      <c r="J765">
        <f>vlookup("906-443000-210",B:AZ,column(i1),0)*e765</f>
        <v>0</v>
      </c>
      <c r="K765">
        <f>vlookup("906-443000-210",B:AZ,column(j1),0)*e765</f>
        <v>0</v>
      </c>
      <c r="L765">
        <f>vlookup("906-443000-210",B:AZ,column(k1),0)*e765</f>
        <v>0</v>
      </c>
      <c r="M765">
        <f>vlookup("906-443000-210",B:AZ,column(l1),0)*e765</f>
        <v>0</v>
      </c>
      <c r="N765">
        <f>vlookup("906-443000-210",B:AZ,column(m1),0)*e765</f>
        <v>0</v>
      </c>
      <c r="O765">
        <f>vlookup("906-443000-210",B:AZ,column(n1),0)*e765</f>
        <v>0</v>
      </c>
      <c r="P765">
        <f>vlookup("906-443000-210",B:AZ,column(o1),0)*e765</f>
        <v>0</v>
      </c>
      <c r="Q765">
        <f>vlookup("906-443000-210",B:AZ,column(p1),0)*e765</f>
        <v>0</v>
      </c>
      <c r="R765">
        <f>vlookup("906-443000-210",B:AZ,column(q1),0)*e765</f>
        <v>0</v>
      </c>
      <c r="S765">
        <f>vlookup("906-443000-210",B:AZ,column(r1),0)*e765</f>
        <v>0</v>
      </c>
      <c r="T765">
        <f>vlookup("906-443000-210",B:AZ,column(s1),0)*e765</f>
        <v>0</v>
      </c>
      <c r="U765">
        <f>vlookup("906-443000-210",B:AZ,column(t1),0)*e765</f>
        <v>0</v>
      </c>
      <c r="V765">
        <f>vlookup("906-443000-210",B:AZ,column(u1),0)*e765</f>
        <v>0</v>
      </c>
      <c r="W765">
        <f>vlookup("906-443000-210",B:AZ,column(v1),0)*e765</f>
        <v>0</v>
      </c>
      <c r="X765">
        <f>vlookup("906-443000-210",B:AZ,column(w1),0)*e765</f>
        <v>0</v>
      </c>
      <c r="Y765">
        <f>vlookup("906-443000-210",B:AZ,column(x1),0)*e765</f>
        <v>0</v>
      </c>
      <c r="Z765">
        <f>vlookup("906-443000-210",B:AZ,column(y1),0)*e765</f>
        <v>0</v>
      </c>
      <c r="AA765">
        <f>vlookup("906-443000-210",B:AZ,column(z1),0)*e765</f>
        <v>0</v>
      </c>
      <c r="AB765">
        <f>vlookup("906-443000-210",B:AZ,column(aa1),0)*e765</f>
        <v>0</v>
      </c>
      <c r="AC765">
        <f>vlookup("906-443000-210",B:AZ,column(ab1),0)*e765</f>
        <v>0</v>
      </c>
      <c r="AD765">
        <f>vlookup("906-443000-210",B:AZ,column(ac1),0)*e765</f>
        <v>0</v>
      </c>
      <c r="AE765">
        <f>vlookup("906-443000-210",B:AZ,column(ad1),0)*e765</f>
        <v>0</v>
      </c>
      <c r="AF765">
        <f>vlookup("906-443000-210",B:AZ,column(ae1),0)*e765</f>
        <v>0</v>
      </c>
      <c r="AG765">
        <f>vlookup("906-443000-210",B:AZ,column(af1),0)*e765</f>
        <v>0</v>
      </c>
      <c r="AH765">
        <f>vlookup("906-443000-210",B:AZ,column(ag1),0)*e765</f>
        <v>0</v>
      </c>
      <c r="AI765">
        <f>vlookup("906-443000-210",B:AZ,column(ah1),0)*e765</f>
        <v>0</v>
      </c>
      <c r="AJ765">
        <f>vlookup("906-443000-210",B:AZ,column(ai1),0)*e765</f>
        <v>0</v>
      </c>
      <c r="AK765">
        <f>vlookup("906-443000-210",B:AZ,column(aj1),0)*e765</f>
        <v>0</v>
      </c>
      <c r="AL765">
        <f>vlookup("906-443000-210",B:AZ,column(ak1),0)*e765</f>
        <v>0</v>
      </c>
      <c r="AM765">
        <f>vlookup("906-443000-210",B:AZ,column(al1),0)*e765</f>
        <v>0</v>
      </c>
      <c r="AN765">
        <f>vlookup("906-443000-210",B:AZ,column(am1),0)*e765</f>
        <v>0</v>
      </c>
      <c r="AO765">
        <f>vlookup("906-443000-210",B:AZ,column(an1),0)*e765</f>
        <v>0</v>
      </c>
    </row>
    <row r="766" spans="1:41">
      <c r="A766" t="s">
        <v>10</v>
      </c>
      <c r="B766" t="s">
        <v>802</v>
      </c>
      <c r="C766" t="s">
        <v>811</v>
      </c>
      <c r="E766">
        <v>0.25</v>
      </c>
      <c r="F766" t="s">
        <v>13</v>
      </c>
      <c r="I766" t="s">
        <v>14</v>
      </c>
      <c r="AO766">
        <f>sum(j766:an766)</f>
        <v>0</v>
      </c>
    </row>
    <row r="767" spans="1:41">
      <c r="I767" t="s">
        <v>15</v>
      </c>
      <c r="J767">
        <f>vlookup("906-443000-210",Out!B:AZ,column(i1),0)</f>
        <v>0</v>
      </c>
      <c r="K767">
        <f>vlookup("906-443000-210",Out!B:AZ,column(j1),0)</f>
        <v>0</v>
      </c>
      <c r="L767">
        <f>vlookup("906-443000-210",Out!B:AZ,column(k1),0)</f>
        <v>0</v>
      </c>
      <c r="M767">
        <f>vlookup("906-443000-210",Out!B:AZ,column(l1),0)</f>
        <v>0</v>
      </c>
      <c r="N767">
        <f>vlookup("906-443000-210",Out!B:AZ,column(m1),0)</f>
        <v>0</v>
      </c>
      <c r="O767">
        <f>vlookup("906-443000-210",Out!B:AZ,column(n1),0)</f>
        <v>0</v>
      </c>
      <c r="P767">
        <f>vlookup("906-443000-210",Out!B:AZ,column(o1),0)</f>
        <v>0</v>
      </c>
      <c r="Q767">
        <f>vlookup("906-443000-210",Out!B:AZ,column(p1),0)</f>
        <v>0</v>
      </c>
      <c r="R767">
        <f>vlookup("906-443000-210",Out!B:AZ,column(q1),0)</f>
        <v>0</v>
      </c>
      <c r="S767">
        <f>vlookup("906-443000-210",Out!B:AZ,column(r1),0)</f>
        <v>0</v>
      </c>
      <c r="T767">
        <f>vlookup("906-443000-210",Out!B:AZ,column(s1),0)</f>
        <v>0</v>
      </c>
      <c r="U767">
        <f>vlookup("906-443000-210",Out!B:AZ,column(t1),0)</f>
        <v>0</v>
      </c>
      <c r="V767">
        <f>vlookup("906-443000-210",Out!B:AZ,column(u1),0)</f>
        <v>0</v>
      </c>
      <c r="W767">
        <f>vlookup("906-443000-210",Out!B:AZ,column(v1),0)</f>
        <v>0</v>
      </c>
      <c r="X767">
        <f>vlookup("906-443000-210",Out!B:AZ,column(w1),0)</f>
        <v>0</v>
      </c>
      <c r="Y767">
        <f>vlookup("906-443000-210",Out!B:AZ,column(x1),0)</f>
        <v>0</v>
      </c>
      <c r="Z767">
        <f>vlookup("906-443000-210",Out!B:AZ,column(y1),0)</f>
        <v>0</v>
      </c>
      <c r="AA767">
        <f>vlookup("906-443000-210",Out!B:AZ,column(z1),0)</f>
        <v>0</v>
      </c>
      <c r="AB767">
        <f>vlookup("906-443000-210",Out!B:AZ,column(aa1),0)</f>
        <v>0</v>
      </c>
      <c r="AC767">
        <f>vlookup("906-443000-210",Out!B:AZ,column(ab1),0)</f>
        <v>0</v>
      </c>
      <c r="AD767">
        <f>vlookup("906-443000-210",Out!B:AZ,column(ac1),0)</f>
        <v>0</v>
      </c>
      <c r="AE767">
        <f>vlookup("906-443000-210",Out!B:AZ,column(ad1),0)</f>
        <v>0</v>
      </c>
      <c r="AF767">
        <f>vlookup("906-443000-210",Out!B:AZ,column(ae1),0)</f>
        <v>0</v>
      </c>
      <c r="AG767">
        <f>vlookup("906-443000-210",Out!B:AZ,column(af1),0)</f>
        <v>0</v>
      </c>
      <c r="AH767">
        <f>vlookup("906-443000-210",Out!B:AZ,column(ag1),0)</f>
        <v>0</v>
      </c>
      <c r="AI767">
        <f>vlookup("906-443000-210",Out!B:AZ,column(ah1),0)</f>
        <v>0</v>
      </c>
      <c r="AJ767">
        <f>vlookup("906-443000-210",Out!B:AZ,column(ai1),0)</f>
        <v>0</v>
      </c>
      <c r="AK767">
        <f>vlookup("906-443000-210",Out!B:AZ,column(aj1),0)</f>
        <v>0</v>
      </c>
      <c r="AL767">
        <f>vlookup("906-443000-210",Out!B:AZ,column(ak1),0)</f>
        <v>0</v>
      </c>
      <c r="AM767">
        <f>vlookup("906-443000-210",Out!B:AZ,column(al1),0)</f>
        <v>0</v>
      </c>
      <c r="AN767">
        <f>vlookup("906-443000-210",Out!B:AZ,column(am1),0)</f>
        <v>0</v>
      </c>
      <c r="AO767">
        <f>vlookup("906-443000-210",Out!B:AZ,column(an1),0)</f>
        <v>0</v>
      </c>
    </row>
    <row r="768" spans="1:41">
      <c r="H768" t="s">
        <v>16</v>
      </c>
      <c r="J768">
        <f>indirect(address(768,9))+indirect(address(766,10))-indirect(address(767,10))</f>
        <v>0</v>
      </c>
      <c r="K768">
        <f>indirect(address(768,10))+indirect(address(766,11))-indirect(address(767,11))</f>
        <v>0</v>
      </c>
      <c r="L768">
        <f>indirect(address(768,11))+indirect(address(766,12))-indirect(address(767,12))</f>
        <v>0</v>
      </c>
      <c r="M768">
        <f>indirect(address(768,12))+indirect(address(766,13))-indirect(address(767,13))</f>
        <v>0</v>
      </c>
      <c r="N768">
        <f>indirect(address(768,13))+indirect(address(766,14))-indirect(address(767,14))</f>
        <v>0</v>
      </c>
      <c r="O768">
        <f>indirect(address(768,14))+indirect(address(766,15))-indirect(address(767,15))</f>
        <v>0</v>
      </c>
      <c r="P768">
        <f>indirect(address(768,15))+indirect(address(766,16))-indirect(address(767,16))</f>
        <v>0</v>
      </c>
      <c r="Q768">
        <f>indirect(address(768,16))+indirect(address(766,17))-indirect(address(767,17))</f>
        <v>0</v>
      </c>
      <c r="R768">
        <f>indirect(address(768,17))+indirect(address(766,18))-indirect(address(767,18))</f>
        <v>0</v>
      </c>
      <c r="S768">
        <f>indirect(address(768,18))+indirect(address(766,19))-indirect(address(767,19))</f>
        <v>0</v>
      </c>
      <c r="T768">
        <f>indirect(address(768,19))+indirect(address(766,20))-indirect(address(767,20))</f>
        <v>0</v>
      </c>
      <c r="U768">
        <f>indirect(address(768,20))+indirect(address(766,21))-indirect(address(767,21))</f>
        <v>0</v>
      </c>
      <c r="V768">
        <f>indirect(address(768,21))+indirect(address(766,22))-indirect(address(767,22))</f>
        <v>0</v>
      </c>
      <c r="W768">
        <f>indirect(address(768,22))+indirect(address(766,23))-indirect(address(767,23))</f>
        <v>0</v>
      </c>
      <c r="X768">
        <f>indirect(address(768,23))+indirect(address(766,24))-indirect(address(767,24))</f>
        <v>0</v>
      </c>
      <c r="Y768">
        <f>indirect(address(768,24))+indirect(address(766,25))-indirect(address(767,25))</f>
        <v>0</v>
      </c>
      <c r="Z768">
        <f>indirect(address(768,25))+indirect(address(766,26))-indirect(address(767,26))</f>
        <v>0</v>
      </c>
      <c r="AA768">
        <f>indirect(address(768,26))+indirect(address(766,27))-indirect(address(767,27))</f>
        <v>0</v>
      </c>
      <c r="AB768">
        <f>indirect(address(768,27))+indirect(address(766,28))-indirect(address(767,28))</f>
        <v>0</v>
      </c>
      <c r="AC768">
        <f>indirect(address(768,28))+indirect(address(766,29))-indirect(address(767,29))</f>
        <v>0</v>
      </c>
      <c r="AD768">
        <f>indirect(address(768,29))+indirect(address(766,30))-indirect(address(767,30))</f>
        <v>0</v>
      </c>
      <c r="AE768">
        <f>indirect(address(768,30))+indirect(address(766,31))-indirect(address(767,31))</f>
        <v>0</v>
      </c>
      <c r="AF768">
        <f>indirect(address(768,31))+indirect(address(766,32))-indirect(address(767,32))</f>
        <v>0</v>
      </c>
      <c r="AG768">
        <f>indirect(address(768,32))+indirect(address(766,33))-indirect(address(767,33))</f>
        <v>0</v>
      </c>
      <c r="AH768">
        <f>indirect(address(768,33))+indirect(address(766,34))-indirect(address(767,34))</f>
        <v>0</v>
      </c>
      <c r="AI768">
        <f>indirect(address(768,34))+indirect(address(766,35))-indirect(address(767,35))</f>
        <v>0</v>
      </c>
      <c r="AJ768">
        <f>indirect(address(768,35))+indirect(address(766,36))-indirect(address(767,36))</f>
        <v>0</v>
      </c>
      <c r="AK768">
        <f>indirect(address(768,36))+indirect(address(766,37))-indirect(address(767,37))</f>
        <v>0</v>
      </c>
      <c r="AL768">
        <f>indirect(address(768,37))+indirect(address(766,38))-indirect(address(767,38))</f>
        <v>0</v>
      </c>
      <c r="AM768">
        <f>indirect(address(768,38))+indirect(address(766,39))-indirect(address(767,39))</f>
        <v>0</v>
      </c>
      <c r="AN768">
        <f>indirect(address(768,39))+indirect(address(766,40))-indirect(address(767,40))</f>
        <v>0</v>
      </c>
      <c r="AO768">
        <f>indirect(address(768,40))</f>
        <v>0</v>
      </c>
    </row>
    <row r="769" spans="1:41">
      <c r="A769" t="s">
        <v>17</v>
      </c>
      <c r="B769" t="s">
        <v>812</v>
      </c>
      <c r="C769" t="s">
        <v>806</v>
      </c>
      <c r="E769">
        <v>1</v>
      </c>
      <c r="F769" t="s">
        <v>13</v>
      </c>
      <c r="I769" t="s">
        <v>15</v>
      </c>
      <c r="J769">
        <f>vlookup("906-443000-210",B:AZ,column(i1),0)*e769</f>
        <v>0</v>
      </c>
      <c r="K769">
        <f>vlookup("906-443000-210",B:AZ,column(j1),0)*e769</f>
        <v>0</v>
      </c>
      <c r="L769">
        <f>vlookup("906-443000-210",B:AZ,column(k1),0)*e769</f>
        <v>0</v>
      </c>
      <c r="M769">
        <f>vlookup("906-443000-210",B:AZ,column(l1),0)*e769</f>
        <v>0</v>
      </c>
      <c r="N769">
        <f>vlookup("906-443000-210",B:AZ,column(m1),0)*e769</f>
        <v>0</v>
      </c>
      <c r="O769">
        <f>vlookup("906-443000-210",B:AZ,column(n1),0)*e769</f>
        <v>0</v>
      </c>
      <c r="P769">
        <f>vlookup("906-443000-210",B:AZ,column(o1),0)*e769</f>
        <v>0</v>
      </c>
      <c r="Q769">
        <f>vlookup("906-443000-210",B:AZ,column(p1),0)*e769</f>
        <v>0</v>
      </c>
      <c r="R769">
        <f>vlookup("906-443000-210",B:AZ,column(q1),0)*e769</f>
        <v>0</v>
      </c>
      <c r="S769">
        <f>vlookup("906-443000-210",B:AZ,column(r1),0)*e769</f>
        <v>0</v>
      </c>
      <c r="T769">
        <f>vlookup("906-443000-210",B:AZ,column(s1),0)*e769</f>
        <v>0</v>
      </c>
      <c r="U769">
        <f>vlookup("906-443000-210",B:AZ,column(t1),0)*e769</f>
        <v>0</v>
      </c>
      <c r="V769">
        <f>vlookup("906-443000-210",B:AZ,column(u1),0)*e769</f>
        <v>0</v>
      </c>
      <c r="W769">
        <f>vlookup("906-443000-210",B:AZ,column(v1),0)*e769</f>
        <v>0</v>
      </c>
      <c r="X769">
        <f>vlookup("906-443000-210",B:AZ,column(w1),0)*e769</f>
        <v>0</v>
      </c>
      <c r="Y769">
        <f>vlookup("906-443000-210",B:AZ,column(x1),0)*e769</f>
        <v>0</v>
      </c>
      <c r="Z769">
        <f>vlookup("906-443000-210",B:AZ,column(y1),0)*e769</f>
        <v>0</v>
      </c>
      <c r="AA769">
        <f>vlookup("906-443000-210",B:AZ,column(z1),0)*e769</f>
        <v>0</v>
      </c>
      <c r="AB769">
        <f>vlookup("906-443000-210",B:AZ,column(aa1),0)*e769</f>
        <v>0</v>
      </c>
      <c r="AC769">
        <f>vlookup("906-443000-210",B:AZ,column(ab1),0)*e769</f>
        <v>0</v>
      </c>
      <c r="AD769">
        <f>vlookup("906-443000-210",B:AZ,column(ac1),0)*e769</f>
        <v>0</v>
      </c>
      <c r="AE769">
        <f>vlookup("906-443000-210",B:AZ,column(ad1),0)*e769</f>
        <v>0</v>
      </c>
      <c r="AF769">
        <f>vlookup("906-443000-210",B:AZ,column(ae1),0)*e769</f>
        <v>0</v>
      </c>
      <c r="AG769">
        <f>vlookup("906-443000-210",B:AZ,column(af1),0)*e769</f>
        <v>0</v>
      </c>
      <c r="AH769">
        <f>vlookup("906-443000-210",B:AZ,column(ag1),0)*e769</f>
        <v>0</v>
      </c>
      <c r="AI769">
        <f>vlookup("906-443000-210",B:AZ,column(ah1),0)*e769</f>
        <v>0</v>
      </c>
      <c r="AJ769">
        <f>vlookup("906-443000-210",B:AZ,column(ai1),0)*e769</f>
        <v>0</v>
      </c>
      <c r="AK769">
        <f>vlookup("906-443000-210",B:AZ,column(aj1),0)*e769</f>
        <v>0</v>
      </c>
      <c r="AL769">
        <f>vlookup("906-443000-210",B:AZ,column(ak1),0)*e769</f>
        <v>0</v>
      </c>
      <c r="AM769">
        <f>vlookup("906-443000-210",B:AZ,column(al1),0)*e769</f>
        <v>0</v>
      </c>
      <c r="AN769">
        <f>vlookup("906-443000-210",B:AZ,column(am1),0)*e769</f>
        <v>0</v>
      </c>
      <c r="AO769">
        <f>vlookup("906-443000-210",B:AZ,column(an1),0)*e769</f>
        <v>0</v>
      </c>
    </row>
    <row r="770" spans="1:41">
      <c r="A770" t="s">
        <v>22</v>
      </c>
      <c r="B770" t="s">
        <v>813</v>
      </c>
      <c r="C770" t="s">
        <v>808</v>
      </c>
      <c r="E770">
        <v>1</v>
      </c>
      <c r="F770" t="s">
        <v>13</v>
      </c>
      <c r="I770" t="s">
        <v>15</v>
      </c>
      <c r="J770">
        <f>vlookup("906-443000-210",B:AZ,column(i1),0)*e770</f>
        <v>0</v>
      </c>
      <c r="K770">
        <f>vlookup("906-443000-210",B:AZ,column(j1),0)*e770</f>
        <v>0</v>
      </c>
      <c r="L770">
        <f>vlookup("906-443000-210",B:AZ,column(k1),0)*e770</f>
        <v>0</v>
      </c>
      <c r="M770">
        <f>vlookup("906-443000-210",B:AZ,column(l1),0)*e770</f>
        <v>0</v>
      </c>
      <c r="N770">
        <f>vlookup("906-443000-210",B:AZ,column(m1),0)*e770</f>
        <v>0</v>
      </c>
      <c r="O770">
        <f>vlookup("906-443000-210",B:AZ,column(n1),0)*e770</f>
        <v>0</v>
      </c>
      <c r="P770">
        <f>vlookup("906-443000-210",B:AZ,column(o1),0)*e770</f>
        <v>0</v>
      </c>
      <c r="Q770">
        <f>vlookup("906-443000-210",B:AZ,column(p1),0)*e770</f>
        <v>0</v>
      </c>
      <c r="R770">
        <f>vlookup("906-443000-210",B:AZ,column(q1),0)*e770</f>
        <v>0</v>
      </c>
      <c r="S770">
        <f>vlookup("906-443000-210",B:AZ,column(r1),0)*e770</f>
        <v>0</v>
      </c>
      <c r="T770">
        <f>vlookup("906-443000-210",B:AZ,column(s1),0)*e770</f>
        <v>0</v>
      </c>
      <c r="U770">
        <f>vlookup("906-443000-210",B:AZ,column(t1),0)*e770</f>
        <v>0</v>
      </c>
      <c r="V770">
        <f>vlookup("906-443000-210",B:AZ,column(u1),0)*e770</f>
        <v>0</v>
      </c>
      <c r="W770">
        <f>vlookup("906-443000-210",B:AZ,column(v1),0)*e770</f>
        <v>0</v>
      </c>
      <c r="X770">
        <f>vlookup("906-443000-210",B:AZ,column(w1),0)*e770</f>
        <v>0</v>
      </c>
      <c r="Y770">
        <f>vlookup("906-443000-210",B:AZ,column(x1),0)*e770</f>
        <v>0</v>
      </c>
      <c r="Z770">
        <f>vlookup("906-443000-210",B:AZ,column(y1),0)*e770</f>
        <v>0</v>
      </c>
      <c r="AA770">
        <f>vlookup("906-443000-210",B:AZ,column(z1),0)*e770</f>
        <v>0</v>
      </c>
      <c r="AB770">
        <f>vlookup("906-443000-210",B:AZ,column(aa1),0)*e770</f>
        <v>0</v>
      </c>
      <c r="AC770">
        <f>vlookup("906-443000-210",B:AZ,column(ab1),0)*e770</f>
        <v>0</v>
      </c>
      <c r="AD770">
        <f>vlookup("906-443000-210",B:AZ,column(ac1),0)*e770</f>
        <v>0</v>
      </c>
      <c r="AE770">
        <f>vlookup("906-443000-210",B:AZ,column(ad1),0)*e770</f>
        <v>0</v>
      </c>
      <c r="AF770">
        <f>vlookup("906-443000-210",B:AZ,column(ae1),0)*e770</f>
        <v>0</v>
      </c>
      <c r="AG770">
        <f>vlookup("906-443000-210",B:AZ,column(af1),0)*e770</f>
        <v>0</v>
      </c>
      <c r="AH770">
        <f>vlookup("906-443000-210",B:AZ,column(ag1),0)*e770</f>
        <v>0</v>
      </c>
      <c r="AI770">
        <f>vlookup("906-443000-210",B:AZ,column(ah1),0)*e770</f>
        <v>0</v>
      </c>
      <c r="AJ770">
        <f>vlookup("906-443000-210",B:AZ,column(ai1),0)*e770</f>
        <v>0</v>
      </c>
      <c r="AK770">
        <f>vlookup("906-443000-210",B:AZ,column(aj1),0)*e770</f>
        <v>0</v>
      </c>
      <c r="AL770">
        <f>vlookup("906-443000-210",B:AZ,column(ak1),0)*e770</f>
        <v>0</v>
      </c>
      <c r="AM770">
        <f>vlookup("906-443000-210",B:AZ,column(al1),0)*e770</f>
        <v>0</v>
      </c>
      <c r="AN770">
        <f>vlookup("906-443000-210",B:AZ,column(am1),0)*e770</f>
        <v>0</v>
      </c>
      <c r="AO770">
        <f>vlookup("906-443000-210",B:AZ,column(an1),0)*e770</f>
        <v>0</v>
      </c>
    </row>
    <row r="771" spans="1:41">
      <c r="A771" t="s">
        <v>22</v>
      </c>
      <c r="B771" t="s">
        <v>809</v>
      </c>
      <c r="C771" t="s">
        <v>810</v>
      </c>
      <c r="E771">
        <v>0.25</v>
      </c>
      <c r="F771" t="s">
        <v>13</v>
      </c>
      <c r="I771" t="s">
        <v>15</v>
      </c>
      <c r="J771">
        <f>vlookup("906-443000-210",B:AZ,column(i1),0)*e771</f>
        <v>0</v>
      </c>
      <c r="K771">
        <f>vlookup("906-443000-210",B:AZ,column(j1),0)*e771</f>
        <v>0</v>
      </c>
      <c r="L771">
        <f>vlookup("906-443000-210",B:AZ,column(k1),0)*e771</f>
        <v>0</v>
      </c>
      <c r="M771">
        <f>vlookup("906-443000-210",B:AZ,column(l1),0)*e771</f>
        <v>0</v>
      </c>
      <c r="N771">
        <f>vlookup("906-443000-210",B:AZ,column(m1),0)*e771</f>
        <v>0</v>
      </c>
      <c r="O771">
        <f>vlookup("906-443000-210",B:AZ,column(n1),0)*e771</f>
        <v>0</v>
      </c>
      <c r="P771">
        <f>vlookup("906-443000-210",B:AZ,column(o1),0)*e771</f>
        <v>0</v>
      </c>
      <c r="Q771">
        <f>vlookup("906-443000-210",B:AZ,column(p1),0)*e771</f>
        <v>0</v>
      </c>
      <c r="R771">
        <f>vlookup("906-443000-210",B:AZ,column(q1),0)*e771</f>
        <v>0</v>
      </c>
      <c r="S771">
        <f>vlookup("906-443000-210",B:AZ,column(r1),0)*e771</f>
        <v>0</v>
      </c>
      <c r="T771">
        <f>vlookup("906-443000-210",B:AZ,column(s1),0)*e771</f>
        <v>0</v>
      </c>
      <c r="U771">
        <f>vlookup("906-443000-210",B:AZ,column(t1),0)*e771</f>
        <v>0</v>
      </c>
      <c r="V771">
        <f>vlookup("906-443000-210",B:AZ,column(u1),0)*e771</f>
        <v>0</v>
      </c>
      <c r="W771">
        <f>vlookup("906-443000-210",B:AZ,column(v1),0)*e771</f>
        <v>0</v>
      </c>
      <c r="X771">
        <f>vlookup("906-443000-210",B:AZ,column(w1),0)*e771</f>
        <v>0</v>
      </c>
      <c r="Y771">
        <f>vlookup("906-443000-210",B:AZ,column(x1),0)*e771</f>
        <v>0</v>
      </c>
      <c r="Z771">
        <f>vlookup("906-443000-210",B:AZ,column(y1),0)*e771</f>
        <v>0</v>
      </c>
      <c r="AA771">
        <f>vlookup("906-443000-210",B:AZ,column(z1),0)*e771</f>
        <v>0</v>
      </c>
      <c r="AB771">
        <f>vlookup("906-443000-210",B:AZ,column(aa1),0)*e771</f>
        <v>0</v>
      </c>
      <c r="AC771">
        <f>vlookup("906-443000-210",B:AZ,column(ab1),0)*e771</f>
        <v>0</v>
      </c>
      <c r="AD771">
        <f>vlookup("906-443000-210",B:AZ,column(ac1),0)*e771</f>
        <v>0</v>
      </c>
      <c r="AE771">
        <f>vlookup("906-443000-210",B:AZ,column(ad1),0)*e771</f>
        <v>0</v>
      </c>
      <c r="AF771">
        <f>vlookup("906-443000-210",B:AZ,column(ae1),0)*e771</f>
        <v>0</v>
      </c>
      <c r="AG771">
        <f>vlookup("906-443000-210",B:AZ,column(af1),0)*e771</f>
        <v>0</v>
      </c>
      <c r="AH771">
        <f>vlookup("906-443000-210",B:AZ,column(ag1),0)*e771</f>
        <v>0</v>
      </c>
      <c r="AI771">
        <f>vlookup("906-443000-210",B:AZ,column(ah1),0)*e771</f>
        <v>0</v>
      </c>
      <c r="AJ771">
        <f>vlookup("906-443000-210",B:AZ,column(ai1),0)*e771</f>
        <v>0</v>
      </c>
      <c r="AK771">
        <f>vlookup("906-443000-210",B:AZ,column(aj1),0)*e771</f>
        <v>0</v>
      </c>
      <c r="AL771">
        <f>vlookup("906-443000-210",B:AZ,column(ak1),0)*e771</f>
        <v>0</v>
      </c>
      <c r="AM771">
        <f>vlookup("906-443000-210",B:AZ,column(al1),0)*e771</f>
        <v>0</v>
      </c>
      <c r="AN771">
        <f>vlookup("906-443000-210",B:AZ,column(am1),0)*e771</f>
        <v>0</v>
      </c>
      <c r="AO771">
        <f>vlookup("906-443000-210",B:AZ,column(an1),0)*e771</f>
        <v>0</v>
      </c>
    </row>
    <row r="772" spans="1:41">
      <c r="A772" t="s">
        <v>10</v>
      </c>
      <c r="B772" t="s">
        <v>814</v>
      </c>
      <c r="C772" t="s">
        <v>815</v>
      </c>
      <c r="E772">
        <v>0.25</v>
      </c>
      <c r="F772" t="s">
        <v>13</v>
      </c>
      <c r="I772" t="s">
        <v>14</v>
      </c>
      <c r="AO772">
        <f>sum(j772:an772)</f>
        <v>0</v>
      </c>
    </row>
    <row r="773" spans="1:41">
      <c r="I773" t="s">
        <v>15</v>
      </c>
      <c r="J773">
        <f>vlookup("906-337348-110",Out!B:AZ,column(i1),0)</f>
        <v>0</v>
      </c>
      <c r="K773">
        <f>vlookup("906-337348-110",Out!B:AZ,column(j1),0)</f>
        <v>0</v>
      </c>
      <c r="L773">
        <f>vlookup("906-337348-110",Out!B:AZ,column(k1),0)</f>
        <v>0</v>
      </c>
      <c r="M773">
        <f>vlookup("906-337348-110",Out!B:AZ,column(l1),0)</f>
        <v>0</v>
      </c>
      <c r="N773">
        <f>vlookup("906-337348-110",Out!B:AZ,column(m1),0)</f>
        <v>0</v>
      </c>
      <c r="O773">
        <f>vlookup("906-337348-110",Out!B:AZ,column(n1),0)</f>
        <v>0</v>
      </c>
      <c r="P773">
        <f>vlookup("906-337348-110",Out!B:AZ,column(o1),0)</f>
        <v>0</v>
      </c>
      <c r="Q773">
        <f>vlookup("906-337348-110",Out!B:AZ,column(p1),0)</f>
        <v>0</v>
      </c>
      <c r="R773">
        <f>vlookup("906-337348-110",Out!B:AZ,column(q1),0)</f>
        <v>0</v>
      </c>
      <c r="S773">
        <f>vlookup("906-337348-110",Out!B:AZ,column(r1),0)</f>
        <v>0</v>
      </c>
      <c r="T773">
        <f>vlookup("906-337348-110",Out!B:AZ,column(s1),0)</f>
        <v>0</v>
      </c>
      <c r="U773">
        <f>vlookup("906-337348-110",Out!B:AZ,column(t1),0)</f>
        <v>0</v>
      </c>
      <c r="V773">
        <f>vlookup("906-337348-110",Out!B:AZ,column(u1),0)</f>
        <v>0</v>
      </c>
      <c r="W773">
        <f>vlookup("906-337348-110",Out!B:AZ,column(v1),0)</f>
        <v>0</v>
      </c>
      <c r="X773">
        <f>vlookup("906-337348-110",Out!B:AZ,column(w1),0)</f>
        <v>0</v>
      </c>
      <c r="Y773">
        <f>vlookup("906-337348-110",Out!B:AZ,column(x1),0)</f>
        <v>0</v>
      </c>
      <c r="Z773">
        <f>vlookup("906-337348-110",Out!B:AZ,column(y1),0)</f>
        <v>0</v>
      </c>
      <c r="AA773">
        <f>vlookup("906-337348-110",Out!B:AZ,column(z1),0)</f>
        <v>0</v>
      </c>
      <c r="AB773">
        <f>vlookup("906-337348-110",Out!B:AZ,column(aa1),0)</f>
        <v>0</v>
      </c>
      <c r="AC773">
        <f>vlookup("906-337348-110",Out!B:AZ,column(ab1),0)</f>
        <v>0</v>
      </c>
      <c r="AD773">
        <f>vlookup("906-337348-110",Out!B:AZ,column(ac1),0)</f>
        <v>0</v>
      </c>
      <c r="AE773">
        <f>vlookup("906-337348-110",Out!B:AZ,column(ad1),0)</f>
        <v>0</v>
      </c>
      <c r="AF773">
        <f>vlookup("906-337348-110",Out!B:AZ,column(ae1),0)</f>
        <v>0</v>
      </c>
      <c r="AG773">
        <f>vlookup("906-337348-110",Out!B:AZ,column(af1),0)</f>
        <v>0</v>
      </c>
      <c r="AH773">
        <f>vlookup("906-337348-110",Out!B:AZ,column(ag1),0)</f>
        <v>0</v>
      </c>
      <c r="AI773">
        <f>vlookup("906-337348-110",Out!B:AZ,column(ah1),0)</f>
        <v>0</v>
      </c>
      <c r="AJ773">
        <f>vlookup("906-337348-110",Out!B:AZ,column(ai1),0)</f>
        <v>0</v>
      </c>
      <c r="AK773">
        <f>vlookup("906-337348-110",Out!B:AZ,column(aj1),0)</f>
        <v>0</v>
      </c>
      <c r="AL773">
        <f>vlookup("906-337348-110",Out!B:AZ,column(ak1),0)</f>
        <v>0</v>
      </c>
      <c r="AM773">
        <f>vlookup("906-337348-110",Out!B:AZ,column(al1),0)</f>
        <v>0</v>
      </c>
      <c r="AN773">
        <f>vlookup("906-337348-110",Out!B:AZ,column(am1),0)</f>
        <v>0</v>
      </c>
      <c r="AO773">
        <f>vlookup("906-337348-110",Out!B:AZ,column(an1),0)</f>
        <v>0</v>
      </c>
    </row>
    <row r="774" spans="1:41">
      <c r="H774" t="s">
        <v>16</v>
      </c>
      <c r="J774">
        <f>indirect(address(774,9))+indirect(address(772,10))-indirect(address(773,10))</f>
        <v>0</v>
      </c>
      <c r="K774">
        <f>indirect(address(774,10))+indirect(address(772,11))-indirect(address(773,11))</f>
        <v>0</v>
      </c>
      <c r="L774">
        <f>indirect(address(774,11))+indirect(address(772,12))-indirect(address(773,12))</f>
        <v>0</v>
      </c>
      <c r="M774">
        <f>indirect(address(774,12))+indirect(address(772,13))-indirect(address(773,13))</f>
        <v>0</v>
      </c>
      <c r="N774">
        <f>indirect(address(774,13))+indirect(address(772,14))-indirect(address(773,14))</f>
        <v>0</v>
      </c>
      <c r="O774">
        <f>indirect(address(774,14))+indirect(address(772,15))-indirect(address(773,15))</f>
        <v>0</v>
      </c>
      <c r="P774">
        <f>indirect(address(774,15))+indirect(address(772,16))-indirect(address(773,16))</f>
        <v>0</v>
      </c>
      <c r="Q774">
        <f>indirect(address(774,16))+indirect(address(772,17))-indirect(address(773,17))</f>
        <v>0</v>
      </c>
      <c r="R774">
        <f>indirect(address(774,17))+indirect(address(772,18))-indirect(address(773,18))</f>
        <v>0</v>
      </c>
      <c r="S774">
        <f>indirect(address(774,18))+indirect(address(772,19))-indirect(address(773,19))</f>
        <v>0</v>
      </c>
      <c r="T774">
        <f>indirect(address(774,19))+indirect(address(772,20))-indirect(address(773,20))</f>
        <v>0</v>
      </c>
      <c r="U774">
        <f>indirect(address(774,20))+indirect(address(772,21))-indirect(address(773,21))</f>
        <v>0</v>
      </c>
      <c r="V774">
        <f>indirect(address(774,21))+indirect(address(772,22))-indirect(address(773,22))</f>
        <v>0</v>
      </c>
      <c r="W774">
        <f>indirect(address(774,22))+indirect(address(772,23))-indirect(address(773,23))</f>
        <v>0</v>
      </c>
      <c r="X774">
        <f>indirect(address(774,23))+indirect(address(772,24))-indirect(address(773,24))</f>
        <v>0</v>
      </c>
      <c r="Y774">
        <f>indirect(address(774,24))+indirect(address(772,25))-indirect(address(773,25))</f>
        <v>0</v>
      </c>
      <c r="Z774">
        <f>indirect(address(774,25))+indirect(address(772,26))-indirect(address(773,26))</f>
        <v>0</v>
      </c>
      <c r="AA774">
        <f>indirect(address(774,26))+indirect(address(772,27))-indirect(address(773,27))</f>
        <v>0</v>
      </c>
      <c r="AB774">
        <f>indirect(address(774,27))+indirect(address(772,28))-indirect(address(773,28))</f>
        <v>0</v>
      </c>
      <c r="AC774">
        <f>indirect(address(774,28))+indirect(address(772,29))-indirect(address(773,29))</f>
        <v>0</v>
      </c>
      <c r="AD774">
        <f>indirect(address(774,29))+indirect(address(772,30))-indirect(address(773,30))</f>
        <v>0</v>
      </c>
      <c r="AE774">
        <f>indirect(address(774,30))+indirect(address(772,31))-indirect(address(773,31))</f>
        <v>0</v>
      </c>
      <c r="AF774">
        <f>indirect(address(774,31))+indirect(address(772,32))-indirect(address(773,32))</f>
        <v>0</v>
      </c>
      <c r="AG774">
        <f>indirect(address(774,32))+indirect(address(772,33))-indirect(address(773,33))</f>
        <v>0</v>
      </c>
      <c r="AH774">
        <f>indirect(address(774,33))+indirect(address(772,34))-indirect(address(773,34))</f>
        <v>0</v>
      </c>
      <c r="AI774">
        <f>indirect(address(774,34))+indirect(address(772,35))-indirect(address(773,35))</f>
        <v>0</v>
      </c>
      <c r="AJ774">
        <f>indirect(address(774,35))+indirect(address(772,36))-indirect(address(773,36))</f>
        <v>0</v>
      </c>
      <c r="AK774">
        <f>indirect(address(774,36))+indirect(address(772,37))-indirect(address(773,37))</f>
        <v>0</v>
      </c>
      <c r="AL774">
        <f>indirect(address(774,37))+indirect(address(772,38))-indirect(address(773,38))</f>
        <v>0</v>
      </c>
      <c r="AM774">
        <f>indirect(address(774,38))+indirect(address(772,39))-indirect(address(773,39))</f>
        <v>0</v>
      </c>
      <c r="AN774">
        <f>indirect(address(774,39))+indirect(address(772,40))-indirect(address(773,40))</f>
        <v>0</v>
      </c>
      <c r="AO774">
        <f>indirect(address(774,40))</f>
        <v>0</v>
      </c>
    </row>
    <row r="775" spans="1:41">
      <c r="A775" t="s">
        <v>17</v>
      </c>
      <c r="B775" t="s">
        <v>814</v>
      </c>
      <c r="C775" t="s">
        <v>816</v>
      </c>
      <c r="E775">
        <v>1</v>
      </c>
      <c r="F775" t="s">
        <v>13</v>
      </c>
      <c r="I775" t="s">
        <v>15</v>
      </c>
      <c r="J775">
        <f>vlookup("906-337348-110",B:AZ,column(i1),0)*e775</f>
        <v>0</v>
      </c>
      <c r="K775">
        <f>vlookup("906-337348-110",B:AZ,column(j1),0)*e775</f>
        <v>0</v>
      </c>
      <c r="L775">
        <f>vlookup("906-337348-110",B:AZ,column(k1),0)*e775</f>
        <v>0</v>
      </c>
      <c r="M775">
        <f>vlookup("906-337348-110",B:AZ,column(l1),0)*e775</f>
        <v>0</v>
      </c>
      <c r="N775">
        <f>vlookup("906-337348-110",B:AZ,column(m1),0)*e775</f>
        <v>0</v>
      </c>
      <c r="O775">
        <f>vlookup("906-337348-110",B:AZ,column(n1),0)*e775</f>
        <v>0</v>
      </c>
      <c r="P775">
        <f>vlookup("906-337348-110",B:AZ,column(o1),0)*e775</f>
        <v>0</v>
      </c>
      <c r="Q775">
        <f>vlookup("906-337348-110",B:AZ,column(p1),0)*e775</f>
        <v>0</v>
      </c>
      <c r="R775">
        <f>vlookup("906-337348-110",B:AZ,column(q1),0)*e775</f>
        <v>0</v>
      </c>
      <c r="S775">
        <f>vlookup("906-337348-110",B:AZ,column(r1),0)*e775</f>
        <v>0</v>
      </c>
      <c r="T775">
        <f>vlookup("906-337348-110",B:AZ,column(s1),0)*e775</f>
        <v>0</v>
      </c>
      <c r="U775">
        <f>vlookup("906-337348-110",B:AZ,column(t1),0)*e775</f>
        <v>0</v>
      </c>
      <c r="V775">
        <f>vlookup("906-337348-110",B:AZ,column(u1),0)*e775</f>
        <v>0</v>
      </c>
      <c r="W775">
        <f>vlookup("906-337348-110",B:AZ,column(v1),0)*e775</f>
        <v>0</v>
      </c>
      <c r="X775">
        <f>vlookup("906-337348-110",B:AZ,column(w1),0)*e775</f>
        <v>0</v>
      </c>
      <c r="Y775">
        <f>vlookup("906-337348-110",B:AZ,column(x1),0)*e775</f>
        <v>0</v>
      </c>
      <c r="Z775">
        <f>vlookup("906-337348-110",B:AZ,column(y1),0)*e775</f>
        <v>0</v>
      </c>
      <c r="AA775">
        <f>vlookup("906-337348-110",B:AZ,column(z1),0)*e775</f>
        <v>0</v>
      </c>
      <c r="AB775">
        <f>vlookup("906-337348-110",B:AZ,column(aa1),0)*e775</f>
        <v>0</v>
      </c>
      <c r="AC775">
        <f>vlookup("906-337348-110",B:AZ,column(ab1),0)*e775</f>
        <v>0</v>
      </c>
      <c r="AD775">
        <f>vlookup("906-337348-110",B:AZ,column(ac1),0)*e775</f>
        <v>0</v>
      </c>
      <c r="AE775">
        <f>vlookup("906-337348-110",B:AZ,column(ad1),0)*e775</f>
        <v>0</v>
      </c>
      <c r="AF775">
        <f>vlookup("906-337348-110",B:AZ,column(ae1),0)*e775</f>
        <v>0</v>
      </c>
      <c r="AG775">
        <f>vlookup("906-337348-110",B:AZ,column(af1),0)*e775</f>
        <v>0</v>
      </c>
      <c r="AH775">
        <f>vlookup("906-337348-110",B:AZ,column(ag1),0)*e775</f>
        <v>0</v>
      </c>
      <c r="AI775">
        <f>vlookup("906-337348-110",B:AZ,column(ah1),0)*e775</f>
        <v>0</v>
      </c>
      <c r="AJ775">
        <f>vlookup("906-337348-110",B:AZ,column(ai1),0)*e775</f>
        <v>0</v>
      </c>
      <c r="AK775">
        <f>vlookup("906-337348-110",B:AZ,column(aj1),0)*e775</f>
        <v>0</v>
      </c>
      <c r="AL775">
        <f>vlookup("906-337348-110",B:AZ,column(ak1),0)*e775</f>
        <v>0</v>
      </c>
      <c r="AM775">
        <f>vlookup("906-337348-110",B:AZ,column(al1),0)*e775</f>
        <v>0</v>
      </c>
      <c r="AN775">
        <f>vlookup("906-337348-110",B:AZ,column(am1),0)*e775</f>
        <v>0</v>
      </c>
      <c r="AO775">
        <f>vlookup("906-337348-110",B:AZ,column(an1),0)*e775</f>
        <v>0</v>
      </c>
    </row>
    <row r="776" spans="1:41">
      <c r="A776" t="s">
        <v>17</v>
      </c>
      <c r="B776" t="s">
        <v>817</v>
      </c>
      <c r="C776" t="s">
        <v>818</v>
      </c>
      <c r="E776">
        <v>1</v>
      </c>
      <c r="F776" t="s">
        <v>13</v>
      </c>
      <c r="I776" t="s">
        <v>15</v>
      </c>
      <c r="J776">
        <f>vlookup("906-337348-110",B:AZ,column(i1),0)*e776</f>
        <v>0</v>
      </c>
      <c r="K776">
        <f>vlookup("906-337348-110",B:AZ,column(j1),0)*e776</f>
        <v>0</v>
      </c>
      <c r="L776">
        <f>vlookup("906-337348-110",B:AZ,column(k1),0)*e776</f>
        <v>0</v>
      </c>
      <c r="M776">
        <f>vlookup("906-337348-110",B:AZ,column(l1),0)*e776</f>
        <v>0</v>
      </c>
      <c r="N776">
        <f>vlookup("906-337348-110",B:AZ,column(m1),0)*e776</f>
        <v>0</v>
      </c>
      <c r="O776">
        <f>vlookup("906-337348-110",B:AZ,column(n1),0)*e776</f>
        <v>0</v>
      </c>
      <c r="P776">
        <f>vlookup("906-337348-110",B:AZ,column(o1),0)*e776</f>
        <v>0</v>
      </c>
      <c r="Q776">
        <f>vlookup("906-337348-110",B:AZ,column(p1),0)*e776</f>
        <v>0</v>
      </c>
      <c r="R776">
        <f>vlookup("906-337348-110",B:AZ,column(q1),0)*e776</f>
        <v>0</v>
      </c>
      <c r="S776">
        <f>vlookup("906-337348-110",B:AZ,column(r1),0)*e776</f>
        <v>0</v>
      </c>
      <c r="T776">
        <f>vlookup("906-337348-110",B:AZ,column(s1),0)*e776</f>
        <v>0</v>
      </c>
      <c r="U776">
        <f>vlookup("906-337348-110",B:AZ,column(t1),0)*e776</f>
        <v>0</v>
      </c>
      <c r="V776">
        <f>vlookup("906-337348-110",B:AZ,column(u1),0)*e776</f>
        <v>0</v>
      </c>
      <c r="W776">
        <f>vlookup("906-337348-110",B:AZ,column(v1),0)*e776</f>
        <v>0</v>
      </c>
      <c r="X776">
        <f>vlookup("906-337348-110",B:AZ,column(w1),0)*e776</f>
        <v>0</v>
      </c>
      <c r="Y776">
        <f>vlookup("906-337348-110",B:AZ,column(x1),0)*e776</f>
        <v>0</v>
      </c>
      <c r="Z776">
        <f>vlookup("906-337348-110",B:AZ,column(y1),0)*e776</f>
        <v>0</v>
      </c>
      <c r="AA776">
        <f>vlookup("906-337348-110",B:AZ,column(z1),0)*e776</f>
        <v>0</v>
      </c>
      <c r="AB776">
        <f>vlookup("906-337348-110",B:AZ,column(aa1),0)*e776</f>
        <v>0</v>
      </c>
      <c r="AC776">
        <f>vlookup("906-337348-110",B:AZ,column(ab1),0)*e776</f>
        <v>0</v>
      </c>
      <c r="AD776">
        <f>vlookup("906-337348-110",B:AZ,column(ac1),0)*e776</f>
        <v>0</v>
      </c>
      <c r="AE776">
        <f>vlookup("906-337348-110",B:AZ,column(ad1),0)*e776</f>
        <v>0</v>
      </c>
      <c r="AF776">
        <f>vlookup("906-337348-110",B:AZ,column(ae1),0)*e776</f>
        <v>0</v>
      </c>
      <c r="AG776">
        <f>vlookup("906-337348-110",B:AZ,column(af1),0)*e776</f>
        <v>0</v>
      </c>
      <c r="AH776">
        <f>vlookup("906-337348-110",B:AZ,column(ag1),0)*e776</f>
        <v>0</v>
      </c>
      <c r="AI776">
        <f>vlookup("906-337348-110",B:AZ,column(ah1),0)*e776</f>
        <v>0</v>
      </c>
      <c r="AJ776">
        <f>vlookup("906-337348-110",B:AZ,column(ai1),0)*e776</f>
        <v>0</v>
      </c>
      <c r="AK776">
        <f>vlookup("906-337348-110",B:AZ,column(aj1),0)*e776</f>
        <v>0</v>
      </c>
      <c r="AL776">
        <f>vlookup("906-337348-110",B:AZ,column(ak1),0)*e776</f>
        <v>0</v>
      </c>
      <c r="AM776">
        <f>vlookup("906-337348-110",B:AZ,column(al1),0)*e776</f>
        <v>0</v>
      </c>
      <c r="AN776">
        <f>vlookup("906-337348-110",B:AZ,column(am1),0)*e776</f>
        <v>0</v>
      </c>
      <c r="AO776">
        <f>vlookup("906-337348-110",B:AZ,column(an1),0)*e776</f>
        <v>0</v>
      </c>
    </row>
    <row r="777" spans="1:41">
      <c r="A777" t="s">
        <v>22</v>
      </c>
      <c r="B777" t="s">
        <v>819</v>
      </c>
      <c r="C777" t="s">
        <v>820</v>
      </c>
      <c r="E777">
        <v>1</v>
      </c>
      <c r="F777" t="s">
        <v>13</v>
      </c>
      <c r="I777" t="s">
        <v>15</v>
      </c>
      <c r="J777">
        <f>vlookup("906-337348-110",B:AZ,column(i1),0)*e777</f>
        <v>0</v>
      </c>
      <c r="K777">
        <f>vlookup("906-337348-110",B:AZ,column(j1),0)*e777</f>
        <v>0</v>
      </c>
      <c r="L777">
        <f>vlookup("906-337348-110",B:AZ,column(k1),0)*e777</f>
        <v>0</v>
      </c>
      <c r="M777">
        <f>vlookup("906-337348-110",B:AZ,column(l1),0)*e777</f>
        <v>0</v>
      </c>
      <c r="N777">
        <f>vlookup("906-337348-110",B:AZ,column(m1),0)*e777</f>
        <v>0</v>
      </c>
      <c r="O777">
        <f>vlookup("906-337348-110",B:AZ,column(n1),0)*e777</f>
        <v>0</v>
      </c>
      <c r="P777">
        <f>vlookup("906-337348-110",B:AZ,column(o1),0)*e777</f>
        <v>0</v>
      </c>
      <c r="Q777">
        <f>vlookup("906-337348-110",B:AZ,column(p1),0)*e777</f>
        <v>0</v>
      </c>
      <c r="R777">
        <f>vlookup("906-337348-110",B:AZ,column(q1),0)*e777</f>
        <v>0</v>
      </c>
      <c r="S777">
        <f>vlookup("906-337348-110",B:AZ,column(r1),0)*e777</f>
        <v>0</v>
      </c>
      <c r="T777">
        <f>vlookup("906-337348-110",B:AZ,column(s1),0)*e777</f>
        <v>0</v>
      </c>
      <c r="U777">
        <f>vlookup("906-337348-110",B:AZ,column(t1),0)*e777</f>
        <v>0</v>
      </c>
      <c r="V777">
        <f>vlookup("906-337348-110",B:AZ,column(u1),0)*e777</f>
        <v>0</v>
      </c>
      <c r="W777">
        <f>vlookup("906-337348-110",B:AZ,column(v1),0)*e777</f>
        <v>0</v>
      </c>
      <c r="X777">
        <f>vlookup("906-337348-110",B:AZ,column(w1),0)*e777</f>
        <v>0</v>
      </c>
      <c r="Y777">
        <f>vlookup("906-337348-110",B:AZ,column(x1),0)*e777</f>
        <v>0</v>
      </c>
      <c r="Z777">
        <f>vlookup("906-337348-110",B:AZ,column(y1),0)*e777</f>
        <v>0</v>
      </c>
      <c r="AA777">
        <f>vlookup("906-337348-110",B:AZ,column(z1),0)*e777</f>
        <v>0</v>
      </c>
      <c r="AB777">
        <f>vlookup("906-337348-110",B:AZ,column(aa1),0)*e777</f>
        <v>0</v>
      </c>
      <c r="AC777">
        <f>vlookup("906-337348-110",B:AZ,column(ab1),0)*e777</f>
        <v>0</v>
      </c>
      <c r="AD777">
        <f>vlookup("906-337348-110",B:AZ,column(ac1),0)*e777</f>
        <v>0</v>
      </c>
      <c r="AE777">
        <f>vlookup("906-337348-110",B:AZ,column(ad1),0)*e777</f>
        <v>0</v>
      </c>
      <c r="AF777">
        <f>vlookup("906-337348-110",B:AZ,column(ae1),0)*e777</f>
        <v>0</v>
      </c>
      <c r="AG777">
        <f>vlookup("906-337348-110",B:AZ,column(af1),0)*e777</f>
        <v>0</v>
      </c>
      <c r="AH777">
        <f>vlookup("906-337348-110",B:AZ,column(ag1),0)*e777</f>
        <v>0</v>
      </c>
      <c r="AI777">
        <f>vlookup("906-337348-110",B:AZ,column(ah1),0)*e777</f>
        <v>0</v>
      </c>
      <c r="AJ777">
        <f>vlookup("906-337348-110",B:AZ,column(ai1),0)*e777</f>
        <v>0</v>
      </c>
      <c r="AK777">
        <f>vlookup("906-337348-110",B:AZ,column(aj1),0)*e777</f>
        <v>0</v>
      </c>
      <c r="AL777">
        <f>vlookup("906-337348-110",B:AZ,column(ak1),0)*e777</f>
        <v>0</v>
      </c>
      <c r="AM777">
        <f>vlookup("906-337348-110",B:AZ,column(al1),0)*e777</f>
        <v>0</v>
      </c>
      <c r="AN777">
        <f>vlookup("906-337348-110",B:AZ,column(am1),0)*e777</f>
        <v>0</v>
      </c>
      <c r="AO777">
        <f>vlookup("906-337348-110",B:AZ,column(an1),0)*e777</f>
        <v>0</v>
      </c>
    </row>
    <row r="778" spans="1:41">
      <c r="A778" t="s">
        <v>22</v>
      </c>
      <c r="B778" t="s">
        <v>821</v>
      </c>
      <c r="C778" t="s">
        <v>822</v>
      </c>
      <c r="E778">
        <v>0.003</v>
      </c>
      <c r="F778" t="s">
        <v>13</v>
      </c>
      <c r="I778" t="s">
        <v>15</v>
      </c>
      <c r="J778">
        <f>vlookup("906-337348-110",B:AZ,column(i1),0)*e778</f>
        <v>0</v>
      </c>
      <c r="K778">
        <f>vlookup("906-337348-110",B:AZ,column(j1),0)*e778</f>
        <v>0</v>
      </c>
      <c r="L778">
        <f>vlookup("906-337348-110",B:AZ,column(k1),0)*e778</f>
        <v>0</v>
      </c>
      <c r="M778">
        <f>vlookup("906-337348-110",B:AZ,column(l1),0)*e778</f>
        <v>0</v>
      </c>
      <c r="N778">
        <f>vlookup("906-337348-110",B:AZ,column(m1),0)*e778</f>
        <v>0</v>
      </c>
      <c r="O778">
        <f>vlookup("906-337348-110",B:AZ,column(n1),0)*e778</f>
        <v>0</v>
      </c>
      <c r="P778">
        <f>vlookup("906-337348-110",B:AZ,column(o1),0)*e778</f>
        <v>0</v>
      </c>
      <c r="Q778">
        <f>vlookup("906-337348-110",B:AZ,column(p1),0)*e778</f>
        <v>0</v>
      </c>
      <c r="R778">
        <f>vlookup("906-337348-110",B:AZ,column(q1),0)*e778</f>
        <v>0</v>
      </c>
      <c r="S778">
        <f>vlookup("906-337348-110",B:AZ,column(r1),0)*e778</f>
        <v>0</v>
      </c>
      <c r="T778">
        <f>vlookup("906-337348-110",B:AZ,column(s1),0)*e778</f>
        <v>0</v>
      </c>
      <c r="U778">
        <f>vlookup("906-337348-110",B:AZ,column(t1),0)*e778</f>
        <v>0</v>
      </c>
      <c r="V778">
        <f>vlookup("906-337348-110",B:AZ,column(u1),0)*e778</f>
        <v>0</v>
      </c>
      <c r="W778">
        <f>vlookup("906-337348-110",B:AZ,column(v1),0)*e778</f>
        <v>0</v>
      </c>
      <c r="X778">
        <f>vlookup("906-337348-110",B:AZ,column(w1),0)*e778</f>
        <v>0</v>
      </c>
      <c r="Y778">
        <f>vlookup("906-337348-110",B:AZ,column(x1),0)*e778</f>
        <v>0</v>
      </c>
      <c r="Z778">
        <f>vlookup("906-337348-110",B:AZ,column(y1),0)*e778</f>
        <v>0</v>
      </c>
      <c r="AA778">
        <f>vlookup("906-337348-110",B:AZ,column(z1),0)*e778</f>
        <v>0</v>
      </c>
      <c r="AB778">
        <f>vlookup("906-337348-110",B:AZ,column(aa1),0)*e778</f>
        <v>0</v>
      </c>
      <c r="AC778">
        <f>vlookup("906-337348-110",B:AZ,column(ab1),0)*e778</f>
        <v>0</v>
      </c>
      <c r="AD778">
        <f>vlookup("906-337348-110",B:AZ,column(ac1),0)*e778</f>
        <v>0</v>
      </c>
      <c r="AE778">
        <f>vlookup("906-337348-110",B:AZ,column(ad1),0)*e778</f>
        <v>0</v>
      </c>
      <c r="AF778">
        <f>vlookup("906-337348-110",B:AZ,column(ae1),0)*e778</f>
        <v>0</v>
      </c>
      <c r="AG778">
        <f>vlookup("906-337348-110",B:AZ,column(af1),0)*e778</f>
        <v>0</v>
      </c>
      <c r="AH778">
        <f>vlookup("906-337348-110",B:AZ,column(ag1),0)*e778</f>
        <v>0</v>
      </c>
      <c r="AI778">
        <f>vlookup("906-337348-110",B:AZ,column(ah1),0)*e778</f>
        <v>0</v>
      </c>
      <c r="AJ778">
        <f>vlookup("906-337348-110",B:AZ,column(ai1),0)*e778</f>
        <v>0</v>
      </c>
      <c r="AK778">
        <f>vlookup("906-337348-110",B:AZ,column(aj1),0)*e778</f>
        <v>0</v>
      </c>
      <c r="AL778">
        <f>vlookup("906-337348-110",B:AZ,column(ak1),0)*e778</f>
        <v>0</v>
      </c>
      <c r="AM778">
        <f>vlookup("906-337348-110",B:AZ,column(al1),0)*e778</f>
        <v>0</v>
      </c>
      <c r="AN778">
        <f>vlookup("906-337348-110",B:AZ,column(am1),0)*e778</f>
        <v>0</v>
      </c>
      <c r="AO778">
        <f>vlookup("906-337348-110",B:AZ,column(an1),0)*e778</f>
        <v>0</v>
      </c>
    </row>
    <row r="779" spans="1:41">
      <c r="A779" t="s">
        <v>10</v>
      </c>
      <c r="B779" t="s">
        <v>823</v>
      </c>
      <c r="C779" t="s">
        <v>815</v>
      </c>
      <c r="E779">
        <v>0.003</v>
      </c>
      <c r="F779" t="s">
        <v>13</v>
      </c>
      <c r="I779" t="s">
        <v>14</v>
      </c>
      <c r="AO779">
        <f>sum(j779:an779)</f>
        <v>0</v>
      </c>
    </row>
    <row r="780" spans="1:41">
      <c r="I780" t="s">
        <v>15</v>
      </c>
      <c r="J780">
        <f>vlookup("906-338348-110",Out!B:AZ,column(i1),0)</f>
        <v>0</v>
      </c>
      <c r="K780">
        <f>vlookup("906-338348-110",Out!B:AZ,column(j1),0)</f>
        <v>0</v>
      </c>
      <c r="L780">
        <f>vlookup("906-338348-110",Out!B:AZ,column(k1),0)</f>
        <v>0</v>
      </c>
      <c r="M780">
        <f>vlookup("906-338348-110",Out!B:AZ,column(l1),0)</f>
        <v>0</v>
      </c>
      <c r="N780">
        <f>vlookup("906-338348-110",Out!B:AZ,column(m1),0)</f>
        <v>0</v>
      </c>
      <c r="O780">
        <f>vlookup("906-338348-110",Out!B:AZ,column(n1),0)</f>
        <v>0</v>
      </c>
      <c r="P780">
        <f>vlookup("906-338348-110",Out!B:AZ,column(o1),0)</f>
        <v>0</v>
      </c>
      <c r="Q780">
        <f>vlookup("906-338348-110",Out!B:AZ,column(p1),0)</f>
        <v>0</v>
      </c>
      <c r="R780">
        <f>vlookup("906-338348-110",Out!B:AZ,column(q1),0)</f>
        <v>0</v>
      </c>
      <c r="S780">
        <f>vlookup("906-338348-110",Out!B:AZ,column(r1),0)</f>
        <v>0</v>
      </c>
      <c r="T780">
        <f>vlookup("906-338348-110",Out!B:AZ,column(s1),0)</f>
        <v>0</v>
      </c>
      <c r="U780">
        <f>vlookup("906-338348-110",Out!B:AZ,column(t1),0)</f>
        <v>0</v>
      </c>
      <c r="V780">
        <f>vlookup("906-338348-110",Out!B:AZ,column(u1),0)</f>
        <v>0</v>
      </c>
      <c r="W780">
        <f>vlookup("906-338348-110",Out!B:AZ,column(v1),0)</f>
        <v>0</v>
      </c>
      <c r="X780">
        <f>vlookup("906-338348-110",Out!B:AZ,column(w1),0)</f>
        <v>0</v>
      </c>
      <c r="Y780">
        <f>vlookup("906-338348-110",Out!B:AZ,column(x1),0)</f>
        <v>0</v>
      </c>
      <c r="Z780">
        <f>vlookup("906-338348-110",Out!B:AZ,column(y1),0)</f>
        <v>0</v>
      </c>
      <c r="AA780">
        <f>vlookup("906-338348-110",Out!B:AZ,column(z1),0)</f>
        <v>0</v>
      </c>
      <c r="AB780">
        <f>vlookup("906-338348-110",Out!B:AZ,column(aa1),0)</f>
        <v>0</v>
      </c>
      <c r="AC780">
        <f>vlookup("906-338348-110",Out!B:AZ,column(ab1),0)</f>
        <v>0</v>
      </c>
      <c r="AD780">
        <f>vlookup("906-338348-110",Out!B:AZ,column(ac1),0)</f>
        <v>0</v>
      </c>
      <c r="AE780">
        <f>vlookup("906-338348-110",Out!B:AZ,column(ad1),0)</f>
        <v>0</v>
      </c>
      <c r="AF780">
        <f>vlookup("906-338348-110",Out!B:AZ,column(ae1),0)</f>
        <v>0</v>
      </c>
      <c r="AG780">
        <f>vlookup("906-338348-110",Out!B:AZ,column(af1),0)</f>
        <v>0</v>
      </c>
      <c r="AH780">
        <f>vlookup("906-338348-110",Out!B:AZ,column(ag1),0)</f>
        <v>0</v>
      </c>
      <c r="AI780">
        <f>vlookup("906-338348-110",Out!B:AZ,column(ah1),0)</f>
        <v>0</v>
      </c>
      <c r="AJ780">
        <f>vlookup("906-338348-110",Out!B:AZ,column(ai1),0)</f>
        <v>0</v>
      </c>
      <c r="AK780">
        <f>vlookup("906-338348-110",Out!B:AZ,column(aj1),0)</f>
        <v>0</v>
      </c>
      <c r="AL780">
        <f>vlookup("906-338348-110",Out!B:AZ,column(ak1),0)</f>
        <v>0</v>
      </c>
      <c r="AM780">
        <f>vlookup("906-338348-110",Out!B:AZ,column(al1),0)</f>
        <v>0</v>
      </c>
      <c r="AN780">
        <f>vlookup("906-338348-110",Out!B:AZ,column(am1),0)</f>
        <v>0</v>
      </c>
      <c r="AO780">
        <f>vlookup("906-338348-110",Out!B:AZ,column(an1),0)</f>
        <v>0</v>
      </c>
    </row>
    <row r="781" spans="1:41">
      <c r="H781" t="s">
        <v>16</v>
      </c>
      <c r="J781">
        <f>indirect(address(781,9))+indirect(address(779,10))-indirect(address(780,10))</f>
        <v>0</v>
      </c>
      <c r="K781">
        <f>indirect(address(781,10))+indirect(address(779,11))-indirect(address(780,11))</f>
        <v>0</v>
      </c>
      <c r="L781">
        <f>indirect(address(781,11))+indirect(address(779,12))-indirect(address(780,12))</f>
        <v>0</v>
      </c>
      <c r="M781">
        <f>indirect(address(781,12))+indirect(address(779,13))-indirect(address(780,13))</f>
        <v>0</v>
      </c>
      <c r="N781">
        <f>indirect(address(781,13))+indirect(address(779,14))-indirect(address(780,14))</f>
        <v>0</v>
      </c>
      <c r="O781">
        <f>indirect(address(781,14))+indirect(address(779,15))-indirect(address(780,15))</f>
        <v>0</v>
      </c>
      <c r="P781">
        <f>indirect(address(781,15))+indirect(address(779,16))-indirect(address(780,16))</f>
        <v>0</v>
      </c>
      <c r="Q781">
        <f>indirect(address(781,16))+indirect(address(779,17))-indirect(address(780,17))</f>
        <v>0</v>
      </c>
      <c r="R781">
        <f>indirect(address(781,17))+indirect(address(779,18))-indirect(address(780,18))</f>
        <v>0</v>
      </c>
      <c r="S781">
        <f>indirect(address(781,18))+indirect(address(779,19))-indirect(address(780,19))</f>
        <v>0</v>
      </c>
      <c r="T781">
        <f>indirect(address(781,19))+indirect(address(779,20))-indirect(address(780,20))</f>
        <v>0</v>
      </c>
      <c r="U781">
        <f>indirect(address(781,20))+indirect(address(779,21))-indirect(address(780,21))</f>
        <v>0</v>
      </c>
      <c r="V781">
        <f>indirect(address(781,21))+indirect(address(779,22))-indirect(address(780,22))</f>
        <v>0</v>
      </c>
      <c r="W781">
        <f>indirect(address(781,22))+indirect(address(779,23))-indirect(address(780,23))</f>
        <v>0</v>
      </c>
      <c r="X781">
        <f>indirect(address(781,23))+indirect(address(779,24))-indirect(address(780,24))</f>
        <v>0</v>
      </c>
      <c r="Y781">
        <f>indirect(address(781,24))+indirect(address(779,25))-indirect(address(780,25))</f>
        <v>0</v>
      </c>
      <c r="Z781">
        <f>indirect(address(781,25))+indirect(address(779,26))-indirect(address(780,26))</f>
        <v>0</v>
      </c>
      <c r="AA781">
        <f>indirect(address(781,26))+indirect(address(779,27))-indirect(address(780,27))</f>
        <v>0</v>
      </c>
      <c r="AB781">
        <f>indirect(address(781,27))+indirect(address(779,28))-indirect(address(780,28))</f>
        <v>0</v>
      </c>
      <c r="AC781">
        <f>indirect(address(781,28))+indirect(address(779,29))-indirect(address(780,29))</f>
        <v>0</v>
      </c>
      <c r="AD781">
        <f>indirect(address(781,29))+indirect(address(779,30))-indirect(address(780,30))</f>
        <v>0</v>
      </c>
      <c r="AE781">
        <f>indirect(address(781,30))+indirect(address(779,31))-indirect(address(780,31))</f>
        <v>0</v>
      </c>
      <c r="AF781">
        <f>indirect(address(781,31))+indirect(address(779,32))-indirect(address(780,32))</f>
        <v>0</v>
      </c>
      <c r="AG781">
        <f>indirect(address(781,32))+indirect(address(779,33))-indirect(address(780,33))</f>
        <v>0</v>
      </c>
      <c r="AH781">
        <f>indirect(address(781,33))+indirect(address(779,34))-indirect(address(780,34))</f>
        <v>0</v>
      </c>
      <c r="AI781">
        <f>indirect(address(781,34))+indirect(address(779,35))-indirect(address(780,35))</f>
        <v>0</v>
      </c>
      <c r="AJ781">
        <f>indirect(address(781,35))+indirect(address(779,36))-indirect(address(780,36))</f>
        <v>0</v>
      </c>
      <c r="AK781">
        <f>indirect(address(781,36))+indirect(address(779,37))-indirect(address(780,37))</f>
        <v>0</v>
      </c>
      <c r="AL781">
        <f>indirect(address(781,37))+indirect(address(779,38))-indirect(address(780,38))</f>
        <v>0</v>
      </c>
      <c r="AM781">
        <f>indirect(address(781,38))+indirect(address(779,39))-indirect(address(780,39))</f>
        <v>0</v>
      </c>
      <c r="AN781">
        <f>indirect(address(781,39))+indirect(address(779,40))-indirect(address(780,40))</f>
        <v>0</v>
      </c>
      <c r="AO781">
        <f>indirect(address(781,40))</f>
        <v>0</v>
      </c>
    </row>
    <row r="782" spans="1:41">
      <c r="A782" t="s">
        <v>17</v>
      </c>
      <c r="B782" t="s">
        <v>823</v>
      </c>
      <c r="C782" t="s">
        <v>816</v>
      </c>
      <c r="E782">
        <v>1</v>
      </c>
      <c r="F782" t="s">
        <v>13</v>
      </c>
      <c r="I782" t="s">
        <v>15</v>
      </c>
      <c r="J782">
        <f>vlookup("906-338348-110",B:AZ,column(i1),0)*e782</f>
        <v>0</v>
      </c>
      <c r="K782">
        <f>vlookup("906-338348-110",B:AZ,column(j1),0)*e782</f>
        <v>0</v>
      </c>
      <c r="L782">
        <f>vlookup("906-338348-110",B:AZ,column(k1),0)*e782</f>
        <v>0</v>
      </c>
      <c r="M782">
        <f>vlookup("906-338348-110",B:AZ,column(l1),0)*e782</f>
        <v>0</v>
      </c>
      <c r="N782">
        <f>vlookup("906-338348-110",B:AZ,column(m1),0)*e782</f>
        <v>0</v>
      </c>
      <c r="O782">
        <f>vlookup("906-338348-110",B:AZ,column(n1),0)*e782</f>
        <v>0</v>
      </c>
      <c r="P782">
        <f>vlookup("906-338348-110",B:AZ,column(o1),0)*e782</f>
        <v>0</v>
      </c>
      <c r="Q782">
        <f>vlookup("906-338348-110",B:AZ,column(p1),0)*e782</f>
        <v>0</v>
      </c>
      <c r="R782">
        <f>vlookup("906-338348-110",B:AZ,column(q1),0)*e782</f>
        <v>0</v>
      </c>
      <c r="S782">
        <f>vlookup("906-338348-110",B:AZ,column(r1),0)*e782</f>
        <v>0</v>
      </c>
      <c r="T782">
        <f>vlookup("906-338348-110",B:AZ,column(s1),0)*e782</f>
        <v>0</v>
      </c>
      <c r="U782">
        <f>vlookup("906-338348-110",B:AZ,column(t1),0)*e782</f>
        <v>0</v>
      </c>
      <c r="V782">
        <f>vlookup("906-338348-110",B:AZ,column(u1),0)*e782</f>
        <v>0</v>
      </c>
      <c r="W782">
        <f>vlookup("906-338348-110",B:AZ,column(v1),0)*e782</f>
        <v>0</v>
      </c>
      <c r="X782">
        <f>vlookup("906-338348-110",B:AZ,column(w1),0)*e782</f>
        <v>0</v>
      </c>
      <c r="Y782">
        <f>vlookup("906-338348-110",B:AZ,column(x1),0)*e782</f>
        <v>0</v>
      </c>
      <c r="Z782">
        <f>vlookup("906-338348-110",B:AZ,column(y1),0)*e782</f>
        <v>0</v>
      </c>
      <c r="AA782">
        <f>vlookup("906-338348-110",B:AZ,column(z1),0)*e782</f>
        <v>0</v>
      </c>
      <c r="AB782">
        <f>vlookup("906-338348-110",B:AZ,column(aa1),0)*e782</f>
        <v>0</v>
      </c>
      <c r="AC782">
        <f>vlookup("906-338348-110",B:AZ,column(ab1),0)*e782</f>
        <v>0</v>
      </c>
      <c r="AD782">
        <f>vlookup("906-338348-110",B:AZ,column(ac1),0)*e782</f>
        <v>0</v>
      </c>
      <c r="AE782">
        <f>vlookup("906-338348-110",B:AZ,column(ad1),0)*e782</f>
        <v>0</v>
      </c>
      <c r="AF782">
        <f>vlookup("906-338348-110",B:AZ,column(ae1),0)*e782</f>
        <v>0</v>
      </c>
      <c r="AG782">
        <f>vlookup("906-338348-110",B:AZ,column(af1),0)*e782</f>
        <v>0</v>
      </c>
      <c r="AH782">
        <f>vlookup("906-338348-110",B:AZ,column(ag1),0)*e782</f>
        <v>0</v>
      </c>
      <c r="AI782">
        <f>vlookup("906-338348-110",B:AZ,column(ah1),0)*e782</f>
        <v>0</v>
      </c>
      <c r="AJ782">
        <f>vlookup("906-338348-110",B:AZ,column(ai1),0)*e782</f>
        <v>0</v>
      </c>
      <c r="AK782">
        <f>vlookup("906-338348-110",B:AZ,column(aj1),0)*e782</f>
        <v>0</v>
      </c>
      <c r="AL782">
        <f>vlookup("906-338348-110",B:AZ,column(ak1),0)*e782</f>
        <v>0</v>
      </c>
      <c r="AM782">
        <f>vlookup("906-338348-110",B:AZ,column(al1),0)*e782</f>
        <v>0</v>
      </c>
      <c r="AN782">
        <f>vlookup("906-338348-110",B:AZ,column(am1),0)*e782</f>
        <v>0</v>
      </c>
      <c r="AO782">
        <f>vlookup("906-338348-110",B:AZ,column(an1),0)*e782</f>
        <v>0</v>
      </c>
    </row>
    <row r="783" spans="1:41">
      <c r="A783" t="s">
        <v>17</v>
      </c>
      <c r="B783" t="s">
        <v>817</v>
      </c>
      <c r="C783" t="s">
        <v>818</v>
      </c>
      <c r="E783">
        <v>1</v>
      </c>
      <c r="F783" t="s">
        <v>13</v>
      </c>
      <c r="I783" t="s">
        <v>15</v>
      </c>
      <c r="J783">
        <f>vlookup("906-338348-110",B:AZ,column(i1),0)*e783</f>
        <v>0</v>
      </c>
      <c r="K783">
        <f>vlookup("906-338348-110",B:AZ,column(j1),0)*e783</f>
        <v>0</v>
      </c>
      <c r="L783">
        <f>vlookup("906-338348-110",B:AZ,column(k1),0)*e783</f>
        <v>0</v>
      </c>
      <c r="M783">
        <f>vlookup("906-338348-110",B:AZ,column(l1),0)*e783</f>
        <v>0</v>
      </c>
      <c r="N783">
        <f>vlookup("906-338348-110",B:AZ,column(m1),0)*e783</f>
        <v>0</v>
      </c>
      <c r="O783">
        <f>vlookup("906-338348-110",B:AZ,column(n1),0)*e783</f>
        <v>0</v>
      </c>
      <c r="P783">
        <f>vlookup("906-338348-110",B:AZ,column(o1),0)*e783</f>
        <v>0</v>
      </c>
      <c r="Q783">
        <f>vlookup("906-338348-110",B:AZ,column(p1),0)*e783</f>
        <v>0</v>
      </c>
      <c r="R783">
        <f>vlookup("906-338348-110",B:AZ,column(q1),0)*e783</f>
        <v>0</v>
      </c>
      <c r="S783">
        <f>vlookup("906-338348-110",B:AZ,column(r1),0)*e783</f>
        <v>0</v>
      </c>
      <c r="T783">
        <f>vlookup("906-338348-110",B:AZ,column(s1),0)*e783</f>
        <v>0</v>
      </c>
      <c r="U783">
        <f>vlookup("906-338348-110",B:AZ,column(t1),0)*e783</f>
        <v>0</v>
      </c>
      <c r="V783">
        <f>vlookup("906-338348-110",B:AZ,column(u1),0)*e783</f>
        <v>0</v>
      </c>
      <c r="W783">
        <f>vlookup("906-338348-110",B:AZ,column(v1),0)*e783</f>
        <v>0</v>
      </c>
      <c r="X783">
        <f>vlookup("906-338348-110",B:AZ,column(w1),0)*e783</f>
        <v>0</v>
      </c>
      <c r="Y783">
        <f>vlookup("906-338348-110",B:AZ,column(x1),0)*e783</f>
        <v>0</v>
      </c>
      <c r="Z783">
        <f>vlookup("906-338348-110",B:AZ,column(y1),0)*e783</f>
        <v>0</v>
      </c>
      <c r="AA783">
        <f>vlookup("906-338348-110",B:AZ,column(z1),0)*e783</f>
        <v>0</v>
      </c>
      <c r="AB783">
        <f>vlookup("906-338348-110",B:AZ,column(aa1),0)*e783</f>
        <v>0</v>
      </c>
      <c r="AC783">
        <f>vlookup("906-338348-110",B:AZ,column(ab1),0)*e783</f>
        <v>0</v>
      </c>
      <c r="AD783">
        <f>vlookup("906-338348-110",B:AZ,column(ac1),0)*e783</f>
        <v>0</v>
      </c>
      <c r="AE783">
        <f>vlookup("906-338348-110",B:AZ,column(ad1),0)*e783</f>
        <v>0</v>
      </c>
      <c r="AF783">
        <f>vlookup("906-338348-110",B:AZ,column(ae1),0)*e783</f>
        <v>0</v>
      </c>
      <c r="AG783">
        <f>vlookup("906-338348-110",B:AZ,column(af1),0)*e783</f>
        <v>0</v>
      </c>
      <c r="AH783">
        <f>vlookup("906-338348-110",B:AZ,column(ag1),0)*e783</f>
        <v>0</v>
      </c>
      <c r="AI783">
        <f>vlookup("906-338348-110",B:AZ,column(ah1),0)*e783</f>
        <v>0</v>
      </c>
      <c r="AJ783">
        <f>vlookup("906-338348-110",B:AZ,column(ai1),0)*e783</f>
        <v>0</v>
      </c>
      <c r="AK783">
        <f>vlookup("906-338348-110",B:AZ,column(aj1),0)*e783</f>
        <v>0</v>
      </c>
      <c r="AL783">
        <f>vlookup("906-338348-110",B:AZ,column(ak1),0)*e783</f>
        <v>0</v>
      </c>
      <c r="AM783">
        <f>vlookup("906-338348-110",B:AZ,column(al1),0)*e783</f>
        <v>0</v>
      </c>
      <c r="AN783">
        <f>vlookup("906-338348-110",B:AZ,column(am1),0)*e783</f>
        <v>0</v>
      </c>
      <c r="AO783">
        <f>vlookup("906-338348-110",B:AZ,column(an1),0)*e783</f>
        <v>0</v>
      </c>
    </row>
    <row r="784" spans="1:41">
      <c r="A784" t="s">
        <v>22</v>
      </c>
      <c r="B784" t="s">
        <v>819</v>
      </c>
      <c r="C784" t="s">
        <v>820</v>
      </c>
      <c r="E784">
        <v>1</v>
      </c>
      <c r="F784" t="s">
        <v>13</v>
      </c>
      <c r="I784" t="s">
        <v>15</v>
      </c>
      <c r="J784">
        <f>vlookup("906-338348-110",B:AZ,column(i1),0)*e784</f>
        <v>0</v>
      </c>
      <c r="K784">
        <f>vlookup("906-338348-110",B:AZ,column(j1),0)*e784</f>
        <v>0</v>
      </c>
      <c r="L784">
        <f>vlookup("906-338348-110",B:AZ,column(k1),0)*e784</f>
        <v>0</v>
      </c>
      <c r="M784">
        <f>vlookup("906-338348-110",B:AZ,column(l1),0)*e784</f>
        <v>0</v>
      </c>
      <c r="N784">
        <f>vlookup("906-338348-110",B:AZ,column(m1),0)*e784</f>
        <v>0</v>
      </c>
      <c r="O784">
        <f>vlookup("906-338348-110",B:AZ,column(n1),0)*e784</f>
        <v>0</v>
      </c>
      <c r="P784">
        <f>vlookup("906-338348-110",B:AZ,column(o1),0)*e784</f>
        <v>0</v>
      </c>
      <c r="Q784">
        <f>vlookup("906-338348-110",B:AZ,column(p1),0)*e784</f>
        <v>0</v>
      </c>
      <c r="R784">
        <f>vlookup("906-338348-110",B:AZ,column(q1),0)*e784</f>
        <v>0</v>
      </c>
      <c r="S784">
        <f>vlookup("906-338348-110",B:AZ,column(r1),0)*e784</f>
        <v>0</v>
      </c>
      <c r="T784">
        <f>vlookup("906-338348-110",B:AZ,column(s1),0)*e784</f>
        <v>0</v>
      </c>
      <c r="U784">
        <f>vlookup("906-338348-110",B:AZ,column(t1),0)*e784</f>
        <v>0</v>
      </c>
      <c r="V784">
        <f>vlookup("906-338348-110",B:AZ,column(u1),0)*e784</f>
        <v>0</v>
      </c>
      <c r="W784">
        <f>vlookup("906-338348-110",B:AZ,column(v1),0)*e784</f>
        <v>0</v>
      </c>
      <c r="X784">
        <f>vlookup("906-338348-110",B:AZ,column(w1),0)*e784</f>
        <v>0</v>
      </c>
      <c r="Y784">
        <f>vlookup("906-338348-110",B:AZ,column(x1),0)*e784</f>
        <v>0</v>
      </c>
      <c r="Z784">
        <f>vlookup("906-338348-110",B:AZ,column(y1),0)*e784</f>
        <v>0</v>
      </c>
      <c r="AA784">
        <f>vlookup("906-338348-110",B:AZ,column(z1),0)*e784</f>
        <v>0</v>
      </c>
      <c r="AB784">
        <f>vlookup("906-338348-110",B:AZ,column(aa1),0)*e784</f>
        <v>0</v>
      </c>
      <c r="AC784">
        <f>vlookup("906-338348-110",B:AZ,column(ab1),0)*e784</f>
        <v>0</v>
      </c>
      <c r="AD784">
        <f>vlookup("906-338348-110",B:AZ,column(ac1),0)*e784</f>
        <v>0</v>
      </c>
      <c r="AE784">
        <f>vlookup("906-338348-110",B:AZ,column(ad1),0)*e784</f>
        <v>0</v>
      </c>
      <c r="AF784">
        <f>vlookup("906-338348-110",B:AZ,column(ae1),0)*e784</f>
        <v>0</v>
      </c>
      <c r="AG784">
        <f>vlookup("906-338348-110",B:AZ,column(af1),0)*e784</f>
        <v>0</v>
      </c>
      <c r="AH784">
        <f>vlookup("906-338348-110",B:AZ,column(ag1),0)*e784</f>
        <v>0</v>
      </c>
      <c r="AI784">
        <f>vlookup("906-338348-110",B:AZ,column(ah1),0)*e784</f>
        <v>0</v>
      </c>
      <c r="AJ784">
        <f>vlookup("906-338348-110",B:AZ,column(ai1),0)*e784</f>
        <v>0</v>
      </c>
      <c r="AK784">
        <f>vlookup("906-338348-110",B:AZ,column(aj1),0)*e784</f>
        <v>0</v>
      </c>
      <c r="AL784">
        <f>vlookup("906-338348-110",B:AZ,column(ak1),0)*e784</f>
        <v>0</v>
      </c>
      <c r="AM784">
        <f>vlookup("906-338348-110",B:AZ,column(al1),0)*e784</f>
        <v>0</v>
      </c>
      <c r="AN784">
        <f>vlookup("906-338348-110",B:AZ,column(am1),0)*e784</f>
        <v>0</v>
      </c>
      <c r="AO784">
        <f>vlookup("906-338348-110",B:AZ,column(an1),0)*e784</f>
        <v>0</v>
      </c>
    </row>
    <row r="785" spans="1:41">
      <c r="A785" t="s">
        <v>22</v>
      </c>
      <c r="B785" t="s">
        <v>821</v>
      </c>
      <c r="C785" t="s">
        <v>824</v>
      </c>
      <c r="E785">
        <v>0.003</v>
      </c>
      <c r="F785" t="s">
        <v>13</v>
      </c>
      <c r="I785" t="s">
        <v>15</v>
      </c>
      <c r="J785">
        <f>vlookup("906-338348-110",B:AZ,column(i1),0)*e785</f>
        <v>0</v>
      </c>
      <c r="K785">
        <f>vlookup("906-338348-110",B:AZ,column(j1),0)*e785</f>
        <v>0</v>
      </c>
      <c r="L785">
        <f>vlookup("906-338348-110",B:AZ,column(k1),0)*e785</f>
        <v>0</v>
      </c>
      <c r="M785">
        <f>vlookup("906-338348-110",B:AZ,column(l1),0)*e785</f>
        <v>0</v>
      </c>
      <c r="N785">
        <f>vlookup("906-338348-110",B:AZ,column(m1),0)*e785</f>
        <v>0</v>
      </c>
      <c r="O785">
        <f>vlookup("906-338348-110",B:AZ,column(n1),0)*e785</f>
        <v>0</v>
      </c>
      <c r="P785">
        <f>vlookup("906-338348-110",B:AZ,column(o1),0)*e785</f>
        <v>0</v>
      </c>
      <c r="Q785">
        <f>vlookup("906-338348-110",B:AZ,column(p1),0)*e785</f>
        <v>0</v>
      </c>
      <c r="R785">
        <f>vlookup("906-338348-110",B:AZ,column(q1),0)*e785</f>
        <v>0</v>
      </c>
      <c r="S785">
        <f>vlookup("906-338348-110",B:AZ,column(r1),0)*e785</f>
        <v>0</v>
      </c>
      <c r="T785">
        <f>vlookup("906-338348-110",B:AZ,column(s1),0)*e785</f>
        <v>0</v>
      </c>
      <c r="U785">
        <f>vlookup("906-338348-110",B:AZ,column(t1),0)*e785</f>
        <v>0</v>
      </c>
      <c r="V785">
        <f>vlookup("906-338348-110",B:AZ,column(u1),0)*e785</f>
        <v>0</v>
      </c>
      <c r="W785">
        <f>vlookup("906-338348-110",B:AZ,column(v1),0)*e785</f>
        <v>0</v>
      </c>
      <c r="X785">
        <f>vlookup("906-338348-110",B:AZ,column(w1),0)*e785</f>
        <v>0</v>
      </c>
      <c r="Y785">
        <f>vlookup("906-338348-110",B:AZ,column(x1),0)*e785</f>
        <v>0</v>
      </c>
      <c r="Z785">
        <f>vlookup("906-338348-110",B:AZ,column(y1),0)*e785</f>
        <v>0</v>
      </c>
      <c r="AA785">
        <f>vlookup("906-338348-110",B:AZ,column(z1),0)*e785</f>
        <v>0</v>
      </c>
      <c r="AB785">
        <f>vlookup("906-338348-110",B:AZ,column(aa1),0)*e785</f>
        <v>0</v>
      </c>
      <c r="AC785">
        <f>vlookup("906-338348-110",B:AZ,column(ab1),0)*e785</f>
        <v>0</v>
      </c>
      <c r="AD785">
        <f>vlookup("906-338348-110",B:AZ,column(ac1),0)*e785</f>
        <v>0</v>
      </c>
      <c r="AE785">
        <f>vlookup("906-338348-110",B:AZ,column(ad1),0)*e785</f>
        <v>0</v>
      </c>
      <c r="AF785">
        <f>vlookup("906-338348-110",B:AZ,column(ae1),0)*e785</f>
        <v>0</v>
      </c>
      <c r="AG785">
        <f>vlookup("906-338348-110",B:AZ,column(af1),0)*e785</f>
        <v>0</v>
      </c>
      <c r="AH785">
        <f>vlookup("906-338348-110",B:AZ,column(ag1),0)*e785</f>
        <v>0</v>
      </c>
      <c r="AI785">
        <f>vlookup("906-338348-110",B:AZ,column(ah1),0)*e785</f>
        <v>0</v>
      </c>
      <c r="AJ785">
        <f>vlookup("906-338348-110",B:AZ,column(ai1),0)*e785</f>
        <v>0</v>
      </c>
      <c r="AK785">
        <f>vlookup("906-338348-110",B:AZ,column(aj1),0)*e785</f>
        <v>0</v>
      </c>
      <c r="AL785">
        <f>vlookup("906-338348-110",B:AZ,column(ak1),0)*e785</f>
        <v>0</v>
      </c>
      <c r="AM785">
        <f>vlookup("906-338348-110",B:AZ,column(al1),0)*e785</f>
        <v>0</v>
      </c>
      <c r="AN785">
        <f>vlookup("906-338348-110",B:AZ,column(am1),0)*e785</f>
        <v>0</v>
      </c>
      <c r="AO785">
        <f>vlookup("906-338348-110",B:AZ,column(an1),0)*e785</f>
        <v>0</v>
      </c>
    </row>
    <row r="786" spans="1:41">
      <c r="A786" t="s">
        <v>10</v>
      </c>
      <c r="B786" t="s">
        <v>825</v>
      </c>
      <c r="C786" t="s">
        <v>815</v>
      </c>
      <c r="E786">
        <v>0.003</v>
      </c>
      <c r="F786" t="s">
        <v>13</v>
      </c>
      <c r="I786" t="s">
        <v>14</v>
      </c>
      <c r="AO786">
        <f>sum(j786:an786)</f>
        <v>0</v>
      </c>
    </row>
    <row r="787" spans="1:41">
      <c r="I787" t="s">
        <v>15</v>
      </c>
      <c r="J787">
        <f>vlookup("906-339000-210",Out!B:AZ,column(i1),0)</f>
        <v>0</v>
      </c>
      <c r="K787">
        <f>vlookup("906-339000-210",Out!B:AZ,column(j1),0)</f>
        <v>0</v>
      </c>
      <c r="L787">
        <f>vlookup("906-339000-210",Out!B:AZ,column(k1),0)</f>
        <v>0</v>
      </c>
      <c r="M787">
        <f>vlookup("906-339000-210",Out!B:AZ,column(l1),0)</f>
        <v>0</v>
      </c>
      <c r="N787">
        <f>vlookup("906-339000-210",Out!B:AZ,column(m1),0)</f>
        <v>0</v>
      </c>
      <c r="O787">
        <f>vlookup("906-339000-210",Out!B:AZ,column(n1),0)</f>
        <v>0</v>
      </c>
      <c r="P787">
        <f>vlookup("906-339000-210",Out!B:AZ,column(o1),0)</f>
        <v>0</v>
      </c>
      <c r="Q787">
        <f>vlookup("906-339000-210",Out!B:AZ,column(p1),0)</f>
        <v>0</v>
      </c>
      <c r="R787">
        <f>vlookup("906-339000-210",Out!B:AZ,column(q1),0)</f>
        <v>0</v>
      </c>
      <c r="S787">
        <f>vlookup("906-339000-210",Out!B:AZ,column(r1),0)</f>
        <v>0</v>
      </c>
      <c r="T787">
        <f>vlookup("906-339000-210",Out!B:AZ,column(s1),0)</f>
        <v>0</v>
      </c>
      <c r="U787">
        <f>vlookup("906-339000-210",Out!B:AZ,column(t1),0)</f>
        <v>0</v>
      </c>
      <c r="V787">
        <f>vlookup("906-339000-210",Out!B:AZ,column(u1),0)</f>
        <v>0</v>
      </c>
      <c r="W787">
        <f>vlookup("906-339000-210",Out!B:AZ,column(v1),0)</f>
        <v>0</v>
      </c>
      <c r="X787">
        <f>vlookup("906-339000-210",Out!B:AZ,column(w1),0)</f>
        <v>0</v>
      </c>
      <c r="Y787">
        <f>vlookup("906-339000-210",Out!B:AZ,column(x1),0)</f>
        <v>0</v>
      </c>
      <c r="Z787">
        <f>vlookup("906-339000-210",Out!B:AZ,column(y1),0)</f>
        <v>0</v>
      </c>
      <c r="AA787">
        <f>vlookup("906-339000-210",Out!B:AZ,column(z1),0)</f>
        <v>0</v>
      </c>
      <c r="AB787">
        <f>vlookup("906-339000-210",Out!B:AZ,column(aa1),0)</f>
        <v>0</v>
      </c>
      <c r="AC787">
        <f>vlookup("906-339000-210",Out!B:AZ,column(ab1),0)</f>
        <v>0</v>
      </c>
      <c r="AD787">
        <f>vlookup("906-339000-210",Out!B:AZ,column(ac1),0)</f>
        <v>0</v>
      </c>
      <c r="AE787">
        <f>vlookup("906-339000-210",Out!B:AZ,column(ad1),0)</f>
        <v>0</v>
      </c>
      <c r="AF787">
        <f>vlookup("906-339000-210",Out!B:AZ,column(ae1),0)</f>
        <v>0</v>
      </c>
      <c r="AG787">
        <f>vlookup("906-339000-210",Out!B:AZ,column(af1),0)</f>
        <v>0</v>
      </c>
      <c r="AH787">
        <f>vlookup("906-339000-210",Out!B:AZ,column(ag1),0)</f>
        <v>0</v>
      </c>
      <c r="AI787">
        <f>vlookup("906-339000-210",Out!B:AZ,column(ah1),0)</f>
        <v>0</v>
      </c>
      <c r="AJ787">
        <f>vlookup("906-339000-210",Out!B:AZ,column(ai1),0)</f>
        <v>0</v>
      </c>
      <c r="AK787">
        <f>vlookup("906-339000-210",Out!B:AZ,column(aj1),0)</f>
        <v>0</v>
      </c>
      <c r="AL787">
        <f>vlookup("906-339000-210",Out!B:AZ,column(ak1),0)</f>
        <v>0</v>
      </c>
      <c r="AM787">
        <f>vlookup("906-339000-210",Out!B:AZ,column(al1),0)</f>
        <v>0</v>
      </c>
      <c r="AN787">
        <f>vlookup("906-339000-210",Out!B:AZ,column(am1),0)</f>
        <v>0</v>
      </c>
      <c r="AO787">
        <f>vlookup("906-339000-210",Out!B:AZ,column(an1),0)</f>
        <v>0</v>
      </c>
    </row>
    <row r="788" spans="1:41">
      <c r="H788" t="s">
        <v>16</v>
      </c>
      <c r="J788">
        <f>indirect(address(788,9))+indirect(address(786,10))-indirect(address(787,10))</f>
        <v>0</v>
      </c>
      <c r="K788">
        <f>indirect(address(788,10))+indirect(address(786,11))-indirect(address(787,11))</f>
        <v>0</v>
      </c>
      <c r="L788">
        <f>indirect(address(788,11))+indirect(address(786,12))-indirect(address(787,12))</f>
        <v>0</v>
      </c>
      <c r="M788">
        <f>indirect(address(788,12))+indirect(address(786,13))-indirect(address(787,13))</f>
        <v>0</v>
      </c>
      <c r="N788">
        <f>indirect(address(788,13))+indirect(address(786,14))-indirect(address(787,14))</f>
        <v>0</v>
      </c>
      <c r="O788">
        <f>indirect(address(788,14))+indirect(address(786,15))-indirect(address(787,15))</f>
        <v>0</v>
      </c>
      <c r="P788">
        <f>indirect(address(788,15))+indirect(address(786,16))-indirect(address(787,16))</f>
        <v>0</v>
      </c>
      <c r="Q788">
        <f>indirect(address(788,16))+indirect(address(786,17))-indirect(address(787,17))</f>
        <v>0</v>
      </c>
      <c r="R788">
        <f>indirect(address(788,17))+indirect(address(786,18))-indirect(address(787,18))</f>
        <v>0</v>
      </c>
      <c r="S788">
        <f>indirect(address(788,18))+indirect(address(786,19))-indirect(address(787,19))</f>
        <v>0</v>
      </c>
      <c r="T788">
        <f>indirect(address(788,19))+indirect(address(786,20))-indirect(address(787,20))</f>
        <v>0</v>
      </c>
      <c r="U788">
        <f>indirect(address(788,20))+indirect(address(786,21))-indirect(address(787,21))</f>
        <v>0</v>
      </c>
      <c r="V788">
        <f>indirect(address(788,21))+indirect(address(786,22))-indirect(address(787,22))</f>
        <v>0</v>
      </c>
      <c r="W788">
        <f>indirect(address(788,22))+indirect(address(786,23))-indirect(address(787,23))</f>
        <v>0</v>
      </c>
      <c r="X788">
        <f>indirect(address(788,23))+indirect(address(786,24))-indirect(address(787,24))</f>
        <v>0</v>
      </c>
      <c r="Y788">
        <f>indirect(address(788,24))+indirect(address(786,25))-indirect(address(787,25))</f>
        <v>0</v>
      </c>
      <c r="Z788">
        <f>indirect(address(788,25))+indirect(address(786,26))-indirect(address(787,26))</f>
        <v>0</v>
      </c>
      <c r="AA788">
        <f>indirect(address(788,26))+indirect(address(786,27))-indirect(address(787,27))</f>
        <v>0</v>
      </c>
      <c r="AB788">
        <f>indirect(address(788,27))+indirect(address(786,28))-indirect(address(787,28))</f>
        <v>0</v>
      </c>
      <c r="AC788">
        <f>indirect(address(788,28))+indirect(address(786,29))-indirect(address(787,29))</f>
        <v>0</v>
      </c>
      <c r="AD788">
        <f>indirect(address(788,29))+indirect(address(786,30))-indirect(address(787,30))</f>
        <v>0</v>
      </c>
      <c r="AE788">
        <f>indirect(address(788,30))+indirect(address(786,31))-indirect(address(787,31))</f>
        <v>0</v>
      </c>
      <c r="AF788">
        <f>indirect(address(788,31))+indirect(address(786,32))-indirect(address(787,32))</f>
        <v>0</v>
      </c>
      <c r="AG788">
        <f>indirect(address(788,32))+indirect(address(786,33))-indirect(address(787,33))</f>
        <v>0</v>
      </c>
      <c r="AH788">
        <f>indirect(address(788,33))+indirect(address(786,34))-indirect(address(787,34))</f>
        <v>0</v>
      </c>
      <c r="AI788">
        <f>indirect(address(788,34))+indirect(address(786,35))-indirect(address(787,35))</f>
        <v>0</v>
      </c>
      <c r="AJ788">
        <f>indirect(address(788,35))+indirect(address(786,36))-indirect(address(787,36))</f>
        <v>0</v>
      </c>
      <c r="AK788">
        <f>indirect(address(788,36))+indirect(address(786,37))-indirect(address(787,37))</f>
        <v>0</v>
      </c>
      <c r="AL788">
        <f>indirect(address(788,37))+indirect(address(786,38))-indirect(address(787,38))</f>
        <v>0</v>
      </c>
      <c r="AM788">
        <f>indirect(address(788,38))+indirect(address(786,39))-indirect(address(787,39))</f>
        <v>0</v>
      </c>
      <c r="AN788">
        <f>indirect(address(788,39))+indirect(address(786,40))-indirect(address(787,40))</f>
        <v>0</v>
      </c>
      <c r="AO788">
        <f>indirect(address(788,40))</f>
        <v>0</v>
      </c>
    </row>
    <row r="789" spans="1:41">
      <c r="A789" t="s">
        <v>17</v>
      </c>
      <c r="B789" t="s">
        <v>826</v>
      </c>
      <c r="C789" t="s">
        <v>816</v>
      </c>
      <c r="E789">
        <v>1</v>
      </c>
      <c r="F789" t="s">
        <v>13</v>
      </c>
      <c r="I789" t="s">
        <v>15</v>
      </c>
      <c r="J789">
        <f>vlookup("906-339000-210",B:AZ,column(i1),0)*e789</f>
        <v>0</v>
      </c>
      <c r="K789">
        <f>vlookup("906-339000-210",B:AZ,column(j1),0)*e789</f>
        <v>0</v>
      </c>
      <c r="L789">
        <f>vlookup("906-339000-210",B:AZ,column(k1),0)*e789</f>
        <v>0</v>
      </c>
      <c r="M789">
        <f>vlookup("906-339000-210",B:AZ,column(l1),0)*e789</f>
        <v>0</v>
      </c>
      <c r="N789">
        <f>vlookup("906-339000-210",B:AZ,column(m1),0)*e789</f>
        <v>0</v>
      </c>
      <c r="O789">
        <f>vlookup("906-339000-210",B:AZ,column(n1),0)*e789</f>
        <v>0</v>
      </c>
      <c r="P789">
        <f>vlookup("906-339000-210",B:AZ,column(o1),0)*e789</f>
        <v>0</v>
      </c>
      <c r="Q789">
        <f>vlookup("906-339000-210",B:AZ,column(p1),0)*e789</f>
        <v>0</v>
      </c>
      <c r="R789">
        <f>vlookup("906-339000-210",B:AZ,column(q1),0)*e789</f>
        <v>0</v>
      </c>
      <c r="S789">
        <f>vlookup("906-339000-210",B:AZ,column(r1),0)*e789</f>
        <v>0</v>
      </c>
      <c r="T789">
        <f>vlookup("906-339000-210",B:AZ,column(s1),0)*e789</f>
        <v>0</v>
      </c>
      <c r="U789">
        <f>vlookup("906-339000-210",B:AZ,column(t1),0)*e789</f>
        <v>0</v>
      </c>
      <c r="V789">
        <f>vlookup("906-339000-210",B:AZ,column(u1),0)*e789</f>
        <v>0</v>
      </c>
      <c r="W789">
        <f>vlookup("906-339000-210",B:AZ,column(v1),0)*e789</f>
        <v>0</v>
      </c>
      <c r="X789">
        <f>vlookup("906-339000-210",B:AZ,column(w1),0)*e789</f>
        <v>0</v>
      </c>
      <c r="Y789">
        <f>vlookup("906-339000-210",B:AZ,column(x1),0)*e789</f>
        <v>0</v>
      </c>
      <c r="Z789">
        <f>vlookup("906-339000-210",B:AZ,column(y1),0)*e789</f>
        <v>0</v>
      </c>
      <c r="AA789">
        <f>vlookup("906-339000-210",B:AZ,column(z1),0)*e789</f>
        <v>0</v>
      </c>
      <c r="AB789">
        <f>vlookup("906-339000-210",B:AZ,column(aa1),0)*e789</f>
        <v>0</v>
      </c>
      <c r="AC789">
        <f>vlookup("906-339000-210",B:AZ,column(ab1),0)*e789</f>
        <v>0</v>
      </c>
      <c r="AD789">
        <f>vlookup("906-339000-210",B:AZ,column(ac1),0)*e789</f>
        <v>0</v>
      </c>
      <c r="AE789">
        <f>vlookup("906-339000-210",B:AZ,column(ad1),0)*e789</f>
        <v>0</v>
      </c>
      <c r="AF789">
        <f>vlookup("906-339000-210",B:AZ,column(ae1),0)*e789</f>
        <v>0</v>
      </c>
      <c r="AG789">
        <f>vlookup("906-339000-210",B:AZ,column(af1),0)*e789</f>
        <v>0</v>
      </c>
      <c r="AH789">
        <f>vlookup("906-339000-210",B:AZ,column(ag1),0)*e789</f>
        <v>0</v>
      </c>
      <c r="AI789">
        <f>vlookup("906-339000-210",B:AZ,column(ah1),0)*e789</f>
        <v>0</v>
      </c>
      <c r="AJ789">
        <f>vlookup("906-339000-210",B:AZ,column(ai1),0)*e789</f>
        <v>0</v>
      </c>
      <c r="AK789">
        <f>vlookup("906-339000-210",B:AZ,column(aj1),0)*e789</f>
        <v>0</v>
      </c>
      <c r="AL789">
        <f>vlookup("906-339000-210",B:AZ,column(ak1),0)*e789</f>
        <v>0</v>
      </c>
      <c r="AM789">
        <f>vlookup("906-339000-210",B:AZ,column(al1),0)*e789</f>
        <v>0</v>
      </c>
      <c r="AN789">
        <f>vlookup("906-339000-210",B:AZ,column(am1),0)*e789</f>
        <v>0</v>
      </c>
      <c r="AO789">
        <f>vlookup("906-339000-210",B:AZ,column(an1),0)*e789</f>
        <v>0</v>
      </c>
    </row>
    <row r="790" spans="1:41">
      <c r="A790" t="s">
        <v>17</v>
      </c>
      <c r="B790" t="s">
        <v>817</v>
      </c>
      <c r="C790" t="s">
        <v>818</v>
      </c>
      <c r="E790">
        <v>1</v>
      </c>
      <c r="F790" t="s">
        <v>13</v>
      </c>
      <c r="I790" t="s">
        <v>15</v>
      </c>
      <c r="J790">
        <f>vlookup("906-339000-210",B:AZ,column(i1),0)*e790</f>
        <v>0</v>
      </c>
      <c r="K790">
        <f>vlookup("906-339000-210",B:AZ,column(j1),0)*e790</f>
        <v>0</v>
      </c>
      <c r="L790">
        <f>vlookup("906-339000-210",B:AZ,column(k1),0)*e790</f>
        <v>0</v>
      </c>
      <c r="M790">
        <f>vlookup("906-339000-210",B:AZ,column(l1),0)*e790</f>
        <v>0</v>
      </c>
      <c r="N790">
        <f>vlookup("906-339000-210",B:AZ,column(m1),0)*e790</f>
        <v>0</v>
      </c>
      <c r="O790">
        <f>vlookup("906-339000-210",B:AZ,column(n1),0)*e790</f>
        <v>0</v>
      </c>
      <c r="P790">
        <f>vlookup("906-339000-210",B:AZ,column(o1),0)*e790</f>
        <v>0</v>
      </c>
      <c r="Q790">
        <f>vlookup("906-339000-210",B:AZ,column(p1),0)*e790</f>
        <v>0</v>
      </c>
      <c r="R790">
        <f>vlookup("906-339000-210",B:AZ,column(q1),0)*e790</f>
        <v>0</v>
      </c>
      <c r="S790">
        <f>vlookup("906-339000-210",B:AZ,column(r1),0)*e790</f>
        <v>0</v>
      </c>
      <c r="T790">
        <f>vlookup("906-339000-210",B:AZ,column(s1),0)*e790</f>
        <v>0</v>
      </c>
      <c r="U790">
        <f>vlookup("906-339000-210",B:AZ,column(t1),0)*e790</f>
        <v>0</v>
      </c>
      <c r="V790">
        <f>vlookup("906-339000-210",B:AZ,column(u1),0)*e790</f>
        <v>0</v>
      </c>
      <c r="W790">
        <f>vlookup("906-339000-210",B:AZ,column(v1),0)*e790</f>
        <v>0</v>
      </c>
      <c r="X790">
        <f>vlookup("906-339000-210",B:AZ,column(w1),0)*e790</f>
        <v>0</v>
      </c>
      <c r="Y790">
        <f>vlookup("906-339000-210",B:AZ,column(x1),0)*e790</f>
        <v>0</v>
      </c>
      <c r="Z790">
        <f>vlookup("906-339000-210",B:AZ,column(y1),0)*e790</f>
        <v>0</v>
      </c>
      <c r="AA790">
        <f>vlookup("906-339000-210",B:AZ,column(z1),0)*e790</f>
        <v>0</v>
      </c>
      <c r="AB790">
        <f>vlookup("906-339000-210",B:AZ,column(aa1),0)*e790</f>
        <v>0</v>
      </c>
      <c r="AC790">
        <f>vlookup("906-339000-210",B:AZ,column(ab1),0)*e790</f>
        <v>0</v>
      </c>
      <c r="AD790">
        <f>vlookup("906-339000-210",B:AZ,column(ac1),0)*e790</f>
        <v>0</v>
      </c>
      <c r="AE790">
        <f>vlookup("906-339000-210",B:AZ,column(ad1),0)*e790</f>
        <v>0</v>
      </c>
      <c r="AF790">
        <f>vlookup("906-339000-210",B:AZ,column(ae1),0)*e790</f>
        <v>0</v>
      </c>
      <c r="AG790">
        <f>vlookup("906-339000-210",B:AZ,column(af1),0)*e790</f>
        <v>0</v>
      </c>
      <c r="AH790">
        <f>vlookup("906-339000-210",B:AZ,column(ag1),0)*e790</f>
        <v>0</v>
      </c>
      <c r="AI790">
        <f>vlookup("906-339000-210",B:AZ,column(ah1),0)*e790</f>
        <v>0</v>
      </c>
      <c r="AJ790">
        <f>vlookup("906-339000-210",B:AZ,column(ai1),0)*e790</f>
        <v>0</v>
      </c>
      <c r="AK790">
        <f>vlookup("906-339000-210",B:AZ,column(aj1),0)*e790</f>
        <v>0</v>
      </c>
      <c r="AL790">
        <f>vlookup("906-339000-210",B:AZ,column(ak1),0)*e790</f>
        <v>0</v>
      </c>
      <c r="AM790">
        <f>vlookup("906-339000-210",B:AZ,column(al1),0)*e790</f>
        <v>0</v>
      </c>
      <c r="AN790">
        <f>vlookup("906-339000-210",B:AZ,column(am1),0)*e790</f>
        <v>0</v>
      </c>
      <c r="AO790">
        <f>vlookup("906-339000-210",B:AZ,column(an1),0)*e790</f>
        <v>0</v>
      </c>
    </row>
    <row r="791" spans="1:41">
      <c r="A791" t="s">
        <v>22</v>
      </c>
      <c r="B791" t="s">
        <v>819</v>
      </c>
      <c r="C791" t="s">
        <v>820</v>
      </c>
      <c r="E791">
        <v>1</v>
      </c>
      <c r="F791" t="s">
        <v>13</v>
      </c>
      <c r="I791" t="s">
        <v>15</v>
      </c>
      <c r="J791">
        <f>vlookup("906-339000-210",B:AZ,column(i1),0)*e791</f>
        <v>0</v>
      </c>
      <c r="K791">
        <f>vlookup("906-339000-210",B:AZ,column(j1),0)*e791</f>
        <v>0</v>
      </c>
      <c r="L791">
        <f>vlookup("906-339000-210",B:AZ,column(k1),0)*e791</f>
        <v>0</v>
      </c>
      <c r="M791">
        <f>vlookup("906-339000-210",B:AZ,column(l1),0)*e791</f>
        <v>0</v>
      </c>
      <c r="N791">
        <f>vlookup("906-339000-210",B:AZ,column(m1),0)*e791</f>
        <v>0</v>
      </c>
      <c r="O791">
        <f>vlookup("906-339000-210",B:AZ,column(n1),0)*e791</f>
        <v>0</v>
      </c>
      <c r="P791">
        <f>vlookup("906-339000-210",B:AZ,column(o1),0)*e791</f>
        <v>0</v>
      </c>
      <c r="Q791">
        <f>vlookup("906-339000-210",B:AZ,column(p1),0)*e791</f>
        <v>0</v>
      </c>
      <c r="R791">
        <f>vlookup("906-339000-210",B:AZ,column(q1),0)*e791</f>
        <v>0</v>
      </c>
      <c r="S791">
        <f>vlookup("906-339000-210",B:AZ,column(r1),0)*e791</f>
        <v>0</v>
      </c>
      <c r="T791">
        <f>vlookup("906-339000-210",B:AZ,column(s1),0)*e791</f>
        <v>0</v>
      </c>
      <c r="U791">
        <f>vlookup("906-339000-210",B:AZ,column(t1),0)*e791</f>
        <v>0</v>
      </c>
      <c r="V791">
        <f>vlookup("906-339000-210",B:AZ,column(u1),0)*e791</f>
        <v>0</v>
      </c>
      <c r="W791">
        <f>vlookup("906-339000-210",B:AZ,column(v1),0)*e791</f>
        <v>0</v>
      </c>
      <c r="X791">
        <f>vlookup("906-339000-210",B:AZ,column(w1),0)*e791</f>
        <v>0</v>
      </c>
      <c r="Y791">
        <f>vlookup("906-339000-210",B:AZ,column(x1),0)*e791</f>
        <v>0</v>
      </c>
      <c r="Z791">
        <f>vlookup("906-339000-210",B:AZ,column(y1),0)*e791</f>
        <v>0</v>
      </c>
      <c r="AA791">
        <f>vlookup("906-339000-210",B:AZ,column(z1),0)*e791</f>
        <v>0</v>
      </c>
      <c r="AB791">
        <f>vlookup("906-339000-210",B:AZ,column(aa1),0)*e791</f>
        <v>0</v>
      </c>
      <c r="AC791">
        <f>vlookup("906-339000-210",B:AZ,column(ab1),0)*e791</f>
        <v>0</v>
      </c>
      <c r="AD791">
        <f>vlookup("906-339000-210",B:AZ,column(ac1),0)*e791</f>
        <v>0</v>
      </c>
      <c r="AE791">
        <f>vlookup("906-339000-210",B:AZ,column(ad1),0)*e791</f>
        <v>0</v>
      </c>
      <c r="AF791">
        <f>vlookup("906-339000-210",B:AZ,column(ae1),0)*e791</f>
        <v>0</v>
      </c>
      <c r="AG791">
        <f>vlookup("906-339000-210",B:AZ,column(af1),0)*e791</f>
        <v>0</v>
      </c>
      <c r="AH791">
        <f>vlookup("906-339000-210",B:AZ,column(ag1),0)*e791</f>
        <v>0</v>
      </c>
      <c r="AI791">
        <f>vlookup("906-339000-210",B:AZ,column(ah1),0)*e791</f>
        <v>0</v>
      </c>
      <c r="AJ791">
        <f>vlookup("906-339000-210",B:AZ,column(ai1),0)*e791</f>
        <v>0</v>
      </c>
      <c r="AK791">
        <f>vlookup("906-339000-210",B:AZ,column(aj1),0)*e791</f>
        <v>0</v>
      </c>
      <c r="AL791">
        <f>vlookup("906-339000-210",B:AZ,column(ak1),0)*e791</f>
        <v>0</v>
      </c>
      <c r="AM791">
        <f>vlookup("906-339000-210",B:AZ,column(al1),0)*e791</f>
        <v>0</v>
      </c>
      <c r="AN791">
        <f>vlookup("906-339000-210",B:AZ,column(am1),0)*e791</f>
        <v>0</v>
      </c>
      <c r="AO791">
        <f>vlookup("906-339000-210",B:AZ,column(an1),0)*e791</f>
        <v>0</v>
      </c>
    </row>
    <row r="792" spans="1:41">
      <c r="A792" t="s">
        <v>22</v>
      </c>
      <c r="B792" t="s">
        <v>821</v>
      </c>
      <c r="C792" t="s">
        <v>824</v>
      </c>
      <c r="E792">
        <v>0.003</v>
      </c>
      <c r="F792" t="s">
        <v>13</v>
      </c>
      <c r="I792" t="s">
        <v>15</v>
      </c>
      <c r="J792">
        <f>vlookup("906-339000-210",B:AZ,column(i1),0)*e792</f>
        <v>0</v>
      </c>
      <c r="K792">
        <f>vlookup("906-339000-210",B:AZ,column(j1),0)*e792</f>
        <v>0</v>
      </c>
      <c r="L792">
        <f>vlookup("906-339000-210",B:AZ,column(k1),0)*e792</f>
        <v>0</v>
      </c>
      <c r="M792">
        <f>vlookup("906-339000-210",B:AZ,column(l1),0)*e792</f>
        <v>0</v>
      </c>
      <c r="N792">
        <f>vlookup("906-339000-210",B:AZ,column(m1),0)*e792</f>
        <v>0</v>
      </c>
      <c r="O792">
        <f>vlookup("906-339000-210",B:AZ,column(n1),0)*e792</f>
        <v>0</v>
      </c>
      <c r="P792">
        <f>vlookup("906-339000-210",B:AZ,column(o1),0)*e792</f>
        <v>0</v>
      </c>
      <c r="Q792">
        <f>vlookup("906-339000-210",B:AZ,column(p1),0)*e792</f>
        <v>0</v>
      </c>
      <c r="R792">
        <f>vlookup("906-339000-210",B:AZ,column(q1),0)*e792</f>
        <v>0</v>
      </c>
      <c r="S792">
        <f>vlookup("906-339000-210",B:AZ,column(r1),0)*e792</f>
        <v>0</v>
      </c>
      <c r="T792">
        <f>vlookup("906-339000-210",B:AZ,column(s1),0)*e792</f>
        <v>0</v>
      </c>
      <c r="U792">
        <f>vlookup("906-339000-210",B:AZ,column(t1),0)*e792</f>
        <v>0</v>
      </c>
      <c r="V792">
        <f>vlookup("906-339000-210",B:AZ,column(u1),0)*e792</f>
        <v>0</v>
      </c>
      <c r="W792">
        <f>vlookup("906-339000-210",B:AZ,column(v1),0)*e792</f>
        <v>0</v>
      </c>
      <c r="X792">
        <f>vlookup("906-339000-210",B:AZ,column(w1),0)*e792</f>
        <v>0</v>
      </c>
      <c r="Y792">
        <f>vlookup("906-339000-210",B:AZ,column(x1),0)*e792</f>
        <v>0</v>
      </c>
      <c r="Z792">
        <f>vlookup("906-339000-210",B:AZ,column(y1),0)*e792</f>
        <v>0</v>
      </c>
      <c r="AA792">
        <f>vlookup("906-339000-210",B:AZ,column(z1),0)*e792</f>
        <v>0</v>
      </c>
      <c r="AB792">
        <f>vlookup("906-339000-210",B:AZ,column(aa1),0)*e792</f>
        <v>0</v>
      </c>
      <c r="AC792">
        <f>vlookup("906-339000-210",B:AZ,column(ab1),0)*e792</f>
        <v>0</v>
      </c>
      <c r="AD792">
        <f>vlookup("906-339000-210",B:AZ,column(ac1),0)*e792</f>
        <v>0</v>
      </c>
      <c r="AE792">
        <f>vlookup("906-339000-210",B:AZ,column(ad1),0)*e792</f>
        <v>0</v>
      </c>
      <c r="AF792">
        <f>vlookup("906-339000-210",B:AZ,column(ae1),0)*e792</f>
        <v>0</v>
      </c>
      <c r="AG792">
        <f>vlookup("906-339000-210",B:AZ,column(af1),0)*e792</f>
        <v>0</v>
      </c>
      <c r="AH792">
        <f>vlookup("906-339000-210",B:AZ,column(ag1),0)*e792</f>
        <v>0</v>
      </c>
      <c r="AI792">
        <f>vlookup("906-339000-210",B:AZ,column(ah1),0)*e792</f>
        <v>0</v>
      </c>
      <c r="AJ792">
        <f>vlookup("906-339000-210",B:AZ,column(ai1),0)*e792</f>
        <v>0</v>
      </c>
      <c r="AK792">
        <f>vlookup("906-339000-210",B:AZ,column(aj1),0)*e792</f>
        <v>0</v>
      </c>
      <c r="AL792">
        <f>vlookup("906-339000-210",B:AZ,column(ak1),0)*e792</f>
        <v>0</v>
      </c>
      <c r="AM792">
        <f>vlookup("906-339000-210",B:AZ,column(al1),0)*e792</f>
        <v>0</v>
      </c>
      <c r="AN792">
        <f>vlookup("906-339000-210",B:AZ,column(am1),0)*e792</f>
        <v>0</v>
      </c>
      <c r="AO792">
        <f>vlookup("906-339000-210",B:AZ,column(an1),0)*e792</f>
        <v>0</v>
      </c>
    </row>
    <row r="793" spans="1:41">
      <c r="A793" t="s">
        <v>10</v>
      </c>
      <c r="B793" t="s">
        <v>827</v>
      </c>
      <c r="C793" t="s">
        <v>815</v>
      </c>
      <c r="E793">
        <v>0.003</v>
      </c>
      <c r="F793" t="s">
        <v>13</v>
      </c>
      <c r="I793" t="s">
        <v>14</v>
      </c>
      <c r="AO793">
        <f>sum(j793:an793)</f>
        <v>0</v>
      </c>
    </row>
    <row r="794" spans="1:41">
      <c r="I794" t="s">
        <v>15</v>
      </c>
      <c r="J794">
        <f>vlookup("906-340000-210",Out!B:AZ,column(i1),0)</f>
        <v>0</v>
      </c>
      <c r="K794">
        <f>vlookup("906-340000-210",Out!B:AZ,column(j1),0)</f>
        <v>0</v>
      </c>
      <c r="L794">
        <f>vlookup("906-340000-210",Out!B:AZ,column(k1),0)</f>
        <v>0</v>
      </c>
      <c r="M794">
        <f>vlookup("906-340000-210",Out!B:AZ,column(l1),0)</f>
        <v>0</v>
      </c>
      <c r="N794">
        <f>vlookup("906-340000-210",Out!B:AZ,column(m1),0)</f>
        <v>0</v>
      </c>
      <c r="O794">
        <f>vlookup("906-340000-210",Out!B:AZ,column(n1),0)</f>
        <v>0</v>
      </c>
      <c r="P794">
        <f>vlookup("906-340000-210",Out!B:AZ,column(o1),0)</f>
        <v>0</v>
      </c>
      <c r="Q794">
        <f>vlookup("906-340000-210",Out!B:AZ,column(p1),0)</f>
        <v>0</v>
      </c>
      <c r="R794">
        <f>vlookup("906-340000-210",Out!B:AZ,column(q1),0)</f>
        <v>0</v>
      </c>
      <c r="S794">
        <f>vlookup("906-340000-210",Out!B:AZ,column(r1),0)</f>
        <v>0</v>
      </c>
      <c r="T794">
        <f>vlookup("906-340000-210",Out!B:AZ,column(s1),0)</f>
        <v>0</v>
      </c>
      <c r="U794">
        <f>vlookup("906-340000-210",Out!B:AZ,column(t1),0)</f>
        <v>0</v>
      </c>
      <c r="V794">
        <f>vlookup("906-340000-210",Out!B:AZ,column(u1),0)</f>
        <v>0</v>
      </c>
      <c r="W794">
        <f>vlookup("906-340000-210",Out!B:AZ,column(v1),0)</f>
        <v>0</v>
      </c>
      <c r="X794">
        <f>vlookup("906-340000-210",Out!B:AZ,column(w1),0)</f>
        <v>0</v>
      </c>
      <c r="Y794">
        <f>vlookup("906-340000-210",Out!B:AZ,column(x1),0)</f>
        <v>0</v>
      </c>
      <c r="Z794">
        <f>vlookup("906-340000-210",Out!B:AZ,column(y1),0)</f>
        <v>0</v>
      </c>
      <c r="AA794">
        <f>vlookup("906-340000-210",Out!B:AZ,column(z1),0)</f>
        <v>0</v>
      </c>
      <c r="AB794">
        <f>vlookup("906-340000-210",Out!B:AZ,column(aa1),0)</f>
        <v>0</v>
      </c>
      <c r="AC794">
        <f>vlookup("906-340000-210",Out!B:AZ,column(ab1),0)</f>
        <v>0</v>
      </c>
      <c r="AD794">
        <f>vlookup("906-340000-210",Out!B:AZ,column(ac1),0)</f>
        <v>0</v>
      </c>
      <c r="AE794">
        <f>vlookup("906-340000-210",Out!B:AZ,column(ad1),0)</f>
        <v>0</v>
      </c>
      <c r="AF794">
        <f>vlookup("906-340000-210",Out!B:AZ,column(ae1),0)</f>
        <v>0</v>
      </c>
      <c r="AG794">
        <f>vlookup("906-340000-210",Out!B:AZ,column(af1),0)</f>
        <v>0</v>
      </c>
      <c r="AH794">
        <f>vlookup("906-340000-210",Out!B:AZ,column(ag1),0)</f>
        <v>0</v>
      </c>
      <c r="AI794">
        <f>vlookup("906-340000-210",Out!B:AZ,column(ah1),0)</f>
        <v>0</v>
      </c>
      <c r="AJ794">
        <f>vlookup("906-340000-210",Out!B:AZ,column(ai1),0)</f>
        <v>0</v>
      </c>
      <c r="AK794">
        <f>vlookup("906-340000-210",Out!B:AZ,column(aj1),0)</f>
        <v>0</v>
      </c>
      <c r="AL794">
        <f>vlookup("906-340000-210",Out!B:AZ,column(ak1),0)</f>
        <v>0</v>
      </c>
      <c r="AM794">
        <f>vlookup("906-340000-210",Out!B:AZ,column(al1),0)</f>
        <v>0</v>
      </c>
      <c r="AN794">
        <f>vlookup("906-340000-210",Out!B:AZ,column(am1),0)</f>
        <v>0</v>
      </c>
      <c r="AO794">
        <f>vlookup("906-340000-210",Out!B:AZ,column(an1),0)</f>
        <v>0</v>
      </c>
    </row>
    <row r="795" spans="1:41">
      <c r="H795" t="s">
        <v>16</v>
      </c>
      <c r="J795">
        <f>indirect(address(795,9))+indirect(address(793,10))-indirect(address(794,10))</f>
        <v>0</v>
      </c>
      <c r="K795">
        <f>indirect(address(795,10))+indirect(address(793,11))-indirect(address(794,11))</f>
        <v>0</v>
      </c>
      <c r="L795">
        <f>indirect(address(795,11))+indirect(address(793,12))-indirect(address(794,12))</f>
        <v>0</v>
      </c>
      <c r="M795">
        <f>indirect(address(795,12))+indirect(address(793,13))-indirect(address(794,13))</f>
        <v>0</v>
      </c>
      <c r="N795">
        <f>indirect(address(795,13))+indirect(address(793,14))-indirect(address(794,14))</f>
        <v>0</v>
      </c>
      <c r="O795">
        <f>indirect(address(795,14))+indirect(address(793,15))-indirect(address(794,15))</f>
        <v>0</v>
      </c>
      <c r="P795">
        <f>indirect(address(795,15))+indirect(address(793,16))-indirect(address(794,16))</f>
        <v>0</v>
      </c>
      <c r="Q795">
        <f>indirect(address(795,16))+indirect(address(793,17))-indirect(address(794,17))</f>
        <v>0</v>
      </c>
      <c r="R795">
        <f>indirect(address(795,17))+indirect(address(793,18))-indirect(address(794,18))</f>
        <v>0</v>
      </c>
      <c r="S795">
        <f>indirect(address(795,18))+indirect(address(793,19))-indirect(address(794,19))</f>
        <v>0</v>
      </c>
      <c r="T795">
        <f>indirect(address(795,19))+indirect(address(793,20))-indirect(address(794,20))</f>
        <v>0</v>
      </c>
      <c r="U795">
        <f>indirect(address(795,20))+indirect(address(793,21))-indirect(address(794,21))</f>
        <v>0</v>
      </c>
      <c r="V795">
        <f>indirect(address(795,21))+indirect(address(793,22))-indirect(address(794,22))</f>
        <v>0</v>
      </c>
      <c r="W795">
        <f>indirect(address(795,22))+indirect(address(793,23))-indirect(address(794,23))</f>
        <v>0</v>
      </c>
      <c r="X795">
        <f>indirect(address(795,23))+indirect(address(793,24))-indirect(address(794,24))</f>
        <v>0</v>
      </c>
      <c r="Y795">
        <f>indirect(address(795,24))+indirect(address(793,25))-indirect(address(794,25))</f>
        <v>0</v>
      </c>
      <c r="Z795">
        <f>indirect(address(795,25))+indirect(address(793,26))-indirect(address(794,26))</f>
        <v>0</v>
      </c>
      <c r="AA795">
        <f>indirect(address(795,26))+indirect(address(793,27))-indirect(address(794,27))</f>
        <v>0</v>
      </c>
      <c r="AB795">
        <f>indirect(address(795,27))+indirect(address(793,28))-indirect(address(794,28))</f>
        <v>0</v>
      </c>
      <c r="AC795">
        <f>indirect(address(795,28))+indirect(address(793,29))-indirect(address(794,29))</f>
        <v>0</v>
      </c>
      <c r="AD795">
        <f>indirect(address(795,29))+indirect(address(793,30))-indirect(address(794,30))</f>
        <v>0</v>
      </c>
      <c r="AE795">
        <f>indirect(address(795,30))+indirect(address(793,31))-indirect(address(794,31))</f>
        <v>0</v>
      </c>
      <c r="AF795">
        <f>indirect(address(795,31))+indirect(address(793,32))-indirect(address(794,32))</f>
        <v>0</v>
      </c>
      <c r="AG795">
        <f>indirect(address(795,32))+indirect(address(793,33))-indirect(address(794,33))</f>
        <v>0</v>
      </c>
      <c r="AH795">
        <f>indirect(address(795,33))+indirect(address(793,34))-indirect(address(794,34))</f>
        <v>0</v>
      </c>
      <c r="AI795">
        <f>indirect(address(795,34))+indirect(address(793,35))-indirect(address(794,35))</f>
        <v>0</v>
      </c>
      <c r="AJ795">
        <f>indirect(address(795,35))+indirect(address(793,36))-indirect(address(794,36))</f>
        <v>0</v>
      </c>
      <c r="AK795">
        <f>indirect(address(795,36))+indirect(address(793,37))-indirect(address(794,37))</f>
        <v>0</v>
      </c>
      <c r="AL795">
        <f>indirect(address(795,37))+indirect(address(793,38))-indirect(address(794,38))</f>
        <v>0</v>
      </c>
      <c r="AM795">
        <f>indirect(address(795,38))+indirect(address(793,39))-indirect(address(794,39))</f>
        <v>0</v>
      </c>
      <c r="AN795">
        <f>indirect(address(795,39))+indirect(address(793,40))-indirect(address(794,40))</f>
        <v>0</v>
      </c>
      <c r="AO795">
        <f>indirect(address(795,40))</f>
        <v>0</v>
      </c>
    </row>
    <row r="796" spans="1:41">
      <c r="A796" t="s">
        <v>17</v>
      </c>
      <c r="B796" t="s">
        <v>828</v>
      </c>
      <c r="C796" t="s">
        <v>816</v>
      </c>
      <c r="E796">
        <v>1</v>
      </c>
      <c r="F796" t="s">
        <v>13</v>
      </c>
      <c r="I796" t="s">
        <v>15</v>
      </c>
      <c r="J796">
        <f>vlookup("906-340000-210",B:AZ,column(i1),0)*e796</f>
        <v>0</v>
      </c>
      <c r="K796">
        <f>vlookup("906-340000-210",B:AZ,column(j1),0)*e796</f>
        <v>0</v>
      </c>
      <c r="L796">
        <f>vlookup("906-340000-210",B:AZ,column(k1),0)*e796</f>
        <v>0</v>
      </c>
      <c r="M796">
        <f>vlookup("906-340000-210",B:AZ,column(l1),0)*e796</f>
        <v>0</v>
      </c>
      <c r="N796">
        <f>vlookup("906-340000-210",B:AZ,column(m1),0)*e796</f>
        <v>0</v>
      </c>
      <c r="O796">
        <f>vlookup("906-340000-210",B:AZ,column(n1),0)*e796</f>
        <v>0</v>
      </c>
      <c r="P796">
        <f>vlookup("906-340000-210",B:AZ,column(o1),0)*e796</f>
        <v>0</v>
      </c>
      <c r="Q796">
        <f>vlookup("906-340000-210",B:AZ,column(p1),0)*e796</f>
        <v>0</v>
      </c>
      <c r="R796">
        <f>vlookup("906-340000-210",B:AZ,column(q1),0)*e796</f>
        <v>0</v>
      </c>
      <c r="S796">
        <f>vlookup("906-340000-210",B:AZ,column(r1),0)*e796</f>
        <v>0</v>
      </c>
      <c r="T796">
        <f>vlookup("906-340000-210",B:AZ,column(s1),0)*e796</f>
        <v>0</v>
      </c>
      <c r="U796">
        <f>vlookup("906-340000-210",B:AZ,column(t1),0)*e796</f>
        <v>0</v>
      </c>
      <c r="V796">
        <f>vlookup("906-340000-210",B:AZ,column(u1),0)*e796</f>
        <v>0</v>
      </c>
      <c r="W796">
        <f>vlookup("906-340000-210",B:AZ,column(v1),0)*e796</f>
        <v>0</v>
      </c>
      <c r="X796">
        <f>vlookup("906-340000-210",B:AZ,column(w1),0)*e796</f>
        <v>0</v>
      </c>
      <c r="Y796">
        <f>vlookup("906-340000-210",B:AZ,column(x1),0)*e796</f>
        <v>0</v>
      </c>
      <c r="Z796">
        <f>vlookup("906-340000-210",B:AZ,column(y1),0)*e796</f>
        <v>0</v>
      </c>
      <c r="AA796">
        <f>vlookup("906-340000-210",B:AZ,column(z1),0)*e796</f>
        <v>0</v>
      </c>
      <c r="AB796">
        <f>vlookup("906-340000-210",B:AZ,column(aa1),0)*e796</f>
        <v>0</v>
      </c>
      <c r="AC796">
        <f>vlookup("906-340000-210",B:AZ,column(ab1),0)*e796</f>
        <v>0</v>
      </c>
      <c r="AD796">
        <f>vlookup("906-340000-210",B:AZ,column(ac1),0)*e796</f>
        <v>0</v>
      </c>
      <c r="AE796">
        <f>vlookup("906-340000-210",B:AZ,column(ad1),0)*e796</f>
        <v>0</v>
      </c>
      <c r="AF796">
        <f>vlookup("906-340000-210",B:AZ,column(ae1),0)*e796</f>
        <v>0</v>
      </c>
      <c r="AG796">
        <f>vlookup("906-340000-210",B:AZ,column(af1),0)*e796</f>
        <v>0</v>
      </c>
      <c r="AH796">
        <f>vlookup("906-340000-210",B:AZ,column(ag1),0)*e796</f>
        <v>0</v>
      </c>
      <c r="AI796">
        <f>vlookup("906-340000-210",B:AZ,column(ah1),0)*e796</f>
        <v>0</v>
      </c>
      <c r="AJ796">
        <f>vlookup("906-340000-210",B:AZ,column(ai1),0)*e796</f>
        <v>0</v>
      </c>
      <c r="AK796">
        <f>vlookup("906-340000-210",B:AZ,column(aj1),0)*e796</f>
        <v>0</v>
      </c>
      <c r="AL796">
        <f>vlookup("906-340000-210",B:AZ,column(ak1),0)*e796</f>
        <v>0</v>
      </c>
      <c r="AM796">
        <f>vlookup("906-340000-210",B:AZ,column(al1),0)*e796</f>
        <v>0</v>
      </c>
      <c r="AN796">
        <f>vlookup("906-340000-210",B:AZ,column(am1),0)*e796</f>
        <v>0</v>
      </c>
      <c r="AO796">
        <f>vlookup("906-340000-210",B:AZ,column(an1),0)*e796</f>
        <v>0</v>
      </c>
    </row>
    <row r="797" spans="1:41">
      <c r="A797" t="s">
        <v>17</v>
      </c>
      <c r="B797" t="s">
        <v>817</v>
      </c>
      <c r="C797" t="s">
        <v>818</v>
      </c>
      <c r="E797">
        <v>1</v>
      </c>
      <c r="F797" t="s">
        <v>13</v>
      </c>
      <c r="I797" t="s">
        <v>15</v>
      </c>
      <c r="J797">
        <f>vlookup("906-340000-210",B:AZ,column(i1),0)*e797</f>
        <v>0</v>
      </c>
      <c r="K797">
        <f>vlookup("906-340000-210",B:AZ,column(j1),0)*e797</f>
        <v>0</v>
      </c>
      <c r="L797">
        <f>vlookup("906-340000-210",B:AZ,column(k1),0)*e797</f>
        <v>0</v>
      </c>
      <c r="M797">
        <f>vlookup("906-340000-210",B:AZ,column(l1),0)*e797</f>
        <v>0</v>
      </c>
      <c r="N797">
        <f>vlookup("906-340000-210",B:AZ,column(m1),0)*e797</f>
        <v>0</v>
      </c>
      <c r="O797">
        <f>vlookup("906-340000-210",B:AZ,column(n1),0)*e797</f>
        <v>0</v>
      </c>
      <c r="P797">
        <f>vlookup("906-340000-210",B:AZ,column(o1),0)*e797</f>
        <v>0</v>
      </c>
      <c r="Q797">
        <f>vlookup("906-340000-210",B:AZ,column(p1),0)*e797</f>
        <v>0</v>
      </c>
      <c r="R797">
        <f>vlookup("906-340000-210",B:AZ,column(q1),0)*e797</f>
        <v>0</v>
      </c>
      <c r="S797">
        <f>vlookup("906-340000-210",B:AZ,column(r1),0)*e797</f>
        <v>0</v>
      </c>
      <c r="T797">
        <f>vlookup("906-340000-210",B:AZ,column(s1),0)*e797</f>
        <v>0</v>
      </c>
      <c r="U797">
        <f>vlookup("906-340000-210",B:AZ,column(t1),0)*e797</f>
        <v>0</v>
      </c>
      <c r="V797">
        <f>vlookup("906-340000-210",B:AZ,column(u1),0)*e797</f>
        <v>0</v>
      </c>
      <c r="W797">
        <f>vlookup("906-340000-210",B:AZ,column(v1),0)*e797</f>
        <v>0</v>
      </c>
      <c r="X797">
        <f>vlookup("906-340000-210",B:AZ,column(w1),0)*e797</f>
        <v>0</v>
      </c>
      <c r="Y797">
        <f>vlookup("906-340000-210",B:AZ,column(x1),0)*e797</f>
        <v>0</v>
      </c>
      <c r="Z797">
        <f>vlookup("906-340000-210",B:AZ,column(y1),0)*e797</f>
        <v>0</v>
      </c>
      <c r="AA797">
        <f>vlookup("906-340000-210",B:AZ,column(z1),0)*e797</f>
        <v>0</v>
      </c>
      <c r="AB797">
        <f>vlookup("906-340000-210",B:AZ,column(aa1),0)*e797</f>
        <v>0</v>
      </c>
      <c r="AC797">
        <f>vlookup("906-340000-210",B:AZ,column(ab1),0)*e797</f>
        <v>0</v>
      </c>
      <c r="AD797">
        <f>vlookup("906-340000-210",B:AZ,column(ac1),0)*e797</f>
        <v>0</v>
      </c>
      <c r="AE797">
        <f>vlookup("906-340000-210",B:AZ,column(ad1),0)*e797</f>
        <v>0</v>
      </c>
      <c r="AF797">
        <f>vlookup("906-340000-210",B:AZ,column(ae1),0)*e797</f>
        <v>0</v>
      </c>
      <c r="AG797">
        <f>vlookup("906-340000-210",B:AZ,column(af1),0)*e797</f>
        <v>0</v>
      </c>
      <c r="AH797">
        <f>vlookup("906-340000-210",B:AZ,column(ag1),0)*e797</f>
        <v>0</v>
      </c>
      <c r="AI797">
        <f>vlookup("906-340000-210",B:AZ,column(ah1),0)*e797</f>
        <v>0</v>
      </c>
      <c r="AJ797">
        <f>vlookup("906-340000-210",B:AZ,column(ai1),0)*e797</f>
        <v>0</v>
      </c>
      <c r="AK797">
        <f>vlookup("906-340000-210",B:AZ,column(aj1),0)*e797</f>
        <v>0</v>
      </c>
      <c r="AL797">
        <f>vlookup("906-340000-210",B:AZ,column(ak1),0)*e797</f>
        <v>0</v>
      </c>
      <c r="AM797">
        <f>vlookup("906-340000-210",B:AZ,column(al1),0)*e797</f>
        <v>0</v>
      </c>
      <c r="AN797">
        <f>vlookup("906-340000-210",B:AZ,column(am1),0)*e797</f>
        <v>0</v>
      </c>
      <c r="AO797">
        <f>vlookup("906-340000-210",B:AZ,column(an1),0)*e797</f>
        <v>0</v>
      </c>
    </row>
    <row r="798" spans="1:41">
      <c r="A798" t="s">
        <v>22</v>
      </c>
      <c r="B798" t="s">
        <v>829</v>
      </c>
      <c r="C798" t="s">
        <v>820</v>
      </c>
      <c r="E798">
        <v>1</v>
      </c>
      <c r="F798" t="s">
        <v>13</v>
      </c>
      <c r="I798" t="s">
        <v>15</v>
      </c>
      <c r="J798">
        <f>vlookup("906-340000-210",B:AZ,column(i1),0)*e798</f>
        <v>0</v>
      </c>
      <c r="K798">
        <f>vlookup("906-340000-210",B:AZ,column(j1),0)*e798</f>
        <v>0</v>
      </c>
      <c r="L798">
        <f>vlookup("906-340000-210",B:AZ,column(k1),0)*e798</f>
        <v>0</v>
      </c>
      <c r="M798">
        <f>vlookup("906-340000-210",B:AZ,column(l1),0)*e798</f>
        <v>0</v>
      </c>
      <c r="N798">
        <f>vlookup("906-340000-210",B:AZ,column(m1),0)*e798</f>
        <v>0</v>
      </c>
      <c r="O798">
        <f>vlookup("906-340000-210",B:AZ,column(n1),0)*e798</f>
        <v>0</v>
      </c>
      <c r="P798">
        <f>vlookup("906-340000-210",B:AZ,column(o1),0)*e798</f>
        <v>0</v>
      </c>
      <c r="Q798">
        <f>vlookup("906-340000-210",B:AZ,column(p1),0)*e798</f>
        <v>0</v>
      </c>
      <c r="R798">
        <f>vlookup("906-340000-210",B:AZ,column(q1),0)*e798</f>
        <v>0</v>
      </c>
      <c r="S798">
        <f>vlookup("906-340000-210",B:AZ,column(r1),0)*e798</f>
        <v>0</v>
      </c>
      <c r="T798">
        <f>vlookup("906-340000-210",B:AZ,column(s1),0)*e798</f>
        <v>0</v>
      </c>
      <c r="U798">
        <f>vlookup("906-340000-210",B:AZ,column(t1),0)*e798</f>
        <v>0</v>
      </c>
      <c r="V798">
        <f>vlookup("906-340000-210",B:AZ,column(u1),0)*e798</f>
        <v>0</v>
      </c>
      <c r="W798">
        <f>vlookup("906-340000-210",B:AZ,column(v1),0)*e798</f>
        <v>0</v>
      </c>
      <c r="X798">
        <f>vlookup("906-340000-210",B:AZ,column(w1),0)*e798</f>
        <v>0</v>
      </c>
      <c r="Y798">
        <f>vlookup("906-340000-210",B:AZ,column(x1),0)*e798</f>
        <v>0</v>
      </c>
      <c r="Z798">
        <f>vlookup("906-340000-210",B:AZ,column(y1),0)*e798</f>
        <v>0</v>
      </c>
      <c r="AA798">
        <f>vlookup("906-340000-210",B:AZ,column(z1),0)*e798</f>
        <v>0</v>
      </c>
      <c r="AB798">
        <f>vlookup("906-340000-210",B:AZ,column(aa1),0)*e798</f>
        <v>0</v>
      </c>
      <c r="AC798">
        <f>vlookup("906-340000-210",B:AZ,column(ab1),0)*e798</f>
        <v>0</v>
      </c>
      <c r="AD798">
        <f>vlookup("906-340000-210",B:AZ,column(ac1),0)*e798</f>
        <v>0</v>
      </c>
      <c r="AE798">
        <f>vlookup("906-340000-210",B:AZ,column(ad1),0)*e798</f>
        <v>0</v>
      </c>
      <c r="AF798">
        <f>vlookup("906-340000-210",B:AZ,column(ae1),0)*e798</f>
        <v>0</v>
      </c>
      <c r="AG798">
        <f>vlookup("906-340000-210",B:AZ,column(af1),0)*e798</f>
        <v>0</v>
      </c>
      <c r="AH798">
        <f>vlookup("906-340000-210",B:AZ,column(ag1),0)*e798</f>
        <v>0</v>
      </c>
      <c r="AI798">
        <f>vlookup("906-340000-210",B:AZ,column(ah1),0)*e798</f>
        <v>0</v>
      </c>
      <c r="AJ798">
        <f>vlookup("906-340000-210",B:AZ,column(ai1),0)*e798</f>
        <v>0</v>
      </c>
      <c r="AK798">
        <f>vlookup("906-340000-210",B:AZ,column(aj1),0)*e798</f>
        <v>0</v>
      </c>
      <c r="AL798">
        <f>vlookup("906-340000-210",B:AZ,column(ak1),0)*e798</f>
        <v>0</v>
      </c>
      <c r="AM798">
        <f>vlookup("906-340000-210",B:AZ,column(al1),0)*e798</f>
        <v>0</v>
      </c>
      <c r="AN798">
        <f>vlookup("906-340000-210",B:AZ,column(am1),0)*e798</f>
        <v>0</v>
      </c>
      <c r="AO798">
        <f>vlookup("906-340000-210",B:AZ,column(an1),0)*e798</f>
        <v>0</v>
      </c>
    </row>
    <row r="799" spans="1:41">
      <c r="A799" t="s">
        <v>22</v>
      </c>
      <c r="B799" t="s">
        <v>821</v>
      </c>
      <c r="C799" t="s">
        <v>824</v>
      </c>
      <c r="E799">
        <v>0.003</v>
      </c>
      <c r="F799" t="s">
        <v>13</v>
      </c>
      <c r="I799" t="s">
        <v>15</v>
      </c>
      <c r="J799">
        <f>vlookup("906-340000-210",B:AZ,column(i1),0)*e799</f>
        <v>0</v>
      </c>
      <c r="K799">
        <f>vlookup("906-340000-210",B:AZ,column(j1),0)*e799</f>
        <v>0</v>
      </c>
      <c r="L799">
        <f>vlookup("906-340000-210",B:AZ,column(k1),0)*e799</f>
        <v>0</v>
      </c>
      <c r="M799">
        <f>vlookup("906-340000-210",B:AZ,column(l1),0)*e799</f>
        <v>0</v>
      </c>
      <c r="N799">
        <f>vlookup("906-340000-210",B:AZ,column(m1),0)*e799</f>
        <v>0</v>
      </c>
      <c r="O799">
        <f>vlookup("906-340000-210",B:AZ,column(n1),0)*e799</f>
        <v>0</v>
      </c>
      <c r="P799">
        <f>vlookup("906-340000-210",B:AZ,column(o1),0)*e799</f>
        <v>0</v>
      </c>
      <c r="Q799">
        <f>vlookup("906-340000-210",B:AZ,column(p1),0)*e799</f>
        <v>0</v>
      </c>
      <c r="R799">
        <f>vlookup("906-340000-210",B:AZ,column(q1),0)*e799</f>
        <v>0</v>
      </c>
      <c r="S799">
        <f>vlookup("906-340000-210",B:AZ,column(r1),0)*e799</f>
        <v>0</v>
      </c>
      <c r="T799">
        <f>vlookup("906-340000-210",B:AZ,column(s1),0)*e799</f>
        <v>0</v>
      </c>
      <c r="U799">
        <f>vlookup("906-340000-210",B:AZ,column(t1),0)*e799</f>
        <v>0</v>
      </c>
      <c r="V799">
        <f>vlookup("906-340000-210",B:AZ,column(u1),0)*e799</f>
        <v>0</v>
      </c>
      <c r="W799">
        <f>vlookup("906-340000-210",B:AZ,column(v1),0)*e799</f>
        <v>0</v>
      </c>
      <c r="X799">
        <f>vlookup("906-340000-210",B:AZ,column(w1),0)*e799</f>
        <v>0</v>
      </c>
      <c r="Y799">
        <f>vlookup("906-340000-210",B:AZ,column(x1),0)*e799</f>
        <v>0</v>
      </c>
      <c r="Z799">
        <f>vlookup("906-340000-210",B:AZ,column(y1),0)*e799</f>
        <v>0</v>
      </c>
      <c r="AA799">
        <f>vlookup("906-340000-210",B:AZ,column(z1),0)*e799</f>
        <v>0</v>
      </c>
      <c r="AB799">
        <f>vlookup("906-340000-210",B:AZ,column(aa1),0)*e799</f>
        <v>0</v>
      </c>
      <c r="AC799">
        <f>vlookup("906-340000-210",B:AZ,column(ab1),0)*e799</f>
        <v>0</v>
      </c>
      <c r="AD799">
        <f>vlookup("906-340000-210",B:AZ,column(ac1),0)*e799</f>
        <v>0</v>
      </c>
      <c r="AE799">
        <f>vlookup("906-340000-210",B:AZ,column(ad1),0)*e799</f>
        <v>0</v>
      </c>
      <c r="AF799">
        <f>vlookup("906-340000-210",B:AZ,column(ae1),0)*e799</f>
        <v>0</v>
      </c>
      <c r="AG799">
        <f>vlookup("906-340000-210",B:AZ,column(af1),0)*e799</f>
        <v>0</v>
      </c>
      <c r="AH799">
        <f>vlookup("906-340000-210",B:AZ,column(ag1),0)*e799</f>
        <v>0</v>
      </c>
      <c r="AI799">
        <f>vlookup("906-340000-210",B:AZ,column(ah1),0)*e799</f>
        <v>0</v>
      </c>
      <c r="AJ799">
        <f>vlookup("906-340000-210",B:AZ,column(ai1),0)*e799</f>
        <v>0</v>
      </c>
      <c r="AK799">
        <f>vlookup("906-340000-210",B:AZ,column(aj1),0)*e799</f>
        <v>0</v>
      </c>
      <c r="AL799">
        <f>vlookup("906-340000-210",B:AZ,column(ak1),0)*e799</f>
        <v>0</v>
      </c>
      <c r="AM799">
        <f>vlookup("906-340000-210",B:AZ,column(al1),0)*e799</f>
        <v>0</v>
      </c>
      <c r="AN799">
        <f>vlookup("906-340000-210",B:AZ,column(am1),0)*e799</f>
        <v>0</v>
      </c>
      <c r="AO799">
        <f>vlookup("906-340000-210",B:AZ,column(an1),0)*e799</f>
        <v>0</v>
      </c>
    </row>
    <row r="800" spans="1:41">
      <c r="A800" t="s">
        <v>10</v>
      </c>
      <c r="B800" t="s">
        <v>830</v>
      </c>
      <c r="C800" t="s">
        <v>815</v>
      </c>
      <c r="E800">
        <v>0.003</v>
      </c>
      <c r="F800" t="s">
        <v>13</v>
      </c>
      <c r="I800" t="s">
        <v>14</v>
      </c>
      <c r="AO800">
        <f>sum(j800:an800)</f>
        <v>0</v>
      </c>
    </row>
    <row r="801" spans="1:41">
      <c r="I801" t="s">
        <v>15</v>
      </c>
      <c r="J801">
        <f>vlookup("906-475000-210",Out!B:AZ,column(i1),0)</f>
        <v>0</v>
      </c>
      <c r="K801">
        <f>vlookup("906-475000-210",Out!B:AZ,column(j1),0)</f>
        <v>0</v>
      </c>
      <c r="L801">
        <f>vlookup("906-475000-210",Out!B:AZ,column(k1),0)</f>
        <v>0</v>
      </c>
      <c r="M801">
        <f>vlookup("906-475000-210",Out!B:AZ,column(l1),0)</f>
        <v>0</v>
      </c>
      <c r="N801">
        <f>vlookup("906-475000-210",Out!B:AZ,column(m1),0)</f>
        <v>0</v>
      </c>
      <c r="O801">
        <f>vlookup("906-475000-210",Out!B:AZ,column(n1),0)</f>
        <v>0</v>
      </c>
      <c r="P801">
        <f>vlookup("906-475000-210",Out!B:AZ,column(o1),0)</f>
        <v>0</v>
      </c>
      <c r="Q801">
        <f>vlookup("906-475000-210",Out!B:AZ,column(p1),0)</f>
        <v>0</v>
      </c>
      <c r="R801">
        <f>vlookup("906-475000-210",Out!B:AZ,column(q1),0)</f>
        <v>0</v>
      </c>
      <c r="S801">
        <f>vlookup("906-475000-210",Out!B:AZ,column(r1),0)</f>
        <v>0</v>
      </c>
      <c r="T801">
        <f>vlookup("906-475000-210",Out!B:AZ,column(s1),0)</f>
        <v>0</v>
      </c>
      <c r="U801">
        <f>vlookup("906-475000-210",Out!B:AZ,column(t1),0)</f>
        <v>0</v>
      </c>
      <c r="V801">
        <f>vlookup("906-475000-210",Out!B:AZ,column(u1),0)</f>
        <v>0</v>
      </c>
      <c r="W801">
        <f>vlookup("906-475000-210",Out!B:AZ,column(v1),0)</f>
        <v>0</v>
      </c>
      <c r="X801">
        <f>vlookup("906-475000-210",Out!B:AZ,column(w1),0)</f>
        <v>0</v>
      </c>
      <c r="Y801">
        <f>vlookup("906-475000-210",Out!B:AZ,column(x1),0)</f>
        <v>0</v>
      </c>
      <c r="Z801">
        <f>vlookup("906-475000-210",Out!B:AZ,column(y1),0)</f>
        <v>0</v>
      </c>
      <c r="AA801">
        <f>vlookup("906-475000-210",Out!B:AZ,column(z1),0)</f>
        <v>0</v>
      </c>
      <c r="AB801">
        <f>vlookup("906-475000-210",Out!B:AZ,column(aa1),0)</f>
        <v>0</v>
      </c>
      <c r="AC801">
        <f>vlookup("906-475000-210",Out!B:AZ,column(ab1),0)</f>
        <v>0</v>
      </c>
      <c r="AD801">
        <f>vlookup("906-475000-210",Out!B:AZ,column(ac1),0)</f>
        <v>0</v>
      </c>
      <c r="AE801">
        <f>vlookup("906-475000-210",Out!B:AZ,column(ad1),0)</f>
        <v>0</v>
      </c>
      <c r="AF801">
        <f>vlookup("906-475000-210",Out!B:AZ,column(ae1),0)</f>
        <v>0</v>
      </c>
      <c r="AG801">
        <f>vlookup("906-475000-210",Out!B:AZ,column(af1),0)</f>
        <v>0</v>
      </c>
      <c r="AH801">
        <f>vlookup("906-475000-210",Out!B:AZ,column(ag1),0)</f>
        <v>0</v>
      </c>
      <c r="AI801">
        <f>vlookup("906-475000-210",Out!B:AZ,column(ah1),0)</f>
        <v>0</v>
      </c>
      <c r="AJ801">
        <f>vlookup("906-475000-210",Out!B:AZ,column(ai1),0)</f>
        <v>0</v>
      </c>
      <c r="AK801">
        <f>vlookup("906-475000-210",Out!B:AZ,column(aj1),0)</f>
        <v>0</v>
      </c>
      <c r="AL801">
        <f>vlookup("906-475000-210",Out!B:AZ,column(ak1),0)</f>
        <v>0</v>
      </c>
      <c r="AM801">
        <f>vlookup("906-475000-210",Out!B:AZ,column(al1),0)</f>
        <v>0</v>
      </c>
      <c r="AN801">
        <f>vlookup("906-475000-210",Out!B:AZ,column(am1),0)</f>
        <v>0</v>
      </c>
      <c r="AO801">
        <f>vlookup("906-475000-210",Out!B:AZ,column(an1),0)</f>
        <v>0</v>
      </c>
    </row>
    <row r="802" spans="1:41">
      <c r="H802" t="s">
        <v>16</v>
      </c>
      <c r="J802">
        <f>indirect(address(802,9))+indirect(address(800,10))-indirect(address(801,10))</f>
        <v>0</v>
      </c>
      <c r="K802">
        <f>indirect(address(802,10))+indirect(address(800,11))-indirect(address(801,11))</f>
        <v>0</v>
      </c>
      <c r="L802">
        <f>indirect(address(802,11))+indirect(address(800,12))-indirect(address(801,12))</f>
        <v>0</v>
      </c>
      <c r="M802">
        <f>indirect(address(802,12))+indirect(address(800,13))-indirect(address(801,13))</f>
        <v>0</v>
      </c>
      <c r="N802">
        <f>indirect(address(802,13))+indirect(address(800,14))-indirect(address(801,14))</f>
        <v>0</v>
      </c>
      <c r="O802">
        <f>indirect(address(802,14))+indirect(address(800,15))-indirect(address(801,15))</f>
        <v>0</v>
      </c>
      <c r="P802">
        <f>indirect(address(802,15))+indirect(address(800,16))-indirect(address(801,16))</f>
        <v>0</v>
      </c>
      <c r="Q802">
        <f>indirect(address(802,16))+indirect(address(800,17))-indirect(address(801,17))</f>
        <v>0</v>
      </c>
      <c r="R802">
        <f>indirect(address(802,17))+indirect(address(800,18))-indirect(address(801,18))</f>
        <v>0</v>
      </c>
      <c r="S802">
        <f>indirect(address(802,18))+indirect(address(800,19))-indirect(address(801,19))</f>
        <v>0</v>
      </c>
      <c r="T802">
        <f>indirect(address(802,19))+indirect(address(800,20))-indirect(address(801,20))</f>
        <v>0</v>
      </c>
      <c r="U802">
        <f>indirect(address(802,20))+indirect(address(800,21))-indirect(address(801,21))</f>
        <v>0</v>
      </c>
      <c r="V802">
        <f>indirect(address(802,21))+indirect(address(800,22))-indirect(address(801,22))</f>
        <v>0</v>
      </c>
      <c r="W802">
        <f>indirect(address(802,22))+indirect(address(800,23))-indirect(address(801,23))</f>
        <v>0</v>
      </c>
      <c r="X802">
        <f>indirect(address(802,23))+indirect(address(800,24))-indirect(address(801,24))</f>
        <v>0</v>
      </c>
      <c r="Y802">
        <f>indirect(address(802,24))+indirect(address(800,25))-indirect(address(801,25))</f>
        <v>0</v>
      </c>
      <c r="Z802">
        <f>indirect(address(802,25))+indirect(address(800,26))-indirect(address(801,26))</f>
        <v>0</v>
      </c>
      <c r="AA802">
        <f>indirect(address(802,26))+indirect(address(800,27))-indirect(address(801,27))</f>
        <v>0</v>
      </c>
      <c r="AB802">
        <f>indirect(address(802,27))+indirect(address(800,28))-indirect(address(801,28))</f>
        <v>0</v>
      </c>
      <c r="AC802">
        <f>indirect(address(802,28))+indirect(address(800,29))-indirect(address(801,29))</f>
        <v>0</v>
      </c>
      <c r="AD802">
        <f>indirect(address(802,29))+indirect(address(800,30))-indirect(address(801,30))</f>
        <v>0</v>
      </c>
      <c r="AE802">
        <f>indirect(address(802,30))+indirect(address(800,31))-indirect(address(801,31))</f>
        <v>0</v>
      </c>
      <c r="AF802">
        <f>indirect(address(802,31))+indirect(address(800,32))-indirect(address(801,32))</f>
        <v>0</v>
      </c>
      <c r="AG802">
        <f>indirect(address(802,32))+indirect(address(800,33))-indirect(address(801,33))</f>
        <v>0</v>
      </c>
      <c r="AH802">
        <f>indirect(address(802,33))+indirect(address(800,34))-indirect(address(801,34))</f>
        <v>0</v>
      </c>
      <c r="AI802">
        <f>indirect(address(802,34))+indirect(address(800,35))-indirect(address(801,35))</f>
        <v>0</v>
      </c>
      <c r="AJ802">
        <f>indirect(address(802,35))+indirect(address(800,36))-indirect(address(801,36))</f>
        <v>0</v>
      </c>
      <c r="AK802">
        <f>indirect(address(802,36))+indirect(address(800,37))-indirect(address(801,37))</f>
        <v>0</v>
      </c>
      <c r="AL802">
        <f>indirect(address(802,37))+indirect(address(800,38))-indirect(address(801,38))</f>
        <v>0</v>
      </c>
      <c r="AM802">
        <f>indirect(address(802,38))+indirect(address(800,39))-indirect(address(801,39))</f>
        <v>0</v>
      </c>
      <c r="AN802">
        <f>indirect(address(802,39))+indirect(address(800,40))-indirect(address(801,40))</f>
        <v>0</v>
      </c>
      <c r="AO802">
        <f>indirect(address(802,40))</f>
        <v>0</v>
      </c>
    </row>
    <row r="803" spans="1:41">
      <c r="A803" t="s">
        <v>17</v>
      </c>
      <c r="B803" t="s">
        <v>831</v>
      </c>
      <c r="C803" t="s">
        <v>832</v>
      </c>
      <c r="E803">
        <v>1</v>
      </c>
      <c r="F803" t="s">
        <v>13</v>
      </c>
      <c r="I803" t="s">
        <v>15</v>
      </c>
      <c r="J803">
        <f>vlookup("906-475000-210",B:AZ,column(i1),0)*e803</f>
        <v>0</v>
      </c>
      <c r="K803">
        <f>vlookup("906-475000-210",B:AZ,column(j1),0)*e803</f>
        <v>0</v>
      </c>
      <c r="L803">
        <f>vlookup("906-475000-210",B:AZ,column(k1),0)*e803</f>
        <v>0</v>
      </c>
      <c r="M803">
        <f>vlookup("906-475000-210",B:AZ,column(l1),0)*e803</f>
        <v>0</v>
      </c>
      <c r="N803">
        <f>vlookup("906-475000-210",B:AZ,column(m1),0)*e803</f>
        <v>0</v>
      </c>
      <c r="O803">
        <f>vlookup("906-475000-210",B:AZ,column(n1),0)*e803</f>
        <v>0</v>
      </c>
      <c r="P803">
        <f>vlookup("906-475000-210",B:AZ,column(o1),0)*e803</f>
        <v>0</v>
      </c>
      <c r="Q803">
        <f>vlookup("906-475000-210",B:AZ,column(p1),0)*e803</f>
        <v>0</v>
      </c>
      <c r="R803">
        <f>vlookup("906-475000-210",B:AZ,column(q1),0)*e803</f>
        <v>0</v>
      </c>
      <c r="S803">
        <f>vlookup("906-475000-210",B:AZ,column(r1),0)*e803</f>
        <v>0</v>
      </c>
      <c r="T803">
        <f>vlookup("906-475000-210",B:AZ,column(s1),0)*e803</f>
        <v>0</v>
      </c>
      <c r="U803">
        <f>vlookup("906-475000-210",B:AZ,column(t1),0)*e803</f>
        <v>0</v>
      </c>
      <c r="V803">
        <f>vlookup("906-475000-210",B:AZ,column(u1),0)*e803</f>
        <v>0</v>
      </c>
      <c r="W803">
        <f>vlookup("906-475000-210",B:AZ,column(v1),0)*e803</f>
        <v>0</v>
      </c>
      <c r="X803">
        <f>vlookup("906-475000-210",B:AZ,column(w1),0)*e803</f>
        <v>0</v>
      </c>
      <c r="Y803">
        <f>vlookup("906-475000-210",B:AZ,column(x1),0)*e803</f>
        <v>0</v>
      </c>
      <c r="Z803">
        <f>vlookup("906-475000-210",B:AZ,column(y1),0)*e803</f>
        <v>0</v>
      </c>
      <c r="AA803">
        <f>vlookup("906-475000-210",B:AZ,column(z1),0)*e803</f>
        <v>0</v>
      </c>
      <c r="AB803">
        <f>vlookup("906-475000-210",B:AZ,column(aa1),0)*e803</f>
        <v>0</v>
      </c>
      <c r="AC803">
        <f>vlookup("906-475000-210",B:AZ,column(ab1),0)*e803</f>
        <v>0</v>
      </c>
      <c r="AD803">
        <f>vlookup("906-475000-210",B:AZ,column(ac1),0)*e803</f>
        <v>0</v>
      </c>
      <c r="AE803">
        <f>vlookup("906-475000-210",B:AZ,column(ad1),0)*e803</f>
        <v>0</v>
      </c>
      <c r="AF803">
        <f>vlookup("906-475000-210",B:AZ,column(ae1),0)*e803</f>
        <v>0</v>
      </c>
      <c r="AG803">
        <f>vlookup("906-475000-210",B:AZ,column(af1),0)*e803</f>
        <v>0</v>
      </c>
      <c r="AH803">
        <f>vlookup("906-475000-210",B:AZ,column(ag1),0)*e803</f>
        <v>0</v>
      </c>
      <c r="AI803">
        <f>vlookup("906-475000-210",B:AZ,column(ah1),0)*e803</f>
        <v>0</v>
      </c>
      <c r="AJ803">
        <f>vlookup("906-475000-210",B:AZ,column(ai1),0)*e803</f>
        <v>0</v>
      </c>
      <c r="AK803">
        <f>vlookup("906-475000-210",B:AZ,column(aj1),0)*e803</f>
        <v>0</v>
      </c>
      <c r="AL803">
        <f>vlookup("906-475000-210",B:AZ,column(ak1),0)*e803</f>
        <v>0</v>
      </c>
      <c r="AM803">
        <f>vlookup("906-475000-210",B:AZ,column(al1),0)*e803</f>
        <v>0</v>
      </c>
      <c r="AN803">
        <f>vlookup("906-475000-210",B:AZ,column(am1),0)*e803</f>
        <v>0</v>
      </c>
      <c r="AO803">
        <f>vlookup("906-475000-210",B:AZ,column(an1),0)*e803</f>
        <v>0</v>
      </c>
    </row>
    <row r="804" spans="1:41">
      <c r="A804" t="s">
        <v>17</v>
      </c>
      <c r="B804" t="s">
        <v>817</v>
      </c>
      <c r="C804" t="s">
        <v>818</v>
      </c>
      <c r="E804">
        <v>1</v>
      </c>
      <c r="F804" t="s">
        <v>13</v>
      </c>
      <c r="I804" t="s">
        <v>15</v>
      </c>
      <c r="J804">
        <f>vlookup("906-475000-210",B:AZ,column(i1),0)*e804</f>
        <v>0</v>
      </c>
      <c r="K804">
        <f>vlookup("906-475000-210",B:AZ,column(j1),0)*e804</f>
        <v>0</v>
      </c>
      <c r="L804">
        <f>vlookup("906-475000-210",B:AZ,column(k1),0)*e804</f>
        <v>0</v>
      </c>
      <c r="M804">
        <f>vlookup("906-475000-210",B:AZ,column(l1),0)*e804</f>
        <v>0</v>
      </c>
      <c r="N804">
        <f>vlookup("906-475000-210",B:AZ,column(m1),0)*e804</f>
        <v>0</v>
      </c>
      <c r="O804">
        <f>vlookup("906-475000-210",B:AZ,column(n1),0)*e804</f>
        <v>0</v>
      </c>
      <c r="P804">
        <f>vlookup("906-475000-210",B:AZ,column(o1),0)*e804</f>
        <v>0</v>
      </c>
      <c r="Q804">
        <f>vlookup("906-475000-210",B:AZ,column(p1),0)*e804</f>
        <v>0</v>
      </c>
      <c r="R804">
        <f>vlookup("906-475000-210",B:AZ,column(q1),0)*e804</f>
        <v>0</v>
      </c>
      <c r="S804">
        <f>vlookup("906-475000-210",B:AZ,column(r1),0)*e804</f>
        <v>0</v>
      </c>
      <c r="T804">
        <f>vlookup("906-475000-210",B:AZ,column(s1),0)*e804</f>
        <v>0</v>
      </c>
      <c r="U804">
        <f>vlookup("906-475000-210",B:AZ,column(t1),0)*e804</f>
        <v>0</v>
      </c>
      <c r="V804">
        <f>vlookup("906-475000-210",B:AZ,column(u1),0)*e804</f>
        <v>0</v>
      </c>
      <c r="W804">
        <f>vlookup("906-475000-210",B:AZ,column(v1),0)*e804</f>
        <v>0</v>
      </c>
      <c r="X804">
        <f>vlookup("906-475000-210",B:AZ,column(w1),0)*e804</f>
        <v>0</v>
      </c>
      <c r="Y804">
        <f>vlookup("906-475000-210",B:AZ,column(x1),0)*e804</f>
        <v>0</v>
      </c>
      <c r="Z804">
        <f>vlookup("906-475000-210",B:AZ,column(y1),0)*e804</f>
        <v>0</v>
      </c>
      <c r="AA804">
        <f>vlookup("906-475000-210",B:AZ,column(z1),0)*e804</f>
        <v>0</v>
      </c>
      <c r="AB804">
        <f>vlookup("906-475000-210",B:AZ,column(aa1),0)*e804</f>
        <v>0</v>
      </c>
      <c r="AC804">
        <f>vlookup("906-475000-210",B:AZ,column(ab1),0)*e804</f>
        <v>0</v>
      </c>
      <c r="AD804">
        <f>vlookup("906-475000-210",B:AZ,column(ac1),0)*e804</f>
        <v>0</v>
      </c>
      <c r="AE804">
        <f>vlookup("906-475000-210",B:AZ,column(ad1),0)*e804</f>
        <v>0</v>
      </c>
      <c r="AF804">
        <f>vlookup("906-475000-210",B:AZ,column(ae1),0)*e804</f>
        <v>0</v>
      </c>
      <c r="AG804">
        <f>vlookup("906-475000-210",B:AZ,column(af1),0)*e804</f>
        <v>0</v>
      </c>
      <c r="AH804">
        <f>vlookup("906-475000-210",B:AZ,column(ag1),0)*e804</f>
        <v>0</v>
      </c>
      <c r="AI804">
        <f>vlookup("906-475000-210",B:AZ,column(ah1),0)*e804</f>
        <v>0</v>
      </c>
      <c r="AJ804">
        <f>vlookup("906-475000-210",B:AZ,column(ai1),0)*e804</f>
        <v>0</v>
      </c>
      <c r="AK804">
        <f>vlookup("906-475000-210",B:AZ,column(aj1),0)*e804</f>
        <v>0</v>
      </c>
      <c r="AL804">
        <f>vlookup("906-475000-210",B:AZ,column(ak1),0)*e804</f>
        <v>0</v>
      </c>
      <c r="AM804">
        <f>vlookup("906-475000-210",B:AZ,column(al1),0)*e804</f>
        <v>0</v>
      </c>
      <c r="AN804">
        <f>vlookup("906-475000-210",B:AZ,column(am1),0)*e804</f>
        <v>0</v>
      </c>
      <c r="AO804">
        <f>vlookup("906-475000-210",B:AZ,column(an1),0)*e804</f>
        <v>0</v>
      </c>
    </row>
    <row r="805" spans="1:41">
      <c r="A805" t="s">
        <v>22</v>
      </c>
      <c r="B805" t="s">
        <v>819</v>
      </c>
      <c r="C805" t="s">
        <v>820</v>
      </c>
      <c r="E805">
        <v>1</v>
      </c>
      <c r="F805" t="s">
        <v>13</v>
      </c>
      <c r="I805" t="s">
        <v>15</v>
      </c>
      <c r="J805">
        <f>vlookup("906-475000-210",B:AZ,column(i1),0)*e805</f>
        <v>0</v>
      </c>
      <c r="K805">
        <f>vlookup("906-475000-210",B:AZ,column(j1),0)*e805</f>
        <v>0</v>
      </c>
      <c r="L805">
        <f>vlookup("906-475000-210",B:AZ,column(k1),0)*e805</f>
        <v>0</v>
      </c>
      <c r="M805">
        <f>vlookup("906-475000-210",B:AZ,column(l1),0)*e805</f>
        <v>0</v>
      </c>
      <c r="N805">
        <f>vlookup("906-475000-210",B:AZ,column(m1),0)*e805</f>
        <v>0</v>
      </c>
      <c r="O805">
        <f>vlookup("906-475000-210",B:AZ,column(n1),0)*e805</f>
        <v>0</v>
      </c>
      <c r="P805">
        <f>vlookup("906-475000-210",B:AZ,column(o1),0)*e805</f>
        <v>0</v>
      </c>
      <c r="Q805">
        <f>vlookup("906-475000-210",B:AZ,column(p1),0)*e805</f>
        <v>0</v>
      </c>
      <c r="R805">
        <f>vlookup("906-475000-210",B:AZ,column(q1),0)*e805</f>
        <v>0</v>
      </c>
      <c r="S805">
        <f>vlookup("906-475000-210",B:AZ,column(r1),0)*e805</f>
        <v>0</v>
      </c>
      <c r="T805">
        <f>vlookup("906-475000-210",B:AZ,column(s1),0)*e805</f>
        <v>0</v>
      </c>
      <c r="U805">
        <f>vlookup("906-475000-210",B:AZ,column(t1),0)*e805</f>
        <v>0</v>
      </c>
      <c r="V805">
        <f>vlookup("906-475000-210",B:AZ,column(u1),0)*e805</f>
        <v>0</v>
      </c>
      <c r="W805">
        <f>vlookup("906-475000-210",B:AZ,column(v1),0)*e805</f>
        <v>0</v>
      </c>
      <c r="X805">
        <f>vlookup("906-475000-210",B:AZ,column(w1),0)*e805</f>
        <v>0</v>
      </c>
      <c r="Y805">
        <f>vlookup("906-475000-210",B:AZ,column(x1),0)*e805</f>
        <v>0</v>
      </c>
      <c r="Z805">
        <f>vlookup("906-475000-210",B:AZ,column(y1),0)*e805</f>
        <v>0</v>
      </c>
      <c r="AA805">
        <f>vlookup("906-475000-210",B:AZ,column(z1),0)*e805</f>
        <v>0</v>
      </c>
      <c r="AB805">
        <f>vlookup("906-475000-210",B:AZ,column(aa1),0)*e805</f>
        <v>0</v>
      </c>
      <c r="AC805">
        <f>vlookup("906-475000-210",B:AZ,column(ab1),0)*e805</f>
        <v>0</v>
      </c>
      <c r="AD805">
        <f>vlookup("906-475000-210",B:AZ,column(ac1),0)*e805</f>
        <v>0</v>
      </c>
      <c r="AE805">
        <f>vlookup("906-475000-210",B:AZ,column(ad1),0)*e805</f>
        <v>0</v>
      </c>
      <c r="AF805">
        <f>vlookup("906-475000-210",B:AZ,column(ae1),0)*e805</f>
        <v>0</v>
      </c>
      <c r="AG805">
        <f>vlookup("906-475000-210",B:AZ,column(af1),0)*e805</f>
        <v>0</v>
      </c>
      <c r="AH805">
        <f>vlookup("906-475000-210",B:AZ,column(ag1),0)*e805</f>
        <v>0</v>
      </c>
      <c r="AI805">
        <f>vlookup("906-475000-210",B:AZ,column(ah1),0)*e805</f>
        <v>0</v>
      </c>
      <c r="AJ805">
        <f>vlookup("906-475000-210",B:AZ,column(ai1),0)*e805</f>
        <v>0</v>
      </c>
      <c r="AK805">
        <f>vlookup("906-475000-210",B:AZ,column(aj1),0)*e805</f>
        <v>0</v>
      </c>
      <c r="AL805">
        <f>vlookup("906-475000-210",B:AZ,column(ak1),0)*e805</f>
        <v>0</v>
      </c>
      <c r="AM805">
        <f>vlookup("906-475000-210",B:AZ,column(al1),0)*e805</f>
        <v>0</v>
      </c>
      <c r="AN805">
        <f>vlookup("906-475000-210",B:AZ,column(am1),0)*e805</f>
        <v>0</v>
      </c>
      <c r="AO805">
        <f>vlookup("906-475000-210",B:AZ,column(an1),0)*e805</f>
        <v>0</v>
      </c>
    </row>
    <row r="806" spans="1:41">
      <c r="A806" t="s">
        <v>22</v>
      </c>
      <c r="B806" t="s">
        <v>821</v>
      </c>
      <c r="C806" t="s">
        <v>824</v>
      </c>
      <c r="E806">
        <v>0.003</v>
      </c>
      <c r="F806" t="s">
        <v>13</v>
      </c>
      <c r="I806" t="s">
        <v>15</v>
      </c>
      <c r="J806">
        <f>vlookup("906-475000-210",B:AZ,column(i1),0)*e806</f>
        <v>0</v>
      </c>
      <c r="K806">
        <f>vlookup("906-475000-210",B:AZ,column(j1),0)*e806</f>
        <v>0</v>
      </c>
      <c r="L806">
        <f>vlookup("906-475000-210",B:AZ,column(k1),0)*e806</f>
        <v>0</v>
      </c>
      <c r="M806">
        <f>vlookup("906-475000-210",B:AZ,column(l1),0)*e806</f>
        <v>0</v>
      </c>
      <c r="N806">
        <f>vlookup("906-475000-210",B:AZ,column(m1),0)*e806</f>
        <v>0</v>
      </c>
      <c r="O806">
        <f>vlookup("906-475000-210",B:AZ,column(n1),0)*e806</f>
        <v>0</v>
      </c>
      <c r="P806">
        <f>vlookup("906-475000-210",B:AZ,column(o1),0)*e806</f>
        <v>0</v>
      </c>
      <c r="Q806">
        <f>vlookup("906-475000-210",B:AZ,column(p1),0)*e806</f>
        <v>0</v>
      </c>
      <c r="R806">
        <f>vlookup("906-475000-210",B:AZ,column(q1),0)*e806</f>
        <v>0</v>
      </c>
      <c r="S806">
        <f>vlookup("906-475000-210",B:AZ,column(r1),0)*e806</f>
        <v>0</v>
      </c>
      <c r="T806">
        <f>vlookup("906-475000-210",B:AZ,column(s1),0)*e806</f>
        <v>0</v>
      </c>
      <c r="U806">
        <f>vlookup("906-475000-210",B:AZ,column(t1),0)*e806</f>
        <v>0</v>
      </c>
      <c r="V806">
        <f>vlookup("906-475000-210",B:AZ,column(u1),0)*e806</f>
        <v>0</v>
      </c>
      <c r="W806">
        <f>vlookup("906-475000-210",B:AZ,column(v1),0)*e806</f>
        <v>0</v>
      </c>
      <c r="X806">
        <f>vlookup("906-475000-210",B:AZ,column(w1),0)*e806</f>
        <v>0</v>
      </c>
      <c r="Y806">
        <f>vlookup("906-475000-210",B:AZ,column(x1),0)*e806</f>
        <v>0</v>
      </c>
      <c r="Z806">
        <f>vlookup("906-475000-210",B:AZ,column(y1),0)*e806</f>
        <v>0</v>
      </c>
      <c r="AA806">
        <f>vlookup("906-475000-210",B:AZ,column(z1),0)*e806</f>
        <v>0</v>
      </c>
      <c r="AB806">
        <f>vlookup("906-475000-210",B:AZ,column(aa1),0)*e806</f>
        <v>0</v>
      </c>
      <c r="AC806">
        <f>vlookup("906-475000-210",B:AZ,column(ab1),0)*e806</f>
        <v>0</v>
      </c>
      <c r="AD806">
        <f>vlookup("906-475000-210",B:AZ,column(ac1),0)*e806</f>
        <v>0</v>
      </c>
      <c r="AE806">
        <f>vlookup("906-475000-210",B:AZ,column(ad1),0)*e806</f>
        <v>0</v>
      </c>
      <c r="AF806">
        <f>vlookup("906-475000-210",B:AZ,column(ae1),0)*e806</f>
        <v>0</v>
      </c>
      <c r="AG806">
        <f>vlookup("906-475000-210",B:AZ,column(af1),0)*e806</f>
        <v>0</v>
      </c>
      <c r="AH806">
        <f>vlookup("906-475000-210",B:AZ,column(ag1),0)*e806</f>
        <v>0</v>
      </c>
      <c r="AI806">
        <f>vlookup("906-475000-210",B:AZ,column(ah1),0)*e806</f>
        <v>0</v>
      </c>
      <c r="AJ806">
        <f>vlookup("906-475000-210",B:AZ,column(ai1),0)*e806</f>
        <v>0</v>
      </c>
      <c r="AK806">
        <f>vlookup("906-475000-210",B:AZ,column(aj1),0)*e806</f>
        <v>0</v>
      </c>
      <c r="AL806">
        <f>vlookup("906-475000-210",B:AZ,column(ak1),0)*e806</f>
        <v>0</v>
      </c>
      <c r="AM806">
        <f>vlookup("906-475000-210",B:AZ,column(al1),0)*e806</f>
        <v>0</v>
      </c>
      <c r="AN806">
        <f>vlookup("906-475000-210",B:AZ,column(am1),0)*e806</f>
        <v>0</v>
      </c>
      <c r="AO806">
        <f>vlookup("906-475000-210",B:AZ,column(an1),0)*e806</f>
        <v>0</v>
      </c>
    </row>
    <row r="807" spans="1:41">
      <c r="A807" t="s">
        <v>10</v>
      </c>
      <c r="B807" t="s">
        <v>833</v>
      </c>
      <c r="C807" t="s">
        <v>815</v>
      </c>
      <c r="E807">
        <v>0.003</v>
      </c>
      <c r="F807" t="s">
        <v>13</v>
      </c>
      <c r="I807" t="s">
        <v>14</v>
      </c>
      <c r="AO807">
        <f>sum(j807:an807)</f>
        <v>0</v>
      </c>
    </row>
    <row r="808" spans="1:41">
      <c r="I808" t="s">
        <v>15</v>
      </c>
      <c r="J808">
        <f>vlookup("906-476000-210",Out!B:AZ,column(i1),0)</f>
        <v>0</v>
      </c>
      <c r="K808">
        <f>vlookup("906-476000-210",Out!B:AZ,column(j1),0)</f>
        <v>0</v>
      </c>
      <c r="L808">
        <f>vlookup("906-476000-210",Out!B:AZ,column(k1),0)</f>
        <v>0</v>
      </c>
      <c r="M808">
        <f>vlookup("906-476000-210",Out!B:AZ,column(l1),0)</f>
        <v>0</v>
      </c>
      <c r="N808">
        <f>vlookup("906-476000-210",Out!B:AZ,column(m1),0)</f>
        <v>0</v>
      </c>
      <c r="O808">
        <f>vlookup("906-476000-210",Out!B:AZ,column(n1),0)</f>
        <v>0</v>
      </c>
      <c r="P808">
        <f>vlookup("906-476000-210",Out!B:AZ,column(o1),0)</f>
        <v>0</v>
      </c>
      <c r="Q808">
        <f>vlookup("906-476000-210",Out!B:AZ,column(p1),0)</f>
        <v>0</v>
      </c>
      <c r="R808">
        <f>vlookup("906-476000-210",Out!B:AZ,column(q1),0)</f>
        <v>0</v>
      </c>
      <c r="S808">
        <f>vlookup("906-476000-210",Out!B:AZ,column(r1),0)</f>
        <v>0</v>
      </c>
      <c r="T808">
        <f>vlookup("906-476000-210",Out!B:AZ,column(s1),0)</f>
        <v>0</v>
      </c>
      <c r="U808">
        <f>vlookup("906-476000-210",Out!B:AZ,column(t1),0)</f>
        <v>0</v>
      </c>
      <c r="V808">
        <f>vlookup("906-476000-210",Out!B:AZ,column(u1),0)</f>
        <v>0</v>
      </c>
      <c r="W808">
        <f>vlookup("906-476000-210",Out!B:AZ,column(v1),0)</f>
        <v>0</v>
      </c>
      <c r="X808">
        <f>vlookup("906-476000-210",Out!B:AZ,column(w1),0)</f>
        <v>0</v>
      </c>
      <c r="Y808">
        <f>vlookup("906-476000-210",Out!B:AZ,column(x1),0)</f>
        <v>0</v>
      </c>
      <c r="Z808">
        <f>vlookup("906-476000-210",Out!B:AZ,column(y1),0)</f>
        <v>0</v>
      </c>
      <c r="AA808">
        <f>vlookup("906-476000-210",Out!B:AZ,column(z1),0)</f>
        <v>0</v>
      </c>
      <c r="AB808">
        <f>vlookup("906-476000-210",Out!B:AZ,column(aa1),0)</f>
        <v>0</v>
      </c>
      <c r="AC808">
        <f>vlookup("906-476000-210",Out!B:AZ,column(ab1),0)</f>
        <v>0</v>
      </c>
      <c r="AD808">
        <f>vlookup("906-476000-210",Out!B:AZ,column(ac1),0)</f>
        <v>0</v>
      </c>
      <c r="AE808">
        <f>vlookup("906-476000-210",Out!B:AZ,column(ad1),0)</f>
        <v>0</v>
      </c>
      <c r="AF808">
        <f>vlookup("906-476000-210",Out!B:AZ,column(ae1),0)</f>
        <v>0</v>
      </c>
      <c r="AG808">
        <f>vlookup("906-476000-210",Out!B:AZ,column(af1),0)</f>
        <v>0</v>
      </c>
      <c r="AH808">
        <f>vlookup("906-476000-210",Out!B:AZ,column(ag1),0)</f>
        <v>0</v>
      </c>
      <c r="AI808">
        <f>vlookup("906-476000-210",Out!B:AZ,column(ah1),0)</f>
        <v>0</v>
      </c>
      <c r="AJ808">
        <f>vlookup("906-476000-210",Out!B:AZ,column(ai1),0)</f>
        <v>0</v>
      </c>
      <c r="AK808">
        <f>vlookup("906-476000-210",Out!B:AZ,column(aj1),0)</f>
        <v>0</v>
      </c>
      <c r="AL808">
        <f>vlookup("906-476000-210",Out!B:AZ,column(ak1),0)</f>
        <v>0</v>
      </c>
      <c r="AM808">
        <f>vlookup("906-476000-210",Out!B:AZ,column(al1),0)</f>
        <v>0</v>
      </c>
      <c r="AN808">
        <f>vlookup("906-476000-210",Out!B:AZ,column(am1),0)</f>
        <v>0</v>
      </c>
      <c r="AO808">
        <f>vlookup("906-476000-210",Out!B:AZ,column(an1),0)</f>
        <v>0</v>
      </c>
    </row>
    <row r="809" spans="1:41">
      <c r="H809" t="s">
        <v>16</v>
      </c>
      <c r="J809">
        <f>indirect(address(809,9))+indirect(address(807,10))-indirect(address(808,10))</f>
        <v>0</v>
      </c>
      <c r="K809">
        <f>indirect(address(809,10))+indirect(address(807,11))-indirect(address(808,11))</f>
        <v>0</v>
      </c>
      <c r="L809">
        <f>indirect(address(809,11))+indirect(address(807,12))-indirect(address(808,12))</f>
        <v>0</v>
      </c>
      <c r="M809">
        <f>indirect(address(809,12))+indirect(address(807,13))-indirect(address(808,13))</f>
        <v>0</v>
      </c>
      <c r="N809">
        <f>indirect(address(809,13))+indirect(address(807,14))-indirect(address(808,14))</f>
        <v>0</v>
      </c>
      <c r="O809">
        <f>indirect(address(809,14))+indirect(address(807,15))-indirect(address(808,15))</f>
        <v>0</v>
      </c>
      <c r="P809">
        <f>indirect(address(809,15))+indirect(address(807,16))-indirect(address(808,16))</f>
        <v>0</v>
      </c>
      <c r="Q809">
        <f>indirect(address(809,16))+indirect(address(807,17))-indirect(address(808,17))</f>
        <v>0</v>
      </c>
      <c r="R809">
        <f>indirect(address(809,17))+indirect(address(807,18))-indirect(address(808,18))</f>
        <v>0</v>
      </c>
      <c r="S809">
        <f>indirect(address(809,18))+indirect(address(807,19))-indirect(address(808,19))</f>
        <v>0</v>
      </c>
      <c r="T809">
        <f>indirect(address(809,19))+indirect(address(807,20))-indirect(address(808,20))</f>
        <v>0</v>
      </c>
      <c r="U809">
        <f>indirect(address(809,20))+indirect(address(807,21))-indirect(address(808,21))</f>
        <v>0</v>
      </c>
      <c r="V809">
        <f>indirect(address(809,21))+indirect(address(807,22))-indirect(address(808,22))</f>
        <v>0</v>
      </c>
      <c r="W809">
        <f>indirect(address(809,22))+indirect(address(807,23))-indirect(address(808,23))</f>
        <v>0</v>
      </c>
      <c r="X809">
        <f>indirect(address(809,23))+indirect(address(807,24))-indirect(address(808,24))</f>
        <v>0</v>
      </c>
      <c r="Y809">
        <f>indirect(address(809,24))+indirect(address(807,25))-indirect(address(808,25))</f>
        <v>0</v>
      </c>
      <c r="Z809">
        <f>indirect(address(809,25))+indirect(address(807,26))-indirect(address(808,26))</f>
        <v>0</v>
      </c>
      <c r="AA809">
        <f>indirect(address(809,26))+indirect(address(807,27))-indirect(address(808,27))</f>
        <v>0</v>
      </c>
      <c r="AB809">
        <f>indirect(address(809,27))+indirect(address(807,28))-indirect(address(808,28))</f>
        <v>0</v>
      </c>
      <c r="AC809">
        <f>indirect(address(809,28))+indirect(address(807,29))-indirect(address(808,29))</f>
        <v>0</v>
      </c>
      <c r="AD809">
        <f>indirect(address(809,29))+indirect(address(807,30))-indirect(address(808,30))</f>
        <v>0</v>
      </c>
      <c r="AE809">
        <f>indirect(address(809,30))+indirect(address(807,31))-indirect(address(808,31))</f>
        <v>0</v>
      </c>
      <c r="AF809">
        <f>indirect(address(809,31))+indirect(address(807,32))-indirect(address(808,32))</f>
        <v>0</v>
      </c>
      <c r="AG809">
        <f>indirect(address(809,32))+indirect(address(807,33))-indirect(address(808,33))</f>
        <v>0</v>
      </c>
      <c r="AH809">
        <f>indirect(address(809,33))+indirect(address(807,34))-indirect(address(808,34))</f>
        <v>0</v>
      </c>
      <c r="AI809">
        <f>indirect(address(809,34))+indirect(address(807,35))-indirect(address(808,35))</f>
        <v>0</v>
      </c>
      <c r="AJ809">
        <f>indirect(address(809,35))+indirect(address(807,36))-indirect(address(808,36))</f>
        <v>0</v>
      </c>
      <c r="AK809">
        <f>indirect(address(809,36))+indirect(address(807,37))-indirect(address(808,37))</f>
        <v>0</v>
      </c>
      <c r="AL809">
        <f>indirect(address(809,37))+indirect(address(807,38))-indirect(address(808,38))</f>
        <v>0</v>
      </c>
      <c r="AM809">
        <f>indirect(address(809,38))+indirect(address(807,39))-indirect(address(808,39))</f>
        <v>0</v>
      </c>
      <c r="AN809">
        <f>indirect(address(809,39))+indirect(address(807,40))-indirect(address(808,40))</f>
        <v>0</v>
      </c>
      <c r="AO809">
        <f>indirect(address(809,40))</f>
        <v>0</v>
      </c>
    </row>
    <row r="810" spans="1:41">
      <c r="A810" t="s">
        <v>17</v>
      </c>
      <c r="B810" t="s">
        <v>834</v>
      </c>
      <c r="C810" t="s">
        <v>816</v>
      </c>
      <c r="E810">
        <v>1</v>
      </c>
      <c r="F810" t="s">
        <v>13</v>
      </c>
      <c r="I810" t="s">
        <v>15</v>
      </c>
      <c r="J810">
        <f>vlookup("906-476000-210",B:AZ,column(i1),0)*e810</f>
        <v>0</v>
      </c>
      <c r="K810">
        <f>vlookup("906-476000-210",B:AZ,column(j1),0)*e810</f>
        <v>0</v>
      </c>
      <c r="L810">
        <f>vlookup("906-476000-210",B:AZ,column(k1),0)*e810</f>
        <v>0</v>
      </c>
      <c r="M810">
        <f>vlookup("906-476000-210",B:AZ,column(l1),0)*e810</f>
        <v>0</v>
      </c>
      <c r="N810">
        <f>vlookup("906-476000-210",B:AZ,column(m1),0)*e810</f>
        <v>0</v>
      </c>
      <c r="O810">
        <f>vlookup("906-476000-210",B:AZ,column(n1),0)*e810</f>
        <v>0</v>
      </c>
      <c r="P810">
        <f>vlookup("906-476000-210",B:AZ,column(o1),0)*e810</f>
        <v>0</v>
      </c>
      <c r="Q810">
        <f>vlookup("906-476000-210",B:AZ,column(p1),0)*e810</f>
        <v>0</v>
      </c>
      <c r="R810">
        <f>vlookup("906-476000-210",B:AZ,column(q1),0)*e810</f>
        <v>0</v>
      </c>
      <c r="S810">
        <f>vlookup("906-476000-210",B:AZ,column(r1),0)*e810</f>
        <v>0</v>
      </c>
      <c r="T810">
        <f>vlookup("906-476000-210",B:AZ,column(s1),0)*e810</f>
        <v>0</v>
      </c>
      <c r="U810">
        <f>vlookup("906-476000-210",B:AZ,column(t1),0)*e810</f>
        <v>0</v>
      </c>
      <c r="V810">
        <f>vlookup("906-476000-210",B:AZ,column(u1),0)*e810</f>
        <v>0</v>
      </c>
      <c r="W810">
        <f>vlookup("906-476000-210",B:AZ,column(v1),0)*e810</f>
        <v>0</v>
      </c>
      <c r="X810">
        <f>vlookup("906-476000-210",B:AZ,column(w1),0)*e810</f>
        <v>0</v>
      </c>
      <c r="Y810">
        <f>vlookup("906-476000-210",B:AZ,column(x1),0)*e810</f>
        <v>0</v>
      </c>
      <c r="Z810">
        <f>vlookup("906-476000-210",B:AZ,column(y1),0)*e810</f>
        <v>0</v>
      </c>
      <c r="AA810">
        <f>vlookup("906-476000-210",B:AZ,column(z1),0)*e810</f>
        <v>0</v>
      </c>
      <c r="AB810">
        <f>vlookup("906-476000-210",B:AZ,column(aa1),0)*e810</f>
        <v>0</v>
      </c>
      <c r="AC810">
        <f>vlookup("906-476000-210",B:AZ,column(ab1),0)*e810</f>
        <v>0</v>
      </c>
      <c r="AD810">
        <f>vlookup("906-476000-210",B:AZ,column(ac1),0)*e810</f>
        <v>0</v>
      </c>
      <c r="AE810">
        <f>vlookup("906-476000-210",B:AZ,column(ad1),0)*e810</f>
        <v>0</v>
      </c>
      <c r="AF810">
        <f>vlookup("906-476000-210",B:AZ,column(ae1),0)*e810</f>
        <v>0</v>
      </c>
      <c r="AG810">
        <f>vlookup("906-476000-210",B:AZ,column(af1),0)*e810</f>
        <v>0</v>
      </c>
      <c r="AH810">
        <f>vlookup("906-476000-210",B:AZ,column(ag1),0)*e810</f>
        <v>0</v>
      </c>
      <c r="AI810">
        <f>vlookup("906-476000-210",B:AZ,column(ah1),0)*e810</f>
        <v>0</v>
      </c>
      <c r="AJ810">
        <f>vlookup("906-476000-210",B:AZ,column(ai1),0)*e810</f>
        <v>0</v>
      </c>
      <c r="AK810">
        <f>vlookup("906-476000-210",B:AZ,column(aj1),0)*e810</f>
        <v>0</v>
      </c>
      <c r="AL810">
        <f>vlookup("906-476000-210",B:AZ,column(ak1),0)*e810</f>
        <v>0</v>
      </c>
      <c r="AM810">
        <f>vlookup("906-476000-210",B:AZ,column(al1),0)*e810</f>
        <v>0</v>
      </c>
      <c r="AN810">
        <f>vlookup("906-476000-210",B:AZ,column(am1),0)*e810</f>
        <v>0</v>
      </c>
      <c r="AO810">
        <f>vlookup("906-476000-210",B:AZ,column(an1),0)*e810</f>
        <v>0</v>
      </c>
    </row>
    <row r="811" spans="1:41">
      <c r="A811" t="s">
        <v>17</v>
      </c>
      <c r="B811" t="s">
        <v>817</v>
      </c>
      <c r="C811" t="s">
        <v>818</v>
      </c>
      <c r="E811">
        <v>1</v>
      </c>
      <c r="F811" t="s">
        <v>13</v>
      </c>
      <c r="I811" t="s">
        <v>15</v>
      </c>
      <c r="J811">
        <f>vlookup("906-476000-210",B:AZ,column(i1),0)*e811</f>
        <v>0</v>
      </c>
      <c r="K811">
        <f>vlookup("906-476000-210",B:AZ,column(j1),0)*e811</f>
        <v>0</v>
      </c>
      <c r="L811">
        <f>vlookup("906-476000-210",B:AZ,column(k1),0)*e811</f>
        <v>0</v>
      </c>
      <c r="M811">
        <f>vlookup("906-476000-210",B:AZ,column(l1),0)*e811</f>
        <v>0</v>
      </c>
      <c r="N811">
        <f>vlookup("906-476000-210",B:AZ,column(m1),0)*e811</f>
        <v>0</v>
      </c>
      <c r="O811">
        <f>vlookup("906-476000-210",B:AZ,column(n1),0)*e811</f>
        <v>0</v>
      </c>
      <c r="P811">
        <f>vlookup("906-476000-210",B:AZ,column(o1),0)*e811</f>
        <v>0</v>
      </c>
      <c r="Q811">
        <f>vlookup("906-476000-210",B:AZ,column(p1),0)*e811</f>
        <v>0</v>
      </c>
      <c r="R811">
        <f>vlookup("906-476000-210",B:AZ,column(q1),0)*e811</f>
        <v>0</v>
      </c>
      <c r="S811">
        <f>vlookup("906-476000-210",B:AZ,column(r1),0)*e811</f>
        <v>0</v>
      </c>
      <c r="T811">
        <f>vlookup("906-476000-210",B:AZ,column(s1),0)*e811</f>
        <v>0</v>
      </c>
      <c r="U811">
        <f>vlookup("906-476000-210",B:AZ,column(t1),0)*e811</f>
        <v>0</v>
      </c>
      <c r="V811">
        <f>vlookup("906-476000-210",B:AZ,column(u1),0)*e811</f>
        <v>0</v>
      </c>
      <c r="W811">
        <f>vlookup("906-476000-210",B:AZ,column(v1),0)*e811</f>
        <v>0</v>
      </c>
      <c r="X811">
        <f>vlookup("906-476000-210",B:AZ,column(w1),0)*e811</f>
        <v>0</v>
      </c>
      <c r="Y811">
        <f>vlookup("906-476000-210",B:AZ,column(x1),0)*e811</f>
        <v>0</v>
      </c>
      <c r="Z811">
        <f>vlookup("906-476000-210",B:AZ,column(y1),0)*e811</f>
        <v>0</v>
      </c>
      <c r="AA811">
        <f>vlookup("906-476000-210",B:AZ,column(z1),0)*e811</f>
        <v>0</v>
      </c>
      <c r="AB811">
        <f>vlookup("906-476000-210",B:AZ,column(aa1),0)*e811</f>
        <v>0</v>
      </c>
      <c r="AC811">
        <f>vlookup("906-476000-210",B:AZ,column(ab1),0)*e811</f>
        <v>0</v>
      </c>
      <c r="AD811">
        <f>vlookup("906-476000-210",B:AZ,column(ac1),0)*e811</f>
        <v>0</v>
      </c>
      <c r="AE811">
        <f>vlookup("906-476000-210",B:AZ,column(ad1),0)*e811</f>
        <v>0</v>
      </c>
      <c r="AF811">
        <f>vlookup("906-476000-210",B:AZ,column(ae1),0)*e811</f>
        <v>0</v>
      </c>
      <c r="AG811">
        <f>vlookup("906-476000-210",B:AZ,column(af1),0)*e811</f>
        <v>0</v>
      </c>
      <c r="AH811">
        <f>vlookup("906-476000-210",B:AZ,column(ag1),0)*e811</f>
        <v>0</v>
      </c>
      <c r="AI811">
        <f>vlookup("906-476000-210",B:AZ,column(ah1),0)*e811</f>
        <v>0</v>
      </c>
      <c r="AJ811">
        <f>vlookup("906-476000-210",B:AZ,column(ai1),0)*e811</f>
        <v>0</v>
      </c>
      <c r="AK811">
        <f>vlookup("906-476000-210",B:AZ,column(aj1),0)*e811</f>
        <v>0</v>
      </c>
      <c r="AL811">
        <f>vlookup("906-476000-210",B:AZ,column(ak1),0)*e811</f>
        <v>0</v>
      </c>
      <c r="AM811">
        <f>vlookup("906-476000-210",B:AZ,column(al1),0)*e811</f>
        <v>0</v>
      </c>
      <c r="AN811">
        <f>vlookup("906-476000-210",B:AZ,column(am1),0)*e811</f>
        <v>0</v>
      </c>
      <c r="AO811">
        <f>vlookup("906-476000-210",B:AZ,column(an1),0)*e811</f>
        <v>0</v>
      </c>
    </row>
    <row r="812" spans="1:41">
      <c r="A812" t="s">
        <v>22</v>
      </c>
      <c r="B812" t="s">
        <v>819</v>
      </c>
      <c r="C812" t="s">
        <v>820</v>
      </c>
      <c r="E812">
        <v>1</v>
      </c>
      <c r="F812" t="s">
        <v>13</v>
      </c>
      <c r="I812" t="s">
        <v>15</v>
      </c>
      <c r="J812">
        <f>vlookup("906-476000-210",B:AZ,column(i1),0)*e812</f>
        <v>0</v>
      </c>
      <c r="K812">
        <f>vlookup("906-476000-210",B:AZ,column(j1),0)*e812</f>
        <v>0</v>
      </c>
      <c r="L812">
        <f>vlookup("906-476000-210",B:AZ,column(k1),0)*e812</f>
        <v>0</v>
      </c>
      <c r="M812">
        <f>vlookup("906-476000-210",B:AZ,column(l1),0)*e812</f>
        <v>0</v>
      </c>
      <c r="N812">
        <f>vlookup("906-476000-210",B:AZ,column(m1),0)*e812</f>
        <v>0</v>
      </c>
      <c r="O812">
        <f>vlookup("906-476000-210",B:AZ,column(n1),0)*e812</f>
        <v>0</v>
      </c>
      <c r="P812">
        <f>vlookup("906-476000-210",B:AZ,column(o1),0)*e812</f>
        <v>0</v>
      </c>
      <c r="Q812">
        <f>vlookup("906-476000-210",B:AZ,column(p1),0)*e812</f>
        <v>0</v>
      </c>
      <c r="R812">
        <f>vlookup("906-476000-210",B:AZ,column(q1),0)*e812</f>
        <v>0</v>
      </c>
      <c r="S812">
        <f>vlookup("906-476000-210",B:AZ,column(r1),0)*e812</f>
        <v>0</v>
      </c>
      <c r="T812">
        <f>vlookup("906-476000-210",B:AZ,column(s1),0)*e812</f>
        <v>0</v>
      </c>
      <c r="U812">
        <f>vlookup("906-476000-210",B:AZ,column(t1),0)*e812</f>
        <v>0</v>
      </c>
      <c r="V812">
        <f>vlookup("906-476000-210",B:AZ,column(u1),0)*e812</f>
        <v>0</v>
      </c>
      <c r="W812">
        <f>vlookup("906-476000-210",B:AZ,column(v1),0)*e812</f>
        <v>0</v>
      </c>
      <c r="X812">
        <f>vlookup("906-476000-210",B:AZ,column(w1),0)*e812</f>
        <v>0</v>
      </c>
      <c r="Y812">
        <f>vlookup("906-476000-210",B:AZ,column(x1),0)*e812</f>
        <v>0</v>
      </c>
      <c r="Z812">
        <f>vlookup("906-476000-210",B:AZ,column(y1),0)*e812</f>
        <v>0</v>
      </c>
      <c r="AA812">
        <f>vlookup("906-476000-210",B:AZ,column(z1),0)*e812</f>
        <v>0</v>
      </c>
      <c r="AB812">
        <f>vlookup("906-476000-210",B:AZ,column(aa1),0)*e812</f>
        <v>0</v>
      </c>
      <c r="AC812">
        <f>vlookup("906-476000-210",B:AZ,column(ab1),0)*e812</f>
        <v>0</v>
      </c>
      <c r="AD812">
        <f>vlookup("906-476000-210",B:AZ,column(ac1),0)*e812</f>
        <v>0</v>
      </c>
      <c r="AE812">
        <f>vlookup("906-476000-210",B:AZ,column(ad1),0)*e812</f>
        <v>0</v>
      </c>
      <c r="AF812">
        <f>vlookup("906-476000-210",B:AZ,column(ae1),0)*e812</f>
        <v>0</v>
      </c>
      <c r="AG812">
        <f>vlookup("906-476000-210",B:AZ,column(af1),0)*e812</f>
        <v>0</v>
      </c>
      <c r="AH812">
        <f>vlookup("906-476000-210",B:AZ,column(ag1),0)*e812</f>
        <v>0</v>
      </c>
      <c r="AI812">
        <f>vlookup("906-476000-210",B:AZ,column(ah1),0)*e812</f>
        <v>0</v>
      </c>
      <c r="AJ812">
        <f>vlookup("906-476000-210",B:AZ,column(ai1),0)*e812</f>
        <v>0</v>
      </c>
      <c r="AK812">
        <f>vlookup("906-476000-210",B:AZ,column(aj1),0)*e812</f>
        <v>0</v>
      </c>
      <c r="AL812">
        <f>vlookup("906-476000-210",B:AZ,column(ak1),0)*e812</f>
        <v>0</v>
      </c>
      <c r="AM812">
        <f>vlookup("906-476000-210",B:AZ,column(al1),0)*e812</f>
        <v>0</v>
      </c>
      <c r="AN812">
        <f>vlookup("906-476000-210",B:AZ,column(am1),0)*e812</f>
        <v>0</v>
      </c>
      <c r="AO812">
        <f>vlookup("906-476000-210",B:AZ,column(an1),0)*e812</f>
        <v>0</v>
      </c>
    </row>
    <row r="813" spans="1:41">
      <c r="A813" t="s">
        <v>22</v>
      </c>
      <c r="B813" t="s">
        <v>821</v>
      </c>
      <c r="C813" t="s">
        <v>824</v>
      </c>
      <c r="E813">
        <v>0.003</v>
      </c>
      <c r="F813" t="s">
        <v>13</v>
      </c>
      <c r="I813" t="s">
        <v>15</v>
      </c>
      <c r="J813">
        <f>vlookup("906-476000-210",B:AZ,column(i1),0)*e813</f>
        <v>0</v>
      </c>
      <c r="K813">
        <f>vlookup("906-476000-210",B:AZ,column(j1),0)*e813</f>
        <v>0</v>
      </c>
      <c r="L813">
        <f>vlookup("906-476000-210",B:AZ,column(k1),0)*e813</f>
        <v>0</v>
      </c>
      <c r="M813">
        <f>vlookup("906-476000-210",B:AZ,column(l1),0)*e813</f>
        <v>0</v>
      </c>
      <c r="N813">
        <f>vlookup("906-476000-210",B:AZ,column(m1),0)*e813</f>
        <v>0</v>
      </c>
      <c r="O813">
        <f>vlookup("906-476000-210",B:AZ,column(n1),0)*e813</f>
        <v>0</v>
      </c>
      <c r="P813">
        <f>vlookup("906-476000-210",B:AZ,column(o1),0)*e813</f>
        <v>0</v>
      </c>
      <c r="Q813">
        <f>vlookup("906-476000-210",B:AZ,column(p1),0)*e813</f>
        <v>0</v>
      </c>
      <c r="R813">
        <f>vlookup("906-476000-210",B:AZ,column(q1),0)*e813</f>
        <v>0</v>
      </c>
      <c r="S813">
        <f>vlookup("906-476000-210",B:AZ,column(r1),0)*e813</f>
        <v>0</v>
      </c>
      <c r="T813">
        <f>vlookup("906-476000-210",B:AZ,column(s1),0)*e813</f>
        <v>0</v>
      </c>
      <c r="U813">
        <f>vlookup("906-476000-210",B:AZ,column(t1),0)*e813</f>
        <v>0</v>
      </c>
      <c r="V813">
        <f>vlookup("906-476000-210",B:AZ,column(u1),0)*e813</f>
        <v>0</v>
      </c>
      <c r="W813">
        <f>vlookup("906-476000-210",B:AZ,column(v1),0)*e813</f>
        <v>0</v>
      </c>
      <c r="X813">
        <f>vlookup("906-476000-210",B:AZ,column(w1),0)*e813</f>
        <v>0</v>
      </c>
      <c r="Y813">
        <f>vlookup("906-476000-210",B:AZ,column(x1),0)*e813</f>
        <v>0</v>
      </c>
      <c r="Z813">
        <f>vlookup("906-476000-210",B:AZ,column(y1),0)*e813</f>
        <v>0</v>
      </c>
      <c r="AA813">
        <f>vlookup("906-476000-210",B:AZ,column(z1),0)*e813</f>
        <v>0</v>
      </c>
      <c r="AB813">
        <f>vlookup("906-476000-210",B:AZ,column(aa1),0)*e813</f>
        <v>0</v>
      </c>
      <c r="AC813">
        <f>vlookup("906-476000-210",B:AZ,column(ab1),0)*e813</f>
        <v>0</v>
      </c>
      <c r="AD813">
        <f>vlookup("906-476000-210",B:AZ,column(ac1),0)*e813</f>
        <v>0</v>
      </c>
      <c r="AE813">
        <f>vlookup("906-476000-210",B:AZ,column(ad1),0)*e813</f>
        <v>0</v>
      </c>
      <c r="AF813">
        <f>vlookup("906-476000-210",B:AZ,column(ae1),0)*e813</f>
        <v>0</v>
      </c>
      <c r="AG813">
        <f>vlookup("906-476000-210",B:AZ,column(af1),0)*e813</f>
        <v>0</v>
      </c>
      <c r="AH813">
        <f>vlookup("906-476000-210",B:AZ,column(ag1),0)*e813</f>
        <v>0</v>
      </c>
      <c r="AI813">
        <f>vlookup("906-476000-210",B:AZ,column(ah1),0)*e813</f>
        <v>0</v>
      </c>
      <c r="AJ813">
        <f>vlookup("906-476000-210",B:AZ,column(ai1),0)*e813</f>
        <v>0</v>
      </c>
      <c r="AK813">
        <f>vlookup("906-476000-210",B:AZ,column(aj1),0)*e813</f>
        <v>0</v>
      </c>
      <c r="AL813">
        <f>vlookup("906-476000-210",B:AZ,column(ak1),0)*e813</f>
        <v>0</v>
      </c>
      <c r="AM813">
        <f>vlookup("906-476000-210",B:AZ,column(al1),0)*e813</f>
        <v>0</v>
      </c>
      <c r="AN813">
        <f>vlookup("906-476000-210",B:AZ,column(am1),0)*e813</f>
        <v>0</v>
      </c>
      <c r="AO813">
        <f>vlookup("906-476000-210",B:AZ,column(an1),0)*e813</f>
        <v>0</v>
      </c>
    </row>
    <row r="814" spans="1:41">
      <c r="A814" t="s">
        <v>10</v>
      </c>
      <c r="B814" t="s">
        <v>835</v>
      </c>
      <c r="C814" t="s">
        <v>815</v>
      </c>
      <c r="E814">
        <v>0.003</v>
      </c>
      <c r="F814" t="s">
        <v>13</v>
      </c>
      <c r="I814" t="s">
        <v>14</v>
      </c>
      <c r="AO814">
        <f>sum(j814:an814)</f>
        <v>0</v>
      </c>
    </row>
    <row r="815" spans="1:41">
      <c r="I815" t="s">
        <v>15</v>
      </c>
      <c r="J815">
        <f>vlookup("906-477000-210",Out!B:AZ,column(i1),0)</f>
        <v>0</v>
      </c>
      <c r="K815">
        <f>vlookup("906-477000-210",Out!B:AZ,column(j1),0)</f>
        <v>0</v>
      </c>
      <c r="L815">
        <f>vlookup("906-477000-210",Out!B:AZ,column(k1),0)</f>
        <v>0</v>
      </c>
      <c r="M815">
        <f>vlookup("906-477000-210",Out!B:AZ,column(l1),0)</f>
        <v>0</v>
      </c>
      <c r="N815">
        <f>vlookup("906-477000-210",Out!B:AZ,column(m1),0)</f>
        <v>0</v>
      </c>
      <c r="O815">
        <f>vlookup("906-477000-210",Out!B:AZ,column(n1),0)</f>
        <v>0</v>
      </c>
      <c r="P815">
        <f>vlookup("906-477000-210",Out!B:AZ,column(o1),0)</f>
        <v>0</v>
      </c>
      <c r="Q815">
        <f>vlookup("906-477000-210",Out!B:AZ,column(p1),0)</f>
        <v>0</v>
      </c>
      <c r="R815">
        <f>vlookup("906-477000-210",Out!B:AZ,column(q1),0)</f>
        <v>0</v>
      </c>
      <c r="S815">
        <f>vlookup("906-477000-210",Out!B:AZ,column(r1),0)</f>
        <v>0</v>
      </c>
      <c r="T815">
        <f>vlookup("906-477000-210",Out!B:AZ,column(s1),0)</f>
        <v>0</v>
      </c>
      <c r="U815">
        <f>vlookup("906-477000-210",Out!B:AZ,column(t1),0)</f>
        <v>0</v>
      </c>
      <c r="V815">
        <f>vlookup("906-477000-210",Out!B:AZ,column(u1),0)</f>
        <v>0</v>
      </c>
      <c r="W815">
        <f>vlookup("906-477000-210",Out!B:AZ,column(v1),0)</f>
        <v>0</v>
      </c>
      <c r="X815">
        <f>vlookup("906-477000-210",Out!B:AZ,column(w1),0)</f>
        <v>0</v>
      </c>
      <c r="Y815">
        <f>vlookup("906-477000-210",Out!B:AZ,column(x1),0)</f>
        <v>0</v>
      </c>
      <c r="Z815">
        <f>vlookup("906-477000-210",Out!B:AZ,column(y1),0)</f>
        <v>0</v>
      </c>
      <c r="AA815">
        <f>vlookup("906-477000-210",Out!B:AZ,column(z1),0)</f>
        <v>0</v>
      </c>
      <c r="AB815">
        <f>vlookup("906-477000-210",Out!B:AZ,column(aa1),0)</f>
        <v>0</v>
      </c>
      <c r="AC815">
        <f>vlookup("906-477000-210",Out!B:AZ,column(ab1),0)</f>
        <v>0</v>
      </c>
      <c r="AD815">
        <f>vlookup("906-477000-210",Out!B:AZ,column(ac1),0)</f>
        <v>0</v>
      </c>
      <c r="AE815">
        <f>vlookup("906-477000-210",Out!B:AZ,column(ad1),0)</f>
        <v>0</v>
      </c>
      <c r="AF815">
        <f>vlookup("906-477000-210",Out!B:AZ,column(ae1),0)</f>
        <v>0</v>
      </c>
      <c r="AG815">
        <f>vlookup("906-477000-210",Out!B:AZ,column(af1),0)</f>
        <v>0</v>
      </c>
      <c r="AH815">
        <f>vlookup("906-477000-210",Out!B:AZ,column(ag1),0)</f>
        <v>0</v>
      </c>
      <c r="AI815">
        <f>vlookup("906-477000-210",Out!B:AZ,column(ah1),0)</f>
        <v>0</v>
      </c>
      <c r="AJ815">
        <f>vlookup("906-477000-210",Out!B:AZ,column(ai1),0)</f>
        <v>0</v>
      </c>
      <c r="AK815">
        <f>vlookup("906-477000-210",Out!B:AZ,column(aj1),0)</f>
        <v>0</v>
      </c>
      <c r="AL815">
        <f>vlookup("906-477000-210",Out!B:AZ,column(ak1),0)</f>
        <v>0</v>
      </c>
      <c r="AM815">
        <f>vlookup("906-477000-210",Out!B:AZ,column(al1),0)</f>
        <v>0</v>
      </c>
      <c r="AN815">
        <f>vlookup("906-477000-210",Out!B:AZ,column(am1),0)</f>
        <v>0</v>
      </c>
      <c r="AO815">
        <f>vlookup("906-477000-210",Out!B:AZ,column(an1),0)</f>
        <v>0</v>
      </c>
    </row>
    <row r="816" spans="1:41">
      <c r="H816" t="s">
        <v>16</v>
      </c>
      <c r="J816">
        <f>indirect(address(816,9))+indirect(address(814,10))-indirect(address(815,10))</f>
        <v>0</v>
      </c>
      <c r="K816">
        <f>indirect(address(816,10))+indirect(address(814,11))-indirect(address(815,11))</f>
        <v>0</v>
      </c>
      <c r="L816">
        <f>indirect(address(816,11))+indirect(address(814,12))-indirect(address(815,12))</f>
        <v>0</v>
      </c>
      <c r="M816">
        <f>indirect(address(816,12))+indirect(address(814,13))-indirect(address(815,13))</f>
        <v>0</v>
      </c>
      <c r="N816">
        <f>indirect(address(816,13))+indirect(address(814,14))-indirect(address(815,14))</f>
        <v>0</v>
      </c>
      <c r="O816">
        <f>indirect(address(816,14))+indirect(address(814,15))-indirect(address(815,15))</f>
        <v>0</v>
      </c>
      <c r="P816">
        <f>indirect(address(816,15))+indirect(address(814,16))-indirect(address(815,16))</f>
        <v>0</v>
      </c>
      <c r="Q816">
        <f>indirect(address(816,16))+indirect(address(814,17))-indirect(address(815,17))</f>
        <v>0</v>
      </c>
      <c r="R816">
        <f>indirect(address(816,17))+indirect(address(814,18))-indirect(address(815,18))</f>
        <v>0</v>
      </c>
      <c r="S816">
        <f>indirect(address(816,18))+indirect(address(814,19))-indirect(address(815,19))</f>
        <v>0</v>
      </c>
      <c r="T816">
        <f>indirect(address(816,19))+indirect(address(814,20))-indirect(address(815,20))</f>
        <v>0</v>
      </c>
      <c r="U816">
        <f>indirect(address(816,20))+indirect(address(814,21))-indirect(address(815,21))</f>
        <v>0</v>
      </c>
      <c r="V816">
        <f>indirect(address(816,21))+indirect(address(814,22))-indirect(address(815,22))</f>
        <v>0</v>
      </c>
      <c r="W816">
        <f>indirect(address(816,22))+indirect(address(814,23))-indirect(address(815,23))</f>
        <v>0</v>
      </c>
      <c r="X816">
        <f>indirect(address(816,23))+indirect(address(814,24))-indirect(address(815,24))</f>
        <v>0</v>
      </c>
      <c r="Y816">
        <f>indirect(address(816,24))+indirect(address(814,25))-indirect(address(815,25))</f>
        <v>0</v>
      </c>
      <c r="Z816">
        <f>indirect(address(816,25))+indirect(address(814,26))-indirect(address(815,26))</f>
        <v>0</v>
      </c>
      <c r="AA816">
        <f>indirect(address(816,26))+indirect(address(814,27))-indirect(address(815,27))</f>
        <v>0</v>
      </c>
      <c r="AB816">
        <f>indirect(address(816,27))+indirect(address(814,28))-indirect(address(815,28))</f>
        <v>0</v>
      </c>
      <c r="AC816">
        <f>indirect(address(816,28))+indirect(address(814,29))-indirect(address(815,29))</f>
        <v>0</v>
      </c>
      <c r="AD816">
        <f>indirect(address(816,29))+indirect(address(814,30))-indirect(address(815,30))</f>
        <v>0</v>
      </c>
      <c r="AE816">
        <f>indirect(address(816,30))+indirect(address(814,31))-indirect(address(815,31))</f>
        <v>0</v>
      </c>
      <c r="AF816">
        <f>indirect(address(816,31))+indirect(address(814,32))-indirect(address(815,32))</f>
        <v>0</v>
      </c>
      <c r="AG816">
        <f>indirect(address(816,32))+indirect(address(814,33))-indirect(address(815,33))</f>
        <v>0</v>
      </c>
      <c r="AH816">
        <f>indirect(address(816,33))+indirect(address(814,34))-indirect(address(815,34))</f>
        <v>0</v>
      </c>
      <c r="AI816">
        <f>indirect(address(816,34))+indirect(address(814,35))-indirect(address(815,35))</f>
        <v>0</v>
      </c>
      <c r="AJ816">
        <f>indirect(address(816,35))+indirect(address(814,36))-indirect(address(815,36))</f>
        <v>0</v>
      </c>
      <c r="AK816">
        <f>indirect(address(816,36))+indirect(address(814,37))-indirect(address(815,37))</f>
        <v>0</v>
      </c>
      <c r="AL816">
        <f>indirect(address(816,37))+indirect(address(814,38))-indirect(address(815,38))</f>
        <v>0</v>
      </c>
      <c r="AM816">
        <f>indirect(address(816,38))+indirect(address(814,39))-indirect(address(815,39))</f>
        <v>0</v>
      </c>
      <c r="AN816">
        <f>indirect(address(816,39))+indirect(address(814,40))-indirect(address(815,40))</f>
        <v>0</v>
      </c>
      <c r="AO816">
        <f>indirect(address(816,40))</f>
        <v>0</v>
      </c>
    </row>
    <row r="817" spans="1:41">
      <c r="A817" t="s">
        <v>17</v>
      </c>
      <c r="B817" t="s">
        <v>836</v>
      </c>
      <c r="C817" t="s">
        <v>816</v>
      </c>
      <c r="E817">
        <v>1</v>
      </c>
      <c r="F817" t="s">
        <v>13</v>
      </c>
      <c r="I817" t="s">
        <v>15</v>
      </c>
      <c r="J817">
        <f>vlookup("906-477000-210",B:AZ,column(i1),0)*e817</f>
        <v>0</v>
      </c>
      <c r="K817">
        <f>vlookup("906-477000-210",B:AZ,column(j1),0)*e817</f>
        <v>0</v>
      </c>
      <c r="L817">
        <f>vlookup("906-477000-210",B:AZ,column(k1),0)*e817</f>
        <v>0</v>
      </c>
      <c r="M817">
        <f>vlookup("906-477000-210",B:AZ,column(l1),0)*e817</f>
        <v>0</v>
      </c>
      <c r="N817">
        <f>vlookup("906-477000-210",B:AZ,column(m1),0)*e817</f>
        <v>0</v>
      </c>
      <c r="O817">
        <f>vlookup("906-477000-210",B:AZ,column(n1),0)*e817</f>
        <v>0</v>
      </c>
      <c r="P817">
        <f>vlookup("906-477000-210",B:AZ,column(o1),0)*e817</f>
        <v>0</v>
      </c>
      <c r="Q817">
        <f>vlookup("906-477000-210",B:AZ,column(p1),0)*e817</f>
        <v>0</v>
      </c>
      <c r="R817">
        <f>vlookup("906-477000-210",B:AZ,column(q1),0)*e817</f>
        <v>0</v>
      </c>
      <c r="S817">
        <f>vlookup("906-477000-210",B:AZ,column(r1),0)*e817</f>
        <v>0</v>
      </c>
      <c r="T817">
        <f>vlookup("906-477000-210",B:AZ,column(s1),0)*e817</f>
        <v>0</v>
      </c>
      <c r="U817">
        <f>vlookup("906-477000-210",B:AZ,column(t1),0)*e817</f>
        <v>0</v>
      </c>
      <c r="V817">
        <f>vlookup("906-477000-210",B:AZ,column(u1),0)*e817</f>
        <v>0</v>
      </c>
      <c r="W817">
        <f>vlookup("906-477000-210",B:AZ,column(v1),0)*e817</f>
        <v>0</v>
      </c>
      <c r="X817">
        <f>vlookup("906-477000-210",B:AZ,column(w1),0)*e817</f>
        <v>0</v>
      </c>
      <c r="Y817">
        <f>vlookup("906-477000-210",B:AZ,column(x1),0)*e817</f>
        <v>0</v>
      </c>
      <c r="Z817">
        <f>vlookup("906-477000-210",B:AZ,column(y1),0)*e817</f>
        <v>0</v>
      </c>
      <c r="AA817">
        <f>vlookup("906-477000-210",B:AZ,column(z1),0)*e817</f>
        <v>0</v>
      </c>
      <c r="AB817">
        <f>vlookup("906-477000-210",B:AZ,column(aa1),0)*e817</f>
        <v>0</v>
      </c>
      <c r="AC817">
        <f>vlookup("906-477000-210",B:AZ,column(ab1),0)*e817</f>
        <v>0</v>
      </c>
      <c r="AD817">
        <f>vlookup("906-477000-210",B:AZ,column(ac1),0)*e817</f>
        <v>0</v>
      </c>
      <c r="AE817">
        <f>vlookup("906-477000-210",B:AZ,column(ad1),0)*e817</f>
        <v>0</v>
      </c>
      <c r="AF817">
        <f>vlookup("906-477000-210",B:AZ,column(ae1),0)*e817</f>
        <v>0</v>
      </c>
      <c r="AG817">
        <f>vlookup("906-477000-210",B:AZ,column(af1),0)*e817</f>
        <v>0</v>
      </c>
      <c r="AH817">
        <f>vlookup("906-477000-210",B:AZ,column(ag1),0)*e817</f>
        <v>0</v>
      </c>
      <c r="AI817">
        <f>vlookup("906-477000-210",B:AZ,column(ah1),0)*e817</f>
        <v>0</v>
      </c>
      <c r="AJ817">
        <f>vlookup("906-477000-210",B:AZ,column(ai1),0)*e817</f>
        <v>0</v>
      </c>
      <c r="AK817">
        <f>vlookup("906-477000-210",B:AZ,column(aj1),0)*e817</f>
        <v>0</v>
      </c>
      <c r="AL817">
        <f>vlookup("906-477000-210",B:AZ,column(ak1),0)*e817</f>
        <v>0</v>
      </c>
      <c r="AM817">
        <f>vlookup("906-477000-210",B:AZ,column(al1),0)*e817</f>
        <v>0</v>
      </c>
      <c r="AN817">
        <f>vlookup("906-477000-210",B:AZ,column(am1),0)*e817</f>
        <v>0</v>
      </c>
      <c r="AO817">
        <f>vlookup("906-477000-210",B:AZ,column(an1),0)*e817</f>
        <v>0</v>
      </c>
    </row>
    <row r="818" spans="1:41">
      <c r="A818" t="s">
        <v>17</v>
      </c>
      <c r="B818" t="s">
        <v>817</v>
      </c>
      <c r="C818" t="s">
        <v>818</v>
      </c>
      <c r="E818">
        <v>1</v>
      </c>
      <c r="F818" t="s">
        <v>13</v>
      </c>
      <c r="I818" t="s">
        <v>15</v>
      </c>
      <c r="J818">
        <f>vlookup("906-477000-210",B:AZ,column(i1),0)*e818</f>
        <v>0</v>
      </c>
      <c r="K818">
        <f>vlookup("906-477000-210",B:AZ,column(j1),0)*e818</f>
        <v>0</v>
      </c>
      <c r="L818">
        <f>vlookup("906-477000-210",B:AZ,column(k1),0)*e818</f>
        <v>0</v>
      </c>
      <c r="M818">
        <f>vlookup("906-477000-210",B:AZ,column(l1),0)*e818</f>
        <v>0</v>
      </c>
      <c r="N818">
        <f>vlookup("906-477000-210",B:AZ,column(m1),0)*e818</f>
        <v>0</v>
      </c>
      <c r="O818">
        <f>vlookup("906-477000-210",B:AZ,column(n1),0)*e818</f>
        <v>0</v>
      </c>
      <c r="P818">
        <f>vlookup("906-477000-210",B:AZ,column(o1),0)*e818</f>
        <v>0</v>
      </c>
      <c r="Q818">
        <f>vlookup("906-477000-210",B:AZ,column(p1),0)*e818</f>
        <v>0</v>
      </c>
      <c r="R818">
        <f>vlookup("906-477000-210",B:AZ,column(q1),0)*e818</f>
        <v>0</v>
      </c>
      <c r="S818">
        <f>vlookup("906-477000-210",B:AZ,column(r1),0)*e818</f>
        <v>0</v>
      </c>
      <c r="T818">
        <f>vlookup("906-477000-210",B:AZ,column(s1),0)*e818</f>
        <v>0</v>
      </c>
      <c r="U818">
        <f>vlookup("906-477000-210",B:AZ,column(t1),0)*e818</f>
        <v>0</v>
      </c>
      <c r="V818">
        <f>vlookup("906-477000-210",B:AZ,column(u1),0)*e818</f>
        <v>0</v>
      </c>
      <c r="W818">
        <f>vlookup("906-477000-210",B:AZ,column(v1),0)*e818</f>
        <v>0</v>
      </c>
      <c r="X818">
        <f>vlookup("906-477000-210",B:AZ,column(w1),0)*e818</f>
        <v>0</v>
      </c>
      <c r="Y818">
        <f>vlookup("906-477000-210",B:AZ,column(x1),0)*e818</f>
        <v>0</v>
      </c>
      <c r="Z818">
        <f>vlookup("906-477000-210",B:AZ,column(y1),0)*e818</f>
        <v>0</v>
      </c>
      <c r="AA818">
        <f>vlookup("906-477000-210",B:AZ,column(z1),0)*e818</f>
        <v>0</v>
      </c>
      <c r="AB818">
        <f>vlookup("906-477000-210",B:AZ,column(aa1),0)*e818</f>
        <v>0</v>
      </c>
      <c r="AC818">
        <f>vlookup("906-477000-210",B:AZ,column(ab1),0)*e818</f>
        <v>0</v>
      </c>
      <c r="AD818">
        <f>vlookup("906-477000-210",B:AZ,column(ac1),0)*e818</f>
        <v>0</v>
      </c>
      <c r="AE818">
        <f>vlookup("906-477000-210",B:AZ,column(ad1),0)*e818</f>
        <v>0</v>
      </c>
      <c r="AF818">
        <f>vlookup("906-477000-210",B:AZ,column(ae1),0)*e818</f>
        <v>0</v>
      </c>
      <c r="AG818">
        <f>vlookup("906-477000-210",B:AZ,column(af1),0)*e818</f>
        <v>0</v>
      </c>
      <c r="AH818">
        <f>vlookup("906-477000-210",B:AZ,column(ag1),0)*e818</f>
        <v>0</v>
      </c>
      <c r="AI818">
        <f>vlookup("906-477000-210",B:AZ,column(ah1),0)*e818</f>
        <v>0</v>
      </c>
      <c r="AJ818">
        <f>vlookup("906-477000-210",B:AZ,column(ai1),0)*e818</f>
        <v>0</v>
      </c>
      <c r="AK818">
        <f>vlookup("906-477000-210",B:AZ,column(aj1),0)*e818</f>
        <v>0</v>
      </c>
      <c r="AL818">
        <f>vlookup("906-477000-210",B:AZ,column(ak1),0)*e818</f>
        <v>0</v>
      </c>
      <c r="AM818">
        <f>vlookup("906-477000-210",B:AZ,column(al1),0)*e818</f>
        <v>0</v>
      </c>
      <c r="AN818">
        <f>vlookup("906-477000-210",B:AZ,column(am1),0)*e818</f>
        <v>0</v>
      </c>
      <c r="AO818">
        <f>vlookup("906-477000-210",B:AZ,column(an1),0)*e818</f>
        <v>0</v>
      </c>
    </row>
    <row r="819" spans="1:41">
      <c r="A819" t="s">
        <v>22</v>
      </c>
      <c r="B819" t="s">
        <v>819</v>
      </c>
      <c r="C819" t="s">
        <v>820</v>
      </c>
      <c r="E819">
        <v>1</v>
      </c>
      <c r="F819" t="s">
        <v>13</v>
      </c>
      <c r="I819" t="s">
        <v>15</v>
      </c>
      <c r="J819">
        <f>vlookup("906-477000-210",B:AZ,column(i1),0)*e819</f>
        <v>0</v>
      </c>
      <c r="K819">
        <f>vlookup("906-477000-210",B:AZ,column(j1),0)*e819</f>
        <v>0</v>
      </c>
      <c r="L819">
        <f>vlookup("906-477000-210",B:AZ,column(k1),0)*e819</f>
        <v>0</v>
      </c>
      <c r="M819">
        <f>vlookup("906-477000-210",B:AZ,column(l1),0)*e819</f>
        <v>0</v>
      </c>
      <c r="N819">
        <f>vlookup("906-477000-210",B:AZ,column(m1),0)*e819</f>
        <v>0</v>
      </c>
      <c r="O819">
        <f>vlookup("906-477000-210",B:AZ,column(n1),0)*e819</f>
        <v>0</v>
      </c>
      <c r="P819">
        <f>vlookup("906-477000-210",B:AZ,column(o1),0)*e819</f>
        <v>0</v>
      </c>
      <c r="Q819">
        <f>vlookup("906-477000-210",B:AZ,column(p1),0)*e819</f>
        <v>0</v>
      </c>
      <c r="R819">
        <f>vlookup("906-477000-210",B:AZ,column(q1),0)*e819</f>
        <v>0</v>
      </c>
      <c r="S819">
        <f>vlookup("906-477000-210",B:AZ,column(r1),0)*e819</f>
        <v>0</v>
      </c>
      <c r="T819">
        <f>vlookup("906-477000-210",B:AZ,column(s1),0)*e819</f>
        <v>0</v>
      </c>
      <c r="U819">
        <f>vlookup("906-477000-210",B:AZ,column(t1),0)*e819</f>
        <v>0</v>
      </c>
      <c r="V819">
        <f>vlookup("906-477000-210",B:AZ,column(u1),0)*e819</f>
        <v>0</v>
      </c>
      <c r="W819">
        <f>vlookup("906-477000-210",B:AZ,column(v1),0)*e819</f>
        <v>0</v>
      </c>
      <c r="X819">
        <f>vlookup("906-477000-210",B:AZ,column(w1),0)*e819</f>
        <v>0</v>
      </c>
      <c r="Y819">
        <f>vlookup("906-477000-210",B:AZ,column(x1),0)*e819</f>
        <v>0</v>
      </c>
      <c r="Z819">
        <f>vlookup("906-477000-210",B:AZ,column(y1),0)*e819</f>
        <v>0</v>
      </c>
      <c r="AA819">
        <f>vlookup("906-477000-210",B:AZ,column(z1),0)*e819</f>
        <v>0</v>
      </c>
      <c r="AB819">
        <f>vlookup("906-477000-210",B:AZ,column(aa1),0)*e819</f>
        <v>0</v>
      </c>
      <c r="AC819">
        <f>vlookup("906-477000-210",B:AZ,column(ab1),0)*e819</f>
        <v>0</v>
      </c>
      <c r="AD819">
        <f>vlookup("906-477000-210",B:AZ,column(ac1),0)*e819</f>
        <v>0</v>
      </c>
      <c r="AE819">
        <f>vlookup("906-477000-210",B:AZ,column(ad1),0)*e819</f>
        <v>0</v>
      </c>
      <c r="AF819">
        <f>vlookup("906-477000-210",B:AZ,column(ae1),0)*e819</f>
        <v>0</v>
      </c>
      <c r="AG819">
        <f>vlookup("906-477000-210",B:AZ,column(af1),0)*e819</f>
        <v>0</v>
      </c>
      <c r="AH819">
        <f>vlookup("906-477000-210",B:AZ,column(ag1),0)*e819</f>
        <v>0</v>
      </c>
      <c r="AI819">
        <f>vlookup("906-477000-210",B:AZ,column(ah1),0)*e819</f>
        <v>0</v>
      </c>
      <c r="AJ819">
        <f>vlookup("906-477000-210",B:AZ,column(ai1),0)*e819</f>
        <v>0</v>
      </c>
      <c r="AK819">
        <f>vlookup("906-477000-210",B:AZ,column(aj1),0)*e819</f>
        <v>0</v>
      </c>
      <c r="AL819">
        <f>vlookup("906-477000-210",B:AZ,column(ak1),0)*e819</f>
        <v>0</v>
      </c>
      <c r="AM819">
        <f>vlookup("906-477000-210",B:AZ,column(al1),0)*e819</f>
        <v>0</v>
      </c>
      <c r="AN819">
        <f>vlookup("906-477000-210",B:AZ,column(am1),0)*e819</f>
        <v>0</v>
      </c>
      <c r="AO819">
        <f>vlookup("906-477000-210",B:AZ,column(an1),0)*e819</f>
        <v>0</v>
      </c>
    </row>
    <row r="820" spans="1:41">
      <c r="A820" t="s">
        <v>22</v>
      </c>
      <c r="B820" t="s">
        <v>821</v>
      </c>
      <c r="C820" t="s">
        <v>824</v>
      </c>
      <c r="E820">
        <v>0.003</v>
      </c>
      <c r="F820" t="s">
        <v>13</v>
      </c>
      <c r="I820" t="s">
        <v>15</v>
      </c>
      <c r="J820">
        <f>vlookup("906-477000-210",B:AZ,column(i1),0)*e820</f>
        <v>0</v>
      </c>
      <c r="K820">
        <f>vlookup("906-477000-210",B:AZ,column(j1),0)*e820</f>
        <v>0</v>
      </c>
      <c r="L820">
        <f>vlookup("906-477000-210",B:AZ,column(k1),0)*e820</f>
        <v>0</v>
      </c>
      <c r="M820">
        <f>vlookup("906-477000-210",B:AZ,column(l1),0)*e820</f>
        <v>0</v>
      </c>
      <c r="N820">
        <f>vlookup("906-477000-210",B:AZ,column(m1),0)*e820</f>
        <v>0</v>
      </c>
      <c r="O820">
        <f>vlookup("906-477000-210",B:AZ,column(n1),0)*e820</f>
        <v>0</v>
      </c>
      <c r="P820">
        <f>vlookup("906-477000-210",B:AZ,column(o1),0)*e820</f>
        <v>0</v>
      </c>
      <c r="Q820">
        <f>vlookup("906-477000-210",B:AZ,column(p1),0)*e820</f>
        <v>0</v>
      </c>
      <c r="R820">
        <f>vlookup("906-477000-210",B:AZ,column(q1),0)*e820</f>
        <v>0</v>
      </c>
      <c r="S820">
        <f>vlookup("906-477000-210",B:AZ,column(r1),0)*e820</f>
        <v>0</v>
      </c>
      <c r="T820">
        <f>vlookup("906-477000-210",B:AZ,column(s1),0)*e820</f>
        <v>0</v>
      </c>
      <c r="U820">
        <f>vlookup("906-477000-210",B:AZ,column(t1),0)*e820</f>
        <v>0</v>
      </c>
      <c r="V820">
        <f>vlookup("906-477000-210",B:AZ,column(u1),0)*e820</f>
        <v>0</v>
      </c>
      <c r="W820">
        <f>vlookup("906-477000-210",B:AZ,column(v1),0)*e820</f>
        <v>0</v>
      </c>
      <c r="X820">
        <f>vlookup("906-477000-210",B:AZ,column(w1),0)*e820</f>
        <v>0</v>
      </c>
      <c r="Y820">
        <f>vlookup("906-477000-210",B:AZ,column(x1),0)*e820</f>
        <v>0</v>
      </c>
      <c r="Z820">
        <f>vlookup("906-477000-210",B:AZ,column(y1),0)*e820</f>
        <v>0</v>
      </c>
      <c r="AA820">
        <f>vlookup("906-477000-210",B:AZ,column(z1),0)*e820</f>
        <v>0</v>
      </c>
      <c r="AB820">
        <f>vlookup("906-477000-210",B:AZ,column(aa1),0)*e820</f>
        <v>0</v>
      </c>
      <c r="AC820">
        <f>vlookup("906-477000-210",B:AZ,column(ab1),0)*e820</f>
        <v>0</v>
      </c>
      <c r="AD820">
        <f>vlookup("906-477000-210",B:AZ,column(ac1),0)*e820</f>
        <v>0</v>
      </c>
      <c r="AE820">
        <f>vlookup("906-477000-210",B:AZ,column(ad1),0)*e820</f>
        <v>0</v>
      </c>
      <c r="AF820">
        <f>vlookup("906-477000-210",B:AZ,column(ae1),0)*e820</f>
        <v>0</v>
      </c>
      <c r="AG820">
        <f>vlookup("906-477000-210",B:AZ,column(af1),0)*e820</f>
        <v>0</v>
      </c>
      <c r="AH820">
        <f>vlookup("906-477000-210",B:AZ,column(ag1),0)*e820</f>
        <v>0</v>
      </c>
      <c r="AI820">
        <f>vlookup("906-477000-210",B:AZ,column(ah1),0)*e820</f>
        <v>0</v>
      </c>
      <c r="AJ820">
        <f>vlookup("906-477000-210",B:AZ,column(ai1),0)*e820</f>
        <v>0</v>
      </c>
      <c r="AK820">
        <f>vlookup("906-477000-210",B:AZ,column(aj1),0)*e820</f>
        <v>0</v>
      </c>
      <c r="AL820">
        <f>vlookup("906-477000-210",B:AZ,column(ak1),0)*e820</f>
        <v>0</v>
      </c>
      <c r="AM820">
        <f>vlookup("906-477000-210",B:AZ,column(al1),0)*e820</f>
        <v>0</v>
      </c>
      <c r="AN820">
        <f>vlookup("906-477000-210",B:AZ,column(am1),0)*e820</f>
        <v>0</v>
      </c>
      <c r="AO820">
        <f>vlookup("906-477000-210",B:AZ,column(an1),0)*e820</f>
        <v>0</v>
      </c>
    </row>
    <row r="821" spans="1:41">
      <c r="A821" t="s">
        <v>10</v>
      </c>
      <c r="B821" t="s">
        <v>821</v>
      </c>
      <c r="C821" t="s">
        <v>837</v>
      </c>
      <c r="E821">
        <v>0.003</v>
      </c>
      <c r="F821" t="s">
        <v>13</v>
      </c>
      <c r="I821" t="s">
        <v>14</v>
      </c>
      <c r="AO821">
        <f>sum(j821:an821)</f>
        <v>0</v>
      </c>
    </row>
    <row r="822" spans="1:41">
      <c r="I822" t="s">
        <v>15</v>
      </c>
      <c r="J822">
        <f>vlookup("241-007400-000",Out!B:AZ,column(i1),0)</f>
        <v>0</v>
      </c>
      <c r="K822">
        <f>vlookup("241-007400-000",Out!B:AZ,column(j1),0)</f>
        <v>0</v>
      </c>
      <c r="L822">
        <f>vlookup("241-007400-000",Out!B:AZ,column(k1),0)</f>
        <v>0</v>
      </c>
      <c r="M822">
        <f>vlookup("241-007400-000",Out!B:AZ,column(l1),0)</f>
        <v>0</v>
      </c>
      <c r="N822">
        <f>vlookup("241-007400-000",Out!B:AZ,column(m1),0)</f>
        <v>0</v>
      </c>
      <c r="O822">
        <f>vlookup("241-007400-000",Out!B:AZ,column(n1),0)</f>
        <v>0</v>
      </c>
      <c r="P822">
        <f>vlookup("241-007400-000",Out!B:AZ,column(o1),0)</f>
        <v>0</v>
      </c>
      <c r="Q822">
        <f>vlookup("241-007400-000",Out!B:AZ,column(p1),0)</f>
        <v>0</v>
      </c>
      <c r="R822">
        <f>vlookup("241-007400-000",Out!B:AZ,column(q1),0)</f>
        <v>0</v>
      </c>
      <c r="S822">
        <f>vlookup("241-007400-000",Out!B:AZ,column(r1),0)</f>
        <v>0</v>
      </c>
      <c r="T822">
        <f>vlookup("241-007400-000",Out!B:AZ,column(s1),0)</f>
        <v>0</v>
      </c>
      <c r="U822">
        <f>vlookup("241-007400-000",Out!B:AZ,column(t1),0)</f>
        <v>0</v>
      </c>
      <c r="V822">
        <f>vlookup("241-007400-000",Out!B:AZ,column(u1),0)</f>
        <v>0</v>
      </c>
      <c r="W822">
        <f>vlookup("241-007400-000",Out!B:AZ,column(v1),0)</f>
        <v>0</v>
      </c>
      <c r="X822">
        <f>vlookup("241-007400-000",Out!B:AZ,column(w1),0)</f>
        <v>0</v>
      </c>
      <c r="Y822">
        <f>vlookup("241-007400-000",Out!B:AZ,column(x1),0)</f>
        <v>0</v>
      </c>
      <c r="Z822">
        <f>vlookup("241-007400-000",Out!B:AZ,column(y1),0)</f>
        <v>0</v>
      </c>
      <c r="AA822">
        <f>vlookup("241-007400-000",Out!B:AZ,column(z1),0)</f>
        <v>0</v>
      </c>
      <c r="AB822">
        <f>vlookup("241-007400-000",Out!B:AZ,column(aa1),0)</f>
        <v>0</v>
      </c>
      <c r="AC822">
        <f>vlookup("241-007400-000",Out!B:AZ,column(ab1),0)</f>
        <v>0</v>
      </c>
      <c r="AD822">
        <f>vlookup("241-007400-000",Out!B:AZ,column(ac1),0)</f>
        <v>0</v>
      </c>
      <c r="AE822">
        <f>vlookup("241-007400-000",Out!B:AZ,column(ad1),0)</f>
        <v>0</v>
      </c>
      <c r="AF822">
        <f>vlookup("241-007400-000",Out!B:AZ,column(ae1),0)</f>
        <v>0</v>
      </c>
      <c r="AG822">
        <f>vlookup("241-007400-000",Out!B:AZ,column(af1),0)</f>
        <v>0</v>
      </c>
      <c r="AH822">
        <f>vlookup("241-007400-000",Out!B:AZ,column(ag1),0)</f>
        <v>0</v>
      </c>
      <c r="AI822">
        <f>vlookup("241-007400-000",Out!B:AZ,column(ah1),0)</f>
        <v>0</v>
      </c>
      <c r="AJ822">
        <f>vlookup("241-007400-000",Out!B:AZ,column(ai1),0)</f>
        <v>0</v>
      </c>
      <c r="AK822">
        <f>vlookup("241-007400-000",Out!B:AZ,column(aj1),0)</f>
        <v>0</v>
      </c>
      <c r="AL822">
        <f>vlookup("241-007400-000",Out!B:AZ,column(ak1),0)</f>
        <v>0</v>
      </c>
      <c r="AM822">
        <f>vlookup("241-007400-000",Out!B:AZ,column(al1),0)</f>
        <v>0</v>
      </c>
      <c r="AN822">
        <f>vlookup("241-007400-000",Out!B:AZ,column(am1),0)</f>
        <v>0</v>
      </c>
      <c r="AO822">
        <f>vlookup("241-007400-000",Out!B:AZ,column(an1),0)</f>
        <v>0</v>
      </c>
    </row>
    <row r="823" spans="1:41">
      <c r="H823" t="s">
        <v>16</v>
      </c>
      <c r="J823">
        <f>indirect(address(823,9))+indirect(address(821,10))-indirect(address(822,10))</f>
        <v>0</v>
      </c>
      <c r="K823">
        <f>indirect(address(823,10))+indirect(address(821,11))-indirect(address(822,11))</f>
        <v>0</v>
      </c>
      <c r="L823">
        <f>indirect(address(823,11))+indirect(address(821,12))-indirect(address(822,12))</f>
        <v>0</v>
      </c>
      <c r="M823">
        <f>indirect(address(823,12))+indirect(address(821,13))-indirect(address(822,13))</f>
        <v>0</v>
      </c>
      <c r="N823">
        <f>indirect(address(823,13))+indirect(address(821,14))-indirect(address(822,14))</f>
        <v>0</v>
      </c>
      <c r="O823">
        <f>indirect(address(823,14))+indirect(address(821,15))-indirect(address(822,15))</f>
        <v>0</v>
      </c>
      <c r="P823">
        <f>indirect(address(823,15))+indirect(address(821,16))-indirect(address(822,16))</f>
        <v>0</v>
      </c>
      <c r="Q823">
        <f>indirect(address(823,16))+indirect(address(821,17))-indirect(address(822,17))</f>
        <v>0</v>
      </c>
      <c r="R823">
        <f>indirect(address(823,17))+indirect(address(821,18))-indirect(address(822,18))</f>
        <v>0</v>
      </c>
      <c r="S823">
        <f>indirect(address(823,18))+indirect(address(821,19))-indirect(address(822,19))</f>
        <v>0</v>
      </c>
      <c r="T823">
        <f>indirect(address(823,19))+indirect(address(821,20))-indirect(address(822,20))</f>
        <v>0</v>
      </c>
      <c r="U823">
        <f>indirect(address(823,20))+indirect(address(821,21))-indirect(address(822,21))</f>
        <v>0</v>
      </c>
      <c r="V823">
        <f>indirect(address(823,21))+indirect(address(821,22))-indirect(address(822,22))</f>
        <v>0</v>
      </c>
      <c r="W823">
        <f>indirect(address(823,22))+indirect(address(821,23))-indirect(address(822,23))</f>
        <v>0</v>
      </c>
      <c r="X823">
        <f>indirect(address(823,23))+indirect(address(821,24))-indirect(address(822,24))</f>
        <v>0</v>
      </c>
      <c r="Y823">
        <f>indirect(address(823,24))+indirect(address(821,25))-indirect(address(822,25))</f>
        <v>0</v>
      </c>
      <c r="Z823">
        <f>indirect(address(823,25))+indirect(address(821,26))-indirect(address(822,26))</f>
        <v>0</v>
      </c>
      <c r="AA823">
        <f>indirect(address(823,26))+indirect(address(821,27))-indirect(address(822,27))</f>
        <v>0</v>
      </c>
      <c r="AB823">
        <f>indirect(address(823,27))+indirect(address(821,28))-indirect(address(822,28))</f>
        <v>0</v>
      </c>
      <c r="AC823">
        <f>indirect(address(823,28))+indirect(address(821,29))-indirect(address(822,29))</f>
        <v>0</v>
      </c>
      <c r="AD823">
        <f>indirect(address(823,29))+indirect(address(821,30))-indirect(address(822,30))</f>
        <v>0</v>
      </c>
      <c r="AE823">
        <f>indirect(address(823,30))+indirect(address(821,31))-indirect(address(822,31))</f>
        <v>0</v>
      </c>
      <c r="AF823">
        <f>indirect(address(823,31))+indirect(address(821,32))-indirect(address(822,32))</f>
        <v>0</v>
      </c>
      <c r="AG823">
        <f>indirect(address(823,32))+indirect(address(821,33))-indirect(address(822,33))</f>
        <v>0</v>
      </c>
      <c r="AH823">
        <f>indirect(address(823,33))+indirect(address(821,34))-indirect(address(822,34))</f>
        <v>0</v>
      </c>
      <c r="AI823">
        <f>indirect(address(823,34))+indirect(address(821,35))-indirect(address(822,35))</f>
        <v>0</v>
      </c>
      <c r="AJ823">
        <f>indirect(address(823,35))+indirect(address(821,36))-indirect(address(822,36))</f>
        <v>0</v>
      </c>
      <c r="AK823">
        <f>indirect(address(823,36))+indirect(address(821,37))-indirect(address(822,37))</f>
        <v>0</v>
      </c>
      <c r="AL823">
        <f>indirect(address(823,37))+indirect(address(821,38))-indirect(address(822,38))</f>
        <v>0</v>
      </c>
      <c r="AM823">
        <f>indirect(address(823,38))+indirect(address(821,39))-indirect(address(822,39))</f>
        <v>0</v>
      </c>
      <c r="AN823">
        <f>indirect(address(823,39))+indirect(address(821,40))-indirect(address(822,40))</f>
        <v>0</v>
      </c>
      <c r="AO823">
        <f>indirect(address(823,40))</f>
        <v>0</v>
      </c>
    </row>
    <row r="824" spans="1:41">
      <c r="A824" t="s">
        <v>17</v>
      </c>
      <c r="B824" t="s">
        <v>838</v>
      </c>
      <c r="C824" t="s">
        <v>839</v>
      </c>
      <c r="E824">
        <v>1</v>
      </c>
      <c r="F824" t="s">
        <v>13</v>
      </c>
      <c r="I824" t="s">
        <v>15</v>
      </c>
      <c r="J824">
        <f>vlookup("241-007400-000",B:AZ,column(i1),0)*e824</f>
        <v>0</v>
      </c>
      <c r="K824">
        <f>vlookup("241-007400-000",B:AZ,column(j1),0)*e824</f>
        <v>0</v>
      </c>
      <c r="L824">
        <f>vlookup("241-007400-000",B:AZ,column(k1),0)*e824</f>
        <v>0</v>
      </c>
      <c r="M824">
        <f>vlookup("241-007400-000",B:AZ,column(l1),0)*e824</f>
        <v>0</v>
      </c>
      <c r="N824">
        <f>vlookup("241-007400-000",B:AZ,column(m1),0)*e824</f>
        <v>0</v>
      </c>
      <c r="O824">
        <f>vlookup("241-007400-000",B:AZ,column(n1),0)*e824</f>
        <v>0</v>
      </c>
      <c r="P824">
        <f>vlookup("241-007400-000",B:AZ,column(o1),0)*e824</f>
        <v>0</v>
      </c>
      <c r="Q824">
        <f>vlookup("241-007400-000",B:AZ,column(p1),0)*e824</f>
        <v>0</v>
      </c>
      <c r="R824">
        <f>vlookup("241-007400-000",B:AZ,column(q1),0)*e824</f>
        <v>0</v>
      </c>
      <c r="S824">
        <f>vlookup("241-007400-000",B:AZ,column(r1),0)*e824</f>
        <v>0</v>
      </c>
      <c r="T824">
        <f>vlookup("241-007400-000",B:AZ,column(s1),0)*e824</f>
        <v>0</v>
      </c>
      <c r="U824">
        <f>vlookup("241-007400-000",B:AZ,column(t1),0)*e824</f>
        <v>0</v>
      </c>
      <c r="V824">
        <f>vlookup("241-007400-000",B:AZ,column(u1),0)*e824</f>
        <v>0</v>
      </c>
      <c r="W824">
        <f>vlookup("241-007400-000",B:AZ,column(v1),0)*e824</f>
        <v>0</v>
      </c>
      <c r="X824">
        <f>vlookup("241-007400-000",B:AZ,column(w1),0)*e824</f>
        <v>0</v>
      </c>
      <c r="Y824">
        <f>vlookup("241-007400-000",B:AZ,column(x1),0)*e824</f>
        <v>0</v>
      </c>
      <c r="Z824">
        <f>vlookup("241-007400-000",B:AZ,column(y1),0)*e824</f>
        <v>0</v>
      </c>
      <c r="AA824">
        <f>vlookup("241-007400-000",B:AZ,column(z1),0)*e824</f>
        <v>0</v>
      </c>
      <c r="AB824">
        <f>vlookup("241-007400-000",B:AZ,column(aa1),0)*e824</f>
        <v>0</v>
      </c>
      <c r="AC824">
        <f>vlookup("241-007400-000",B:AZ,column(ab1),0)*e824</f>
        <v>0</v>
      </c>
      <c r="AD824">
        <f>vlookup("241-007400-000",B:AZ,column(ac1),0)*e824</f>
        <v>0</v>
      </c>
      <c r="AE824">
        <f>vlookup("241-007400-000",B:AZ,column(ad1),0)*e824</f>
        <v>0</v>
      </c>
      <c r="AF824">
        <f>vlookup("241-007400-000",B:AZ,column(ae1),0)*e824</f>
        <v>0</v>
      </c>
      <c r="AG824">
        <f>vlookup("241-007400-000",B:AZ,column(af1),0)*e824</f>
        <v>0</v>
      </c>
      <c r="AH824">
        <f>vlookup("241-007400-000",B:AZ,column(ag1),0)*e824</f>
        <v>0</v>
      </c>
      <c r="AI824">
        <f>vlookup("241-007400-000",B:AZ,column(ah1),0)*e824</f>
        <v>0</v>
      </c>
      <c r="AJ824">
        <f>vlookup("241-007400-000",B:AZ,column(ai1),0)*e824</f>
        <v>0</v>
      </c>
      <c r="AK824">
        <f>vlookup("241-007400-000",B:AZ,column(aj1),0)*e824</f>
        <v>0</v>
      </c>
      <c r="AL824">
        <f>vlookup("241-007400-000",B:AZ,column(ak1),0)*e824</f>
        <v>0</v>
      </c>
      <c r="AM824">
        <f>vlookup("241-007400-000",B:AZ,column(al1),0)*e824</f>
        <v>0</v>
      </c>
      <c r="AN824">
        <f>vlookup("241-007400-000",B:AZ,column(am1),0)*e824</f>
        <v>0</v>
      </c>
      <c r="AO824">
        <f>vlookup("241-007400-000",B:AZ,column(an1),0)*e824</f>
        <v>0</v>
      </c>
    </row>
    <row r="825" spans="1:41">
      <c r="A825" t="s">
        <v>22</v>
      </c>
      <c r="B825" t="s">
        <v>701</v>
      </c>
      <c r="C825" t="s">
        <v>840</v>
      </c>
      <c r="E825">
        <v>0.0011</v>
      </c>
      <c r="F825" t="s">
        <v>13</v>
      </c>
      <c r="I825" t="s">
        <v>15</v>
      </c>
      <c r="J825">
        <f>vlookup("241-007400-000",B:AZ,column(i1),0)*e825</f>
        <v>0</v>
      </c>
      <c r="K825">
        <f>vlookup("241-007400-000",B:AZ,column(j1),0)*e825</f>
        <v>0</v>
      </c>
      <c r="L825">
        <f>vlookup("241-007400-000",B:AZ,column(k1),0)*e825</f>
        <v>0</v>
      </c>
      <c r="M825">
        <f>vlookup("241-007400-000",B:AZ,column(l1),0)*e825</f>
        <v>0</v>
      </c>
      <c r="N825">
        <f>vlookup("241-007400-000",B:AZ,column(m1),0)*e825</f>
        <v>0</v>
      </c>
      <c r="O825">
        <f>vlookup("241-007400-000",B:AZ,column(n1),0)*e825</f>
        <v>0</v>
      </c>
      <c r="P825">
        <f>vlookup("241-007400-000",B:AZ,column(o1),0)*e825</f>
        <v>0</v>
      </c>
      <c r="Q825">
        <f>vlookup("241-007400-000",B:AZ,column(p1),0)*e825</f>
        <v>0</v>
      </c>
      <c r="R825">
        <f>vlookup("241-007400-000",B:AZ,column(q1),0)*e825</f>
        <v>0</v>
      </c>
      <c r="S825">
        <f>vlookup("241-007400-000",B:AZ,column(r1),0)*e825</f>
        <v>0</v>
      </c>
      <c r="T825">
        <f>vlookup("241-007400-000",B:AZ,column(s1),0)*e825</f>
        <v>0</v>
      </c>
      <c r="U825">
        <f>vlookup("241-007400-000",B:AZ,column(t1),0)*e825</f>
        <v>0</v>
      </c>
      <c r="V825">
        <f>vlookup("241-007400-000",B:AZ,column(u1),0)*e825</f>
        <v>0</v>
      </c>
      <c r="W825">
        <f>vlookup("241-007400-000",B:AZ,column(v1),0)*e825</f>
        <v>0</v>
      </c>
      <c r="X825">
        <f>vlookup("241-007400-000",B:AZ,column(w1),0)*e825</f>
        <v>0</v>
      </c>
      <c r="Y825">
        <f>vlookup("241-007400-000",B:AZ,column(x1),0)*e825</f>
        <v>0</v>
      </c>
      <c r="Z825">
        <f>vlookup("241-007400-000",B:AZ,column(y1),0)*e825</f>
        <v>0</v>
      </c>
      <c r="AA825">
        <f>vlookup("241-007400-000",B:AZ,column(z1),0)*e825</f>
        <v>0</v>
      </c>
      <c r="AB825">
        <f>vlookup("241-007400-000",B:AZ,column(aa1),0)*e825</f>
        <v>0</v>
      </c>
      <c r="AC825">
        <f>vlookup("241-007400-000",B:AZ,column(ab1),0)*e825</f>
        <v>0</v>
      </c>
      <c r="AD825">
        <f>vlookup("241-007400-000",B:AZ,column(ac1),0)*e825</f>
        <v>0</v>
      </c>
      <c r="AE825">
        <f>vlookup("241-007400-000",B:AZ,column(ad1),0)*e825</f>
        <v>0</v>
      </c>
      <c r="AF825">
        <f>vlookup("241-007400-000",B:AZ,column(ae1),0)*e825</f>
        <v>0</v>
      </c>
      <c r="AG825">
        <f>vlookup("241-007400-000",B:AZ,column(af1),0)*e825</f>
        <v>0</v>
      </c>
      <c r="AH825">
        <f>vlookup("241-007400-000",B:AZ,column(ag1),0)*e825</f>
        <v>0</v>
      </c>
      <c r="AI825">
        <f>vlookup("241-007400-000",B:AZ,column(ah1),0)*e825</f>
        <v>0</v>
      </c>
      <c r="AJ825">
        <f>vlookup("241-007400-000",B:AZ,column(ai1),0)*e825</f>
        <v>0</v>
      </c>
      <c r="AK825">
        <f>vlookup("241-007400-000",B:AZ,column(aj1),0)*e825</f>
        <v>0</v>
      </c>
      <c r="AL825">
        <f>vlookup("241-007400-000",B:AZ,column(ak1),0)*e825</f>
        <v>0</v>
      </c>
      <c r="AM825">
        <f>vlookup("241-007400-000",B:AZ,column(al1),0)*e825</f>
        <v>0</v>
      </c>
      <c r="AN825">
        <f>vlookup("241-007400-000",B:AZ,column(am1),0)*e825</f>
        <v>0</v>
      </c>
      <c r="AO825">
        <f>vlookup("241-007400-000",B:AZ,column(an1),0)*e825</f>
        <v>0</v>
      </c>
    </row>
    <row r="826" spans="1:41">
      <c r="A826" t="s">
        <v>22</v>
      </c>
      <c r="B826" t="s">
        <v>841</v>
      </c>
      <c r="C826" t="s">
        <v>842</v>
      </c>
      <c r="E826">
        <v>1</v>
      </c>
      <c r="F826" t="s">
        <v>13</v>
      </c>
      <c r="I826" t="s">
        <v>15</v>
      </c>
      <c r="J826">
        <f>vlookup("241-007400-000",B:AZ,column(i1),0)*e826</f>
        <v>0</v>
      </c>
      <c r="K826">
        <f>vlookup("241-007400-000",B:AZ,column(j1),0)*e826</f>
        <v>0</v>
      </c>
      <c r="L826">
        <f>vlookup("241-007400-000",B:AZ,column(k1),0)*e826</f>
        <v>0</v>
      </c>
      <c r="M826">
        <f>vlookup("241-007400-000",B:AZ,column(l1),0)*e826</f>
        <v>0</v>
      </c>
      <c r="N826">
        <f>vlookup("241-007400-000",B:AZ,column(m1),0)*e826</f>
        <v>0</v>
      </c>
      <c r="O826">
        <f>vlookup("241-007400-000",B:AZ,column(n1),0)*e826</f>
        <v>0</v>
      </c>
      <c r="P826">
        <f>vlookup("241-007400-000",B:AZ,column(o1),0)*e826</f>
        <v>0</v>
      </c>
      <c r="Q826">
        <f>vlookup("241-007400-000",B:AZ,column(p1),0)*e826</f>
        <v>0</v>
      </c>
      <c r="R826">
        <f>vlookup("241-007400-000",B:AZ,column(q1),0)*e826</f>
        <v>0</v>
      </c>
      <c r="S826">
        <f>vlookup("241-007400-000",B:AZ,column(r1),0)*e826</f>
        <v>0</v>
      </c>
      <c r="T826">
        <f>vlookup("241-007400-000",B:AZ,column(s1),0)*e826</f>
        <v>0</v>
      </c>
      <c r="U826">
        <f>vlookup("241-007400-000",B:AZ,column(t1),0)*e826</f>
        <v>0</v>
      </c>
      <c r="V826">
        <f>vlookup("241-007400-000",B:AZ,column(u1),0)*e826</f>
        <v>0</v>
      </c>
      <c r="W826">
        <f>vlookup("241-007400-000",B:AZ,column(v1),0)*e826</f>
        <v>0</v>
      </c>
      <c r="X826">
        <f>vlookup("241-007400-000",B:AZ,column(w1),0)*e826</f>
        <v>0</v>
      </c>
      <c r="Y826">
        <f>vlookup("241-007400-000",B:AZ,column(x1),0)*e826</f>
        <v>0</v>
      </c>
      <c r="Z826">
        <f>vlookup("241-007400-000",B:AZ,column(y1),0)*e826</f>
        <v>0</v>
      </c>
      <c r="AA826">
        <f>vlookup("241-007400-000",B:AZ,column(z1),0)*e826</f>
        <v>0</v>
      </c>
      <c r="AB826">
        <f>vlookup("241-007400-000",B:AZ,column(aa1),0)*e826</f>
        <v>0</v>
      </c>
      <c r="AC826">
        <f>vlookup("241-007400-000",B:AZ,column(ab1),0)*e826</f>
        <v>0</v>
      </c>
      <c r="AD826">
        <f>vlookup("241-007400-000",B:AZ,column(ac1),0)*e826</f>
        <v>0</v>
      </c>
      <c r="AE826">
        <f>vlookup("241-007400-000",B:AZ,column(ad1),0)*e826</f>
        <v>0</v>
      </c>
      <c r="AF826">
        <f>vlookup("241-007400-000",B:AZ,column(ae1),0)*e826</f>
        <v>0</v>
      </c>
      <c r="AG826">
        <f>vlookup("241-007400-000",B:AZ,column(af1),0)*e826</f>
        <v>0</v>
      </c>
      <c r="AH826">
        <f>vlookup("241-007400-000",B:AZ,column(ag1),0)*e826</f>
        <v>0</v>
      </c>
      <c r="AI826">
        <f>vlookup("241-007400-000",B:AZ,column(ah1),0)*e826</f>
        <v>0</v>
      </c>
      <c r="AJ826">
        <f>vlookup("241-007400-000",B:AZ,column(ai1),0)*e826</f>
        <v>0</v>
      </c>
      <c r="AK826">
        <f>vlookup("241-007400-000",B:AZ,column(aj1),0)*e826</f>
        <v>0</v>
      </c>
      <c r="AL826">
        <f>vlookup("241-007400-000",B:AZ,column(ak1),0)*e826</f>
        <v>0</v>
      </c>
      <c r="AM826">
        <f>vlookup("241-007400-000",B:AZ,column(al1),0)*e826</f>
        <v>0</v>
      </c>
      <c r="AN826">
        <f>vlookup("241-007400-000",B:AZ,column(am1),0)*e826</f>
        <v>0</v>
      </c>
      <c r="AO826">
        <f>vlookup("241-007400-000",B:AZ,column(an1),0)*e826</f>
        <v>0</v>
      </c>
    </row>
    <row r="827" spans="1:41">
      <c r="A827" t="s">
        <v>10</v>
      </c>
      <c r="B827" t="s">
        <v>841</v>
      </c>
      <c r="C827" t="s">
        <v>843</v>
      </c>
      <c r="E827" t="s">
        <v>804</v>
      </c>
      <c r="F827" t="s">
        <v>13</v>
      </c>
      <c r="I827" t="s">
        <v>14</v>
      </c>
      <c r="AO827">
        <f>sum(j827:an827)</f>
        <v>0</v>
      </c>
    </row>
    <row r="828" spans="1:41">
      <c r="I828" t="s">
        <v>15</v>
      </c>
      <c r="J828">
        <f>vlookup("211-027000-000",Out!B:AZ,column(i1),0)</f>
        <v>0</v>
      </c>
      <c r="K828">
        <f>vlookup("211-027000-000",Out!B:AZ,column(j1),0)</f>
        <v>0</v>
      </c>
      <c r="L828">
        <f>vlookup("211-027000-000",Out!B:AZ,column(k1),0)</f>
        <v>0</v>
      </c>
      <c r="M828">
        <f>vlookup("211-027000-000",Out!B:AZ,column(l1),0)</f>
        <v>0</v>
      </c>
      <c r="N828">
        <f>vlookup("211-027000-000",Out!B:AZ,column(m1),0)</f>
        <v>0</v>
      </c>
      <c r="O828">
        <f>vlookup("211-027000-000",Out!B:AZ,column(n1),0)</f>
        <v>0</v>
      </c>
      <c r="P828">
        <f>vlookup("211-027000-000",Out!B:AZ,column(o1),0)</f>
        <v>0</v>
      </c>
      <c r="Q828">
        <f>vlookup("211-027000-000",Out!B:AZ,column(p1),0)</f>
        <v>0</v>
      </c>
      <c r="R828">
        <f>vlookup("211-027000-000",Out!B:AZ,column(q1),0)</f>
        <v>0</v>
      </c>
      <c r="S828">
        <f>vlookup("211-027000-000",Out!B:AZ,column(r1),0)</f>
        <v>0</v>
      </c>
      <c r="T828">
        <f>vlookup("211-027000-000",Out!B:AZ,column(s1),0)</f>
        <v>0</v>
      </c>
      <c r="U828">
        <f>vlookup("211-027000-000",Out!B:AZ,column(t1),0)</f>
        <v>0</v>
      </c>
      <c r="V828">
        <f>vlookup("211-027000-000",Out!B:AZ,column(u1),0)</f>
        <v>0</v>
      </c>
      <c r="W828">
        <f>vlookup("211-027000-000",Out!B:AZ,column(v1),0)</f>
        <v>0</v>
      </c>
      <c r="X828">
        <f>vlookup("211-027000-000",Out!B:AZ,column(w1),0)</f>
        <v>0</v>
      </c>
      <c r="Y828">
        <f>vlookup("211-027000-000",Out!B:AZ,column(x1),0)</f>
        <v>0</v>
      </c>
      <c r="Z828">
        <f>vlookup("211-027000-000",Out!B:AZ,column(y1),0)</f>
        <v>0</v>
      </c>
      <c r="AA828">
        <f>vlookup("211-027000-000",Out!B:AZ,column(z1),0)</f>
        <v>0</v>
      </c>
      <c r="AB828">
        <f>vlookup("211-027000-000",Out!B:AZ,column(aa1),0)</f>
        <v>0</v>
      </c>
      <c r="AC828">
        <f>vlookup("211-027000-000",Out!B:AZ,column(ab1),0)</f>
        <v>0</v>
      </c>
      <c r="AD828">
        <f>vlookup("211-027000-000",Out!B:AZ,column(ac1),0)</f>
        <v>0</v>
      </c>
      <c r="AE828">
        <f>vlookup("211-027000-000",Out!B:AZ,column(ad1),0)</f>
        <v>0</v>
      </c>
      <c r="AF828">
        <f>vlookup("211-027000-000",Out!B:AZ,column(ae1),0)</f>
        <v>0</v>
      </c>
      <c r="AG828">
        <f>vlookup("211-027000-000",Out!B:AZ,column(af1),0)</f>
        <v>0</v>
      </c>
      <c r="AH828">
        <f>vlookup("211-027000-000",Out!B:AZ,column(ag1),0)</f>
        <v>0</v>
      </c>
      <c r="AI828">
        <f>vlookup("211-027000-000",Out!B:AZ,column(ah1),0)</f>
        <v>0</v>
      </c>
      <c r="AJ828">
        <f>vlookup("211-027000-000",Out!B:AZ,column(ai1),0)</f>
        <v>0</v>
      </c>
      <c r="AK828">
        <f>vlookup("211-027000-000",Out!B:AZ,column(aj1),0)</f>
        <v>0</v>
      </c>
      <c r="AL828">
        <f>vlookup("211-027000-000",Out!B:AZ,column(ak1),0)</f>
        <v>0</v>
      </c>
      <c r="AM828">
        <f>vlookup("211-027000-000",Out!B:AZ,column(al1),0)</f>
        <v>0</v>
      </c>
      <c r="AN828">
        <f>vlookup("211-027000-000",Out!B:AZ,column(am1),0)</f>
        <v>0</v>
      </c>
      <c r="AO828">
        <f>vlookup("211-027000-000",Out!B:AZ,column(an1),0)</f>
        <v>0</v>
      </c>
    </row>
    <row r="829" spans="1:41">
      <c r="H829" t="s">
        <v>16</v>
      </c>
      <c r="J829">
        <f>indirect(address(829,9))+indirect(address(827,10))-indirect(address(828,10))</f>
        <v>0</v>
      </c>
      <c r="K829">
        <f>indirect(address(829,10))+indirect(address(827,11))-indirect(address(828,11))</f>
        <v>0</v>
      </c>
      <c r="L829">
        <f>indirect(address(829,11))+indirect(address(827,12))-indirect(address(828,12))</f>
        <v>0</v>
      </c>
      <c r="M829">
        <f>indirect(address(829,12))+indirect(address(827,13))-indirect(address(828,13))</f>
        <v>0</v>
      </c>
      <c r="N829">
        <f>indirect(address(829,13))+indirect(address(827,14))-indirect(address(828,14))</f>
        <v>0</v>
      </c>
      <c r="O829">
        <f>indirect(address(829,14))+indirect(address(827,15))-indirect(address(828,15))</f>
        <v>0</v>
      </c>
      <c r="P829">
        <f>indirect(address(829,15))+indirect(address(827,16))-indirect(address(828,16))</f>
        <v>0</v>
      </c>
      <c r="Q829">
        <f>indirect(address(829,16))+indirect(address(827,17))-indirect(address(828,17))</f>
        <v>0</v>
      </c>
      <c r="R829">
        <f>indirect(address(829,17))+indirect(address(827,18))-indirect(address(828,18))</f>
        <v>0</v>
      </c>
      <c r="S829">
        <f>indirect(address(829,18))+indirect(address(827,19))-indirect(address(828,19))</f>
        <v>0</v>
      </c>
      <c r="T829">
        <f>indirect(address(829,19))+indirect(address(827,20))-indirect(address(828,20))</f>
        <v>0</v>
      </c>
      <c r="U829">
        <f>indirect(address(829,20))+indirect(address(827,21))-indirect(address(828,21))</f>
        <v>0</v>
      </c>
      <c r="V829">
        <f>indirect(address(829,21))+indirect(address(827,22))-indirect(address(828,22))</f>
        <v>0</v>
      </c>
      <c r="W829">
        <f>indirect(address(829,22))+indirect(address(827,23))-indirect(address(828,23))</f>
        <v>0</v>
      </c>
      <c r="X829">
        <f>indirect(address(829,23))+indirect(address(827,24))-indirect(address(828,24))</f>
        <v>0</v>
      </c>
      <c r="Y829">
        <f>indirect(address(829,24))+indirect(address(827,25))-indirect(address(828,25))</f>
        <v>0</v>
      </c>
      <c r="Z829">
        <f>indirect(address(829,25))+indirect(address(827,26))-indirect(address(828,26))</f>
        <v>0</v>
      </c>
      <c r="AA829">
        <f>indirect(address(829,26))+indirect(address(827,27))-indirect(address(828,27))</f>
        <v>0</v>
      </c>
      <c r="AB829">
        <f>indirect(address(829,27))+indirect(address(827,28))-indirect(address(828,28))</f>
        <v>0</v>
      </c>
      <c r="AC829">
        <f>indirect(address(829,28))+indirect(address(827,29))-indirect(address(828,29))</f>
        <v>0</v>
      </c>
      <c r="AD829">
        <f>indirect(address(829,29))+indirect(address(827,30))-indirect(address(828,30))</f>
        <v>0</v>
      </c>
      <c r="AE829">
        <f>indirect(address(829,30))+indirect(address(827,31))-indirect(address(828,31))</f>
        <v>0</v>
      </c>
      <c r="AF829">
        <f>indirect(address(829,31))+indirect(address(827,32))-indirect(address(828,32))</f>
        <v>0</v>
      </c>
      <c r="AG829">
        <f>indirect(address(829,32))+indirect(address(827,33))-indirect(address(828,33))</f>
        <v>0</v>
      </c>
      <c r="AH829">
        <f>indirect(address(829,33))+indirect(address(827,34))-indirect(address(828,34))</f>
        <v>0</v>
      </c>
      <c r="AI829">
        <f>indirect(address(829,34))+indirect(address(827,35))-indirect(address(828,35))</f>
        <v>0</v>
      </c>
      <c r="AJ829">
        <f>indirect(address(829,35))+indirect(address(827,36))-indirect(address(828,36))</f>
        <v>0</v>
      </c>
      <c r="AK829">
        <f>indirect(address(829,36))+indirect(address(827,37))-indirect(address(828,37))</f>
        <v>0</v>
      </c>
      <c r="AL829">
        <f>indirect(address(829,37))+indirect(address(827,38))-indirect(address(828,38))</f>
        <v>0</v>
      </c>
      <c r="AM829">
        <f>indirect(address(829,38))+indirect(address(827,39))-indirect(address(828,39))</f>
        <v>0</v>
      </c>
      <c r="AN829">
        <f>indirect(address(829,39))+indirect(address(827,40))-indirect(address(828,40))</f>
        <v>0</v>
      </c>
      <c r="AO829">
        <f>indirect(address(829,40))</f>
        <v>0</v>
      </c>
    </row>
    <row r="830" spans="1:41">
      <c r="A830" t="s">
        <v>17</v>
      </c>
      <c r="B830" t="s">
        <v>844</v>
      </c>
      <c r="C830" t="s">
        <v>845</v>
      </c>
      <c r="E830">
        <v>1</v>
      </c>
      <c r="F830" t="s">
        <v>13</v>
      </c>
      <c r="I830" t="s">
        <v>15</v>
      </c>
      <c r="J830">
        <f>vlookup("211-027000-000",B:AZ,column(i1),0)*e830</f>
        <v>0</v>
      </c>
      <c r="K830">
        <f>vlookup("211-027000-000",B:AZ,column(j1),0)*e830</f>
        <v>0</v>
      </c>
      <c r="L830">
        <f>vlookup("211-027000-000",B:AZ,column(k1),0)*e830</f>
        <v>0</v>
      </c>
      <c r="M830">
        <f>vlookup("211-027000-000",B:AZ,column(l1),0)*e830</f>
        <v>0</v>
      </c>
      <c r="N830">
        <f>vlookup("211-027000-000",B:AZ,column(m1),0)*e830</f>
        <v>0</v>
      </c>
      <c r="O830">
        <f>vlookup("211-027000-000",B:AZ,column(n1),0)*e830</f>
        <v>0</v>
      </c>
      <c r="P830">
        <f>vlookup("211-027000-000",B:AZ,column(o1),0)*e830</f>
        <v>0</v>
      </c>
      <c r="Q830">
        <f>vlookup("211-027000-000",B:AZ,column(p1),0)*e830</f>
        <v>0</v>
      </c>
      <c r="R830">
        <f>vlookup("211-027000-000",B:AZ,column(q1),0)*e830</f>
        <v>0</v>
      </c>
      <c r="S830">
        <f>vlookup("211-027000-000",B:AZ,column(r1),0)*e830</f>
        <v>0</v>
      </c>
      <c r="T830">
        <f>vlookup("211-027000-000",B:AZ,column(s1),0)*e830</f>
        <v>0</v>
      </c>
      <c r="U830">
        <f>vlookup("211-027000-000",B:AZ,column(t1),0)*e830</f>
        <v>0</v>
      </c>
      <c r="V830">
        <f>vlookup("211-027000-000",B:AZ,column(u1),0)*e830</f>
        <v>0</v>
      </c>
      <c r="W830">
        <f>vlookup("211-027000-000",B:AZ,column(v1),0)*e830</f>
        <v>0</v>
      </c>
      <c r="X830">
        <f>vlookup("211-027000-000",B:AZ,column(w1),0)*e830</f>
        <v>0</v>
      </c>
      <c r="Y830">
        <f>vlookup("211-027000-000",B:AZ,column(x1),0)*e830</f>
        <v>0</v>
      </c>
      <c r="Z830">
        <f>vlookup("211-027000-000",B:AZ,column(y1),0)*e830</f>
        <v>0</v>
      </c>
      <c r="AA830">
        <f>vlookup("211-027000-000",B:AZ,column(z1),0)*e830</f>
        <v>0</v>
      </c>
      <c r="AB830">
        <f>vlookup("211-027000-000",B:AZ,column(aa1),0)*e830</f>
        <v>0</v>
      </c>
      <c r="AC830">
        <f>vlookup("211-027000-000",B:AZ,column(ab1),0)*e830</f>
        <v>0</v>
      </c>
      <c r="AD830">
        <f>vlookup("211-027000-000",B:AZ,column(ac1),0)*e830</f>
        <v>0</v>
      </c>
      <c r="AE830">
        <f>vlookup("211-027000-000",B:AZ,column(ad1),0)*e830</f>
        <v>0</v>
      </c>
      <c r="AF830">
        <f>vlookup("211-027000-000",B:AZ,column(ae1),0)*e830</f>
        <v>0</v>
      </c>
      <c r="AG830">
        <f>vlookup("211-027000-000",B:AZ,column(af1),0)*e830</f>
        <v>0</v>
      </c>
      <c r="AH830">
        <f>vlookup("211-027000-000",B:AZ,column(ag1),0)*e830</f>
        <v>0</v>
      </c>
      <c r="AI830">
        <f>vlookup("211-027000-000",B:AZ,column(ah1),0)*e830</f>
        <v>0</v>
      </c>
      <c r="AJ830">
        <f>vlookup("211-027000-000",B:AZ,column(ai1),0)*e830</f>
        <v>0</v>
      </c>
      <c r="AK830">
        <f>vlookup("211-027000-000",B:AZ,column(aj1),0)*e830</f>
        <v>0</v>
      </c>
      <c r="AL830">
        <f>vlookup("211-027000-000",B:AZ,column(ak1),0)*e830</f>
        <v>0</v>
      </c>
      <c r="AM830">
        <f>vlookup("211-027000-000",B:AZ,column(al1),0)*e830</f>
        <v>0</v>
      </c>
      <c r="AN830">
        <f>vlookup("211-027000-000",B:AZ,column(am1),0)*e830</f>
        <v>0</v>
      </c>
      <c r="AO830">
        <f>vlookup("211-027000-000",B:AZ,column(an1),0)*e830</f>
        <v>0</v>
      </c>
    </row>
    <row r="831" spans="1:41">
      <c r="A831" t="s">
        <v>17</v>
      </c>
      <c r="B831" t="s">
        <v>846</v>
      </c>
      <c r="C831" t="s">
        <v>847</v>
      </c>
      <c r="E831">
        <v>1</v>
      </c>
      <c r="F831" t="s">
        <v>13</v>
      </c>
      <c r="I831" t="s">
        <v>15</v>
      </c>
      <c r="J831">
        <f>vlookup("211-027000-000",B:AZ,column(i1),0)*e831</f>
        <v>0</v>
      </c>
      <c r="K831">
        <f>vlookup("211-027000-000",B:AZ,column(j1),0)*e831</f>
        <v>0</v>
      </c>
      <c r="L831">
        <f>vlookup("211-027000-000",B:AZ,column(k1),0)*e831</f>
        <v>0</v>
      </c>
      <c r="M831">
        <f>vlookup("211-027000-000",B:AZ,column(l1),0)*e831</f>
        <v>0</v>
      </c>
      <c r="N831">
        <f>vlookup("211-027000-000",B:AZ,column(m1),0)*e831</f>
        <v>0</v>
      </c>
      <c r="O831">
        <f>vlookup("211-027000-000",B:AZ,column(n1),0)*e831</f>
        <v>0</v>
      </c>
      <c r="P831">
        <f>vlookup("211-027000-000",B:AZ,column(o1),0)*e831</f>
        <v>0</v>
      </c>
      <c r="Q831">
        <f>vlookup("211-027000-000",B:AZ,column(p1),0)*e831</f>
        <v>0</v>
      </c>
      <c r="R831">
        <f>vlookup("211-027000-000",B:AZ,column(q1),0)*e831</f>
        <v>0</v>
      </c>
      <c r="S831">
        <f>vlookup("211-027000-000",B:AZ,column(r1),0)*e831</f>
        <v>0</v>
      </c>
      <c r="T831">
        <f>vlookup("211-027000-000",B:AZ,column(s1),0)*e831</f>
        <v>0</v>
      </c>
      <c r="U831">
        <f>vlookup("211-027000-000",B:AZ,column(t1),0)*e831</f>
        <v>0</v>
      </c>
      <c r="V831">
        <f>vlookup("211-027000-000",B:AZ,column(u1),0)*e831</f>
        <v>0</v>
      </c>
      <c r="W831">
        <f>vlookup("211-027000-000",B:AZ,column(v1),0)*e831</f>
        <v>0</v>
      </c>
      <c r="X831">
        <f>vlookup("211-027000-000",B:AZ,column(w1),0)*e831</f>
        <v>0</v>
      </c>
      <c r="Y831">
        <f>vlookup("211-027000-000",B:AZ,column(x1),0)*e831</f>
        <v>0</v>
      </c>
      <c r="Z831">
        <f>vlookup("211-027000-000",B:AZ,column(y1),0)*e831</f>
        <v>0</v>
      </c>
      <c r="AA831">
        <f>vlookup("211-027000-000",B:AZ,column(z1),0)*e831</f>
        <v>0</v>
      </c>
      <c r="AB831">
        <f>vlookup("211-027000-000",B:AZ,column(aa1),0)*e831</f>
        <v>0</v>
      </c>
      <c r="AC831">
        <f>vlookup("211-027000-000",B:AZ,column(ab1),0)*e831</f>
        <v>0</v>
      </c>
      <c r="AD831">
        <f>vlookup("211-027000-000",B:AZ,column(ac1),0)*e831</f>
        <v>0</v>
      </c>
      <c r="AE831">
        <f>vlookup("211-027000-000",B:AZ,column(ad1),0)*e831</f>
        <v>0</v>
      </c>
      <c r="AF831">
        <f>vlookup("211-027000-000",B:AZ,column(ae1),0)*e831</f>
        <v>0</v>
      </c>
      <c r="AG831">
        <f>vlookup("211-027000-000",B:AZ,column(af1),0)*e831</f>
        <v>0</v>
      </c>
      <c r="AH831">
        <f>vlookup("211-027000-000",B:AZ,column(ag1),0)*e831</f>
        <v>0</v>
      </c>
      <c r="AI831">
        <f>vlookup("211-027000-000",B:AZ,column(ah1),0)*e831</f>
        <v>0</v>
      </c>
      <c r="AJ831">
        <f>vlookup("211-027000-000",B:AZ,column(ai1),0)*e831</f>
        <v>0</v>
      </c>
      <c r="AK831">
        <f>vlookup("211-027000-000",B:AZ,column(aj1),0)*e831</f>
        <v>0</v>
      </c>
      <c r="AL831">
        <f>vlookup("211-027000-000",B:AZ,column(ak1),0)*e831</f>
        <v>0</v>
      </c>
      <c r="AM831">
        <f>vlookup("211-027000-000",B:AZ,column(al1),0)*e831</f>
        <v>0</v>
      </c>
      <c r="AN831">
        <f>vlookup("211-027000-000",B:AZ,column(am1),0)*e831</f>
        <v>0</v>
      </c>
      <c r="AO831">
        <f>vlookup("211-027000-000",B:AZ,column(an1),0)*e831</f>
        <v>0</v>
      </c>
    </row>
    <row r="832" spans="1:41">
      <c r="A832" t="s">
        <v>22</v>
      </c>
      <c r="B832" t="s">
        <v>846</v>
      </c>
      <c r="C832" t="s">
        <v>848</v>
      </c>
      <c r="E832">
        <v>1</v>
      </c>
      <c r="F832" t="s">
        <v>13</v>
      </c>
      <c r="I832" t="s">
        <v>15</v>
      </c>
      <c r="J832">
        <f>vlookup("211-027000-000",B:AZ,column(i1),0)*e832</f>
        <v>0</v>
      </c>
      <c r="K832">
        <f>vlookup("211-027000-000",B:AZ,column(j1),0)*e832</f>
        <v>0</v>
      </c>
      <c r="L832">
        <f>vlookup("211-027000-000",B:AZ,column(k1),0)*e832</f>
        <v>0</v>
      </c>
      <c r="M832">
        <f>vlookup("211-027000-000",B:AZ,column(l1),0)*e832</f>
        <v>0</v>
      </c>
      <c r="N832">
        <f>vlookup("211-027000-000",B:AZ,column(m1),0)*e832</f>
        <v>0</v>
      </c>
      <c r="O832">
        <f>vlookup("211-027000-000",B:AZ,column(n1),0)*e832</f>
        <v>0</v>
      </c>
      <c r="P832">
        <f>vlookup("211-027000-000",B:AZ,column(o1),0)*e832</f>
        <v>0</v>
      </c>
      <c r="Q832">
        <f>vlookup("211-027000-000",B:AZ,column(p1),0)*e832</f>
        <v>0</v>
      </c>
      <c r="R832">
        <f>vlookup("211-027000-000",B:AZ,column(q1),0)*e832</f>
        <v>0</v>
      </c>
      <c r="S832">
        <f>vlookup("211-027000-000",B:AZ,column(r1),0)*e832</f>
        <v>0</v>
      </c>
      <c r="T832">
        <f>vlookup("211-027000-000",B:AZ,column(s1),0)*e832</f>
        <v>0</v>
      </c>
      <c r="U832">
        <f>vlookup("211-027000-000",B:AZ,column(t1),0)*e832</f>
        <v>0</v>
      </c>
      <c r="V832">
        <f>vlookup("211-027000-000",B:AZ,column(u1),0)*e832</f>
        <v>0</v>
      </c>
      <c r="W832">
        <f>vlookup("211-027000-000",B:AZ,column(v1),0)*e832</f>
        <v>0</v>
      </c>
      <c r="X832">
        <f>vlookup("211-027000-000",B:AZ,column(w1),0)*e832</f>
        <v>0</v>
      </c>
      <c r="Y832">
        <f>vlookup("211-027000-000",B:AZ,column(x1),0)*e832</f>
        <v>0</v>
      </c>
      <c r="Z832">
        <f>vlookup("211-027000-000",B:AZ,column(y1),0)*e832</f>
        <v>0</v>
      </c>
      <c r="AA832">
        <f>vlookup("211-027000-000",B:AZ,column(z1),0)*e832</f>
        <v>0</v>
      </c>
      <c r="AB832">
        <f>vlookup("211-027000-000",B:AZ,column(aa1),0)*e832</f>
        <v>0</v>
      </c>
      <c r="AC832">
        <f>vlookup("211-027000-000",B:AZ,column(ab1),0)*e832</f>
        <v>0</v>
      </c>
      <c r="AD832">
        <f>vlookup("211-027000-000",B:AZ,column(ac1),0)*e832</f>
        <v>0</v>
      </c>
      <c r="AE832">
        <f>vlookup("211-027000-000",B:AZ,column(ad1),0)*e832</f>
        <v>0</v>
      </c>
      <c r="AF832">
        <f>vlookup("211-027000-000",B:AZ,column(ae1),0)*e832</f>
        <v>0</v>
      </c>
      <c r="AG832">
        <f>vlookup("211-027000-000",B:AZ,column(af1),0)*e832</f>
        <v>0</v>
      </c>
      <c r="AH832">
        <f>vlookup("211-027000-000",B:AZ,column(ag1),0)*e832</f>
        <v>0</v>
      </c>
      <c r="AI832">
        <f>vlookup("211-027000-000",B:AZ,column(ah1),0)*e832</f>
        <v>0</v>
      </c>
      <c r="AJ832">
        <f>vlookup("211-027000-000",B:AZ,column(ai1),0)*e832</f>
        <v>0</v>
      </c>
      <c r="AK832">
        <f>vlookup("211-027000-000",B:AZ,column(aj1),0)*e832</f>
        <v>0</v>
      </c>
      <c r="AL832">
        <f>vlookup("211-027000-000",B:AZ,column(ak1),0)*e832</f>
        <v>0</v>
      </c>
      <c r="AM832">
        <f>vlookup("211-027000-000",B:AZ,column(al1),0)*e832</f>
        <v>0</v>
      </c>
      <c r="AN832">
        <f>vlookup("211-027000-000",B:AZ,column(am1),0)*e832</f>
        <v>0</v>
      </c>
      <c r="AO832">
        <f>vlookup("211-027000-000",B:AZ,column(an1),0)*e832</f>
        <v>0</v>
      </c>
    </row>
    <row r="833" spans="1:41">
      <c r="A833" t="s">
        <v>10</v>
      </c>
      <c r="B833" t="s">
        <v>849</v>
      </c>
      <c r="C833" t="s">
        <v>850</v>
      </c>
      <c r="E833" t="s">
        <v>851</v>
      </c>
      <c r="F833" t="s">
        <v>13</v>
      </c>
      <c r="I833" t="s">
        <v>14</v>
      </c>
      <c r="AO833">
        <f>sum(j833:an833)</f>
        <v>0</v>
      </c>
    </row>
    <row r="834" spans="1:41">
      <c r="I834" t="s">
        <v>15</v>
      </c>
      <c r="J834">
        <f>vlookup("906-471000-210",Out!B:AZ,column(i1),0)</f>
        <v>0</v>
      </c>
      <c r="K834">
        <f>vlookup("906-471000-210",Out!B:AZ,column(j1),0)</f>
        <v>0</v>
      </c>
      <c r="L834">
        <f>vlookup("906-471000-210",Out!B:AZ,column(k1),0)</f>
        <v>0</v>
      </c>
      <c r="M834">
        <f>vlookup("906-471000-210",Out!B:AZ,column(l1),0)</f>
        <v>0</v>
      </c>
      <c r="N834">
        <f>vlookup("906-471000-210",Out!B:AZ,column(m1),0)</f>
        <v>0</v>
      </c>
      <c r="O834">
        <f>vlookup("906-471000-210",Out!B:AZ,column(n1),0)</f>
        <v>0</v>
      </c>
      <c r="P834">
        <f>vlookup("906-471000-210",Out!B:AZ,column(o1),0)</f>
        <v>0</v>
      </c>
      <c r="Q834">
        <f>vlookup("906-471000-210",Out!B:AZ,column(p1),0)</f>
        <v>0</v>
      </c>
      <c r="R834">
        <f>vlookup("906-471000-210",Out!B:AZ,column(q1),0)</f>
        <v>0</v>
      </c>
      <c r="S834">
        <f>vlookup("906-471000-210",Out!B:AZ,column(r1),0)</f>
        <v>0</v>
      </c>
      <c r="T834">
        <f>vlookup("906-471000-210",Out!B:AZ,column(s1),0)</f>
        <v>0</v>
      </c>
      <c r="U834">
        <f>vlookup("906-471000-210",Out!B:AZ,column(t1),0)</f>
        <v>0</v>
      </c>
      <c r="V834">
        <f>vlookup("906-471000-210",Out!B:AZ,column(u1),0)</f>
        <v>0</v>
      </c>
      <c r="W834">
        <f>vlookup("906-471000-210",Out!B:AZ,column(v1),0)</f>
        <v>0</v>
      </c>
      <c r="X834">
        <f>vlookup("906-471000-210",Out!B:AZ,column(w1),0)</f>
        <v>0</v>
      </c>
      <c r="Y834">
        <f>vlookup("906-471000-210",Out!B:AZ,column(x1),0)</f>
        <v>0</v>
      </c>
      <c r="Z834">
        <f>vlookup("906-471000-210",Out!B:AZ,column(y1),0)</f>
        <v>0</v>
      </c>
      <c r="AA834">
        <f>vlookup("906-471000-210",Out!B:AZ,column(z1),0)</f>
        <v>0</v>
      </c>
      <c r="AB834">
        <f>vlookup("906-471000-210",Out!B:AZ,column(aa1),0)</f>
        <v>0</v>
      </c>
      <c r="AC834">
        <f>vlookup("906-471000-210",Out!B:AZ,column(ab1),0)</f>
        <v>0</v>
      </c>
      <c r="AD834">
        <f>vlookup("906-471000-210",Out!B:AZ,column(ac1),0)</f>
        <v>0</v>
      </c>
      <c r="AE834">
        <f>vlookup("906-471000-210",Out!B:AZ,column(ad1),0)</f>
        <v>0</v>
      </c>
      <c r="AF834">
        <f>vlookup("906-471000-210",Out!B:AZ,column(ae1),0)</f>
        <v>0</v>
      </c>
      <c r="AG834">
        <f>vlookup("906-471000-210",Out!B:AZ,column(af1),0)</f>
        <v>0</v>
      </c>
      <c r="AH834">
        <f>vlookup("906-471000-210",Out!B:AZ,column(ag1),0)</f>
        <v>0</v>
      </c>
      <c r="AI834">
        <f>vlookup("906-471000-210",Out!B:AZ,column(ah1),0)</f>
        <v>0</v>
      </c>
      <c r="AJ834">
        <f>vlookup("906-471000-210",Out!B:AZ,column(ai1),0)</f>
        <v>0</v>
      </c>
      <c r="AK834">
        <f>vlookup("906-471000-210",Out!B:AZ,column(aj1),0)</f>
        <v>0</v>
      </c>
      <c r="AL834">
        <f>vlookup("906-471000-210",Out!B:AZ,column(ak1),0)</f>
        <v>0</v>
      </c>
      <c r="AM834">
        <f>vlookup("906-471000-210",Out!B:AZ,column(al1),0)</f>
        <v>0</v>
      </c>
      <c r="AN834">
        <f>vlookup("906-471000-210",Out!B:AZ,column(am1),0)</f>
        <v>0</v>
      </c>
      <c r="AO834">
        <f>vlookup("906-471000-210",Out!B:AZ,column(an1),0)</f>
        <v>0</v>
      </c>
    </row>
    <row r="835" spans="1:41">
      <c r="H835" t="s">
        <v>16</v>
      </c>
      <c r="J835">
        <f>indirect(address(835,9))+indirect(address(833,10))-indirect(address(834,10))</f>
        <v>0</v>
      </c>
      <c r="K835">
        <f>indirect(address(835,10))+indirect(address(833,11))-indirect(address(834,11))</f>
        <v>0</v>
      </c>
      <c r="L835">
        <f>indirect(address(835,11))+indirect(address(833,12))-indirect(address(834,12))</f>
        <v>0</v>
      </c>
      <c r="M835">
        <f>indirect(address(835,12))+indirect(address(833,13))-indirect(address(834,13))</f>
        <v>0</v>
      </c>
      <c r="N835">
        <f>indirect(address(835,13))+indirect(address(833,14))-indirect(address(834,14))</f>
        <v>0</v>
      </c>
      <c r="O835">
        <f>indirect(address(835,14))+indirect(address(833,15))-indirect(address(834,15))</f>
        <v>0</v>
      </c>
      <c r="P835">
        <f>indirect(address(835,15))+indirect(address(833,16))-indirect(address(834,16))</f>
        <v>0</v>
      </c>
      <c r="Q835">
        <f>indirect(address(835,16))+indirect(address(833,17))-indirect(address(834,17))</f>
        <v>0</v>
      </c>
      <c r="R835">
        <f>indirect(address(835,17))+indirect(address(833,18))-indirect(address(834,18))</f>
        <v>0</v>
      </c>
      <c r="S835">
        <f>indirect(address(835,18))+indirect(address(833,19))-indirect(address(834,19))</f>
        <v>0</v>
      </c>
      <c r="T835">
        <f>indirect(address(835,19))+indirect(address(833,20))-indirect(address(834,20))</f>
        <v>0</v>
      </c>
      <c r="U835">
        <f>indirect(address(835,20))+indirect(address(833,21))-indirect(address(834,21))</f>
        <v>0</v>
      </c>
      <c r="V835">
        <f>indirect(address(835,21))+indirect(address(833,22))-indirect(address(834,22))</f>
        <v>0</v>
      </c>
      <c r="W835">
        <f>indirect(address(835,22))+indirect(address(833,23))-indirect(address(834,23))</f>
        <v>0</v>
      </c>
      <c r="X835">
        <f>indirect(address(835,23))+indirect(address(833,24))-indirect(address(834,24))</f>
        <v>0</v>
      </c>
      <c r="Y835">
        <f>indirect(address(835,24))+indirect(address(833,25))-indirect(address(834,25))</f>
        <v>0</v>
      </c>
      <c r="Z835">
        <f>indirect(address(835,25))+indirect(address(833,26))-indirect(address(834,26))</f>
        <v>0</v>
      </c>
      <c r="AA835">
        <f>indirect(address(835,26))+indirect(address(833,27))-indirect(address(834,27))</f>
        <v>0</v>
      </c>
      <c r="AB835">
        <f>indirect(address(835,27))+indirect(address(833,28))-indirect(address(834,28))</f>
        <v>0</v>
      </c>
      <c r="AC835">
        <f>indirect(address(835,28))+indirect(address(833,29))-indirect(address(834,29))</f>
        <v>0</v>
      </c>
      <c r="AD835">
        <f>indirect(address(835,29))+indirect(address(833,30))-indirect(address(834,30))</f>
        <v>0</v>
      </c>
      <c r="AE835">
        <f>indirect(address(835,30))+indirect(address(833,31))-indirect(address(834,31))</f>
        <v>0</v>
      </c>
      <c r="AF835">
        <f>indirect(address(835,31))+indirect(address(833,32))-indirect(address(834,32))</f>
        <v>0</v>
      </c>
      <c r="AG835">
        <f>indirect(address(835,32))+indirect(address(833,33))-indirect(address(834,33))</f>
        <v>0</v>
      </c>
      <c r="AH835">
        <f>indirect(address(835,33))+indirect(address(833,34))-indirect(address(834,34))</f>
        <v>0</v>
      </c>
      <c r="AI835">
        <f>indirect(address(835,34))+indirect(address(833,35))-indirect(address(834,35))</f>
        <v>0</v>
      </c>
      <c r="AJ835">
        <f>indirect(address(835,35))+indirect(address(833,36))-indirect(address(834,36))</f>
        <v>0</v>
      </c>
      <c r="AK835">
        <f>indirect(address(835,36))+indirect(address(833,37))-indirect(address(834,37))</f>
        <v>0</v>
      </c>
      <c r="AL835">
        <f>indirect(address(835,37))+indirect(address(833,38))-indirect(address(834,38))</f>
        <v>0</v>
      </c>
      <c r="AM835">
        <f>indirect(address(835,38))+indirect(address(833,39))-indirect(address(834,39))</f>
        <v>0</v>
      </c>
      <c r="AN835">
        <f>indirect(address(835,39))+indirect(address(833,40))-indirect(address(834,40))</f>
        <v>0</v>
      </c>
      <c r="AO835">
        <f>indirect(address(835,40))</f>
        <v>0</v>
      </c>
    </row>
    <row r="836" spans="1:41">
      <c r="A836" t="s">
        <v>17</v>
      </c>
      <c r="B836" t="s">
        <v>852</v>
      </c>
      <c r="C836" t="s">
        <v>853</v>
      </c>
      <c r="E836">
        <v>1</v>
      </c>
      <c r="F836" t="s">
        <v>13</v>
      </c>
      <c r="I836" t="s">
        <v>15</v>
      </c>
      <c r="J836">
        <f>vlookup("906-471000-210",B:AZ,column(i1),0)*e836</f>
        <v>0</v>
      </c>
      <c r="K836">
        <f>vlookup("906-471000-210",B:AZ,column(j1),0)*e836</f>
        <v>0</v>
      </c>
      <c r="L836">
        <f>vlookup("906-471000-210",B:AZ,column(k1),0)*e836</f>
        <v>0</v>
      </c>
      <c r="M836">
        <f>vlookup("906-471000-210",B:AZ,column(l1),0)*e836</f>
        <v>0</v>
      </c>
      <c r="N836">
        <f>vlookup("906-471000-210",B:AZ,column(m1),0)*e836</f>
        <v>0</v>
      </c>
      <c r="O836">
        <f>vlookup("906-471000-210",B:AZ,column(n1),0)*e836</f>
        <v>0</v>
      </c>
      <c r="P836">
        <f>vlookup("906-471000-210",B:AZ,column(o1),0)*e836</f>
        <v>0</v>
      </c>
      <c r="Q836">
        <f>vlookup("906-471000-210",B:AZ,column(p1),0)*e836</f>
        <v>0</v>
      </c>
      <c r="R836">
        <f>vlookup("906-471000-210",B:AZ,column(q1),0)*e836</f>
        <v>0</v>
      </c>
      <c r="S836">
        <f>vlookup("906-471000-210",B:AZ,column(r1),0)*e836</f>
        <v>0</v>
      </c>
      <c r="T836">
        <f>vlookup("906-471000-210",B:AZ,column(s1),0)*e836</f>
        <v>0</v>
      </c>
      <c r="U836">
        <f>vlookup("906-471000-210",B:AZ,column(t1),0)*e836</f>
        <v>0</v>
      </c>
      <c r="V836">
        <f>vlookup("906-471000-210",B:AZ,column(u1),0)*e836</f>
        <v>0</v>
      </c>
      <c r="W836">
        <f>vlookup("906-471000-210",B:AZ,column(v1),0)*e836</f>
        <v>0</v>
      </c>
      <c r="X836">
        <f>vlookup("906-471000-210",B:AZ,column(w1),0)*e836</f>
        <v>0</v>
      </c>
      <c r="Y836">
        <f>vlookup("906-471000-210",B:AZ,column(x1),0)*e836</f>
        <v>0</v>
      </c>
      <c r="Z836">
        <f>vlookup("906-471000-210",B:AZ,column(y1),0)*e836</f>
        <v>0</v>
      </c>
      <c r="AA836">
        <f>vlookup("906-471000-210",B:AZ,column(z1),0)*e836</f>
        <v>0</v>
      </c>
      <c r="AB836">
        <f>vlookup("906-471000-210",B:AZ,column(aa1),0)*e836</f>
        <v>0</v>
      </c>
      <c r="AC836">
        <f>vlookup("906-471000-210",B:AZ,column(ab1),0)*e836</f>
        <v>0</v>
      </c>
      <c r="AD836">
        <f>vlookup("906-471000-210",B:AZ,column(ac1),0)*e836</f>
        <v>0</v>
      </c>
      <c r="AE836">
        <f>vlookup("906-471000-210",B:AZ,column(ad1),0)*e836</f>
        <v>0</v>
      </c>
      <c r="AF836">
        <f>vlookup("906-471000-210",B:AZ,column(ae1),0)*e836</f>
        <v>0</v>
      </c>
      <c r="AG836">
        <f>vlookup("906-471000-210",B:AZ,column(af1),0)*e836</f>
        <v>0</v>
      </c>
      <c r="AH836">
        <f>vlookup("906-471000-210",B:AZ,column(ag1),0)*e836</f>
        <v>0</v>
      </c>
      <c r="AI836">
        <f>vlookup("906-471000-210",B:AZ,column(ah1),0)*e836</f>
        <v>0</v>
      </c>
      <c r="AJ836">
        <f>vlookup("906-471000-210",B:AZ,column(ai1),0)*e836</f>
        <v>0</v>
      </c>
      <c r="AK836">
        <f>vlookup("906-471000-210",B:AZ,column(aj1),0)*e836</f>
        <v>0</v>
      </c>
      <c r="AL836">
        <f>vlookup("906-471000-210",B:AZ,column(ak1),0)*e836</f>
        <v>0</v>
      </c>
      <c r="AM836">
        <f>vlookup("906-471000-210",B:AZ,column(al1),0)*e836</f>
        <v>0</v>
      </c>
      <c r="AN836">
        <f>vlookup("906-471000-210",B:AZ,column(am1),0)*e836</f>
        <v>0</v>
      </c>
      <c r="AO836">
        <f>vlookup("906-471000-210",B:AZ,column(an1),0)*e836</f>
        <v>0</v>
      </c>
    </row>
    <row r="837" spans="1:41">
      <c r="A837" t="s">
        <v>17</v>
      </c>
      <c r="B837" t="s">
        <v>854</v>
      </c>
      <c r="C837" t="s">
        <v>855</v>
      </c>
      <c r="E837">
        <v>1</v>
      </c>
      <c r="F837" t="s">
        <v>13</v>
      </c>
      <c r="I837" t="s">
        <v>15</v>
      </c>
      <c r="J837">
        <f>vlookup("906-471000-210",B:AZ,column(i1),0)*e837</f>
        <v>0</v>
      </c>
      <c r="K837">
        <f>vlookup("906-471000-210",B:AZ,column(j1),0)*e837</f>
        <v>0</v>
      </c>
      <c r="L837">
        <f>vlookup("906-471000-210",B:AZ,column(k1),0)*e837</f>
        <v>0</v>
      </c>
      <c r="M837">
        <f>vlookup("906-471000-210",B:AZ,column(l1),0)*e837</f>
        <v>0</v>
      </c>
      <c r="N837">
        <f>vlookup("906-471000-210",B:AZ,column(m1),0)*e837</f>
        <v>0</v>
      </c>
      <c r="O837">
        <f>vlookup("906-471000-210",B:AZ,column(n1),0)*e837</f>
        <v>0</v>
      </c>
      <c r="P837">
        <f>vlookup("906-471000-210",B:AZ,column(o1),0)*e837</f>
        <v>0</v>
      </c>
      <c r="Q837">
        <f>vlookup("906-471000-210",B:AZ,column(p1),0)*e837</f>
        <v>0</v>
      </c>
      <c r="R837">
        <f>vlookup("906-471000-210",B:AZ,column(q1),0)*e837</f>
        <v>0</v>
      </c>
      <c r="S837">
        <f>vlookup("906-471000-210",B:AZ,column(r1),0)*e837</f>
        <v>0</v>
      </c>
      <c r="T837">
        <f>vlookup("906-471000-210",B:AZ,column(s1),0)*e837</f>
        <v>0</v>
      </c>
      <c r="U837">
        <f>vlookup("906-471000-210",B:AZ,column(t1),0)*e837</f>
        <v>0</v>
      </c>
      <c r="V837">
        <f>vlookup("906-471000-210",B:AZ,column(u1),0)*e837</f>
        <v>0</v>
      </c>
      <c r="W837">
        <f>vlookup("906-471000-210",B:AZ,column(v1),0)*e837</f>
        <v>0</v>
      </c>
      <c r="X837">
        <f>vlookup("906-471000-210",B:AZ,column(w1),0)*e837</f>
        <v>0</v>
      </c>
      <c r="Y837">
        <f>vlookup("906-471000-210",B:AZ,column(x1),0)*e837</f>
        <v>0</v>
      </c>
      <c r="Z837">
        <f>vlookup("906-471000-210",B:AZ,column(y1),0)*e837</f>
        <v>0</v>
      </c>
      <c r="AA837">
        <f>vlookup("906-471000-210",B:AZ,column(z1),0)*e837</f>
        <v>0</v>
      </c>
      <c r="AB837">
        <f>vlookup("906-471000-210",B:AZ,column(aa1),0)*e837</f>
        <v>0</v>
      </c>
      <c r="AC837">
        <f>vlookup("906-471000-210",B:AZ,column(ab1),0)*e837</f>
        <v>0</v>
      </c>
      <c r="AD837">
        <f>vlookup("906-471000-210",B:AZ,column(ac1),0)*e837</f>
        <v>0</v>
      </c>
      <c r="AE837">
        <f>vlookup("906-471000-210",B:AZ,column(ad1),0)*e837</f>
        <v>0</v>
      </c>
      <c r="AF837">
        <f>vlookup("906-471000-210",B:AZ,column(ae1),0)*e837</f>
        <v>0</v>
      </c>
      <c r="AG837">
        <f>vlookup("906-471000-210",B:AZ,column(af1),0)*e837</f>
        <v>0</v>
      </c>
      <c r="AH837">
        <f>vlookup("906-471000-210",B:AZ,column(ag1),0)*e837</f>
        <v>0</v>
      </c>
      <c r="AI837">
        <f>vlookup("906-471000-210",B:AZ,column(ah1),0)*e837</f>
        <v>0</v>
      </c>
      <c r="AJ837">
        <f>vlookup("906-471000-210",B:AZ,column(ai1),0)*e837</f>
        <v>0</v>
      </c>
      <c r="AK837">
        <f>vlookup("906-471000-210",B:AZ,column(aj1),0)*e837</f>
        <v>0</v>
      </c>
      <c r="AL837">
        <f>vlookup("906-471000-210",B:AZ,column(ak1),0)*e837</f>
        <v>0</v>
      </c>
      <c r="AM837">
        <f>vlookup("906-471000-210",B:AZ,column(al1),0)*e837</f>
        <v>0</v>
      </c>
      <c r="AN837">
        <f>vlookup("906-471000-210",B:AZ,column(am1),0)*e837</f>
        <v>0</v>
      </c>
      <c r="AO837">
        <f>vlookup("906-471000-210",B:AZ,column(an1),0)*e837</f>
        <v>0</v>
      </c>
    </row>
    <row r="838" spans="1:41">
      <c r="A838" t="s">
        <v>22</v>
      </c>
      <c r="B838" t="s">
        <v>856</v>
      </c>
      <c r="C838" t="s">
        <v>857</v>
      </c>
      <c r="E838">
        <v>1</v>
      </c>
      <c r="F838" t="s">
        <v>13</v>
      </c>
      <c r="I838" t="s">
        <v>15</v>
      </c>
      <c r="J838">
        <f>vlookup("906-471000-210",B:AZ,column(i1),0)*e838</f>
        <v>0</v>
      </c>
      <c r="K838">
        <f>vlookup("906-471000-210",B:AZ,column(j1),0)*e838</f>
        <v>0</v>
      </c>
      <c r="L838">
        <f>vlookup("906-471000-210",B:AZ,column(k1),0)*e838</f>
        <v>0</v>
      </c>
      <c r="M838">
        <f>vlookup("906-471000-210",B:AZ,column(l1),0)*e838</f>
        <v>0</v>
      </c>
      <c r="N838">
        <f>vlookup("906-471000-210",B:AZ,column(m1),0)*e838</f>
        <v>0</v>
      </c>
      <c r="O838">
        <f>vlookup("906-471000-210",B:AZ,column(n1),0)*e838</f>
        <v>0</v>
      </c>
      <c r="P838">
        <f>vlookup("906-471000-210",B:AZ,column(o1),0)*e838</f>
        <v>0</v>
      </c>
      <c r="Q838">
        <f>vlookup("906-471000-210",B:AZ,column(p1),0)*e838</f>
        <v>0</v>
      </c>
      <c r="R838">
        <f>vlookup("906-471000-210",B:AZ,column(q1),0)*e838</f>
        <v>0</v>
      </c>
      <c r="S838">
        <f>vlookup("906-471000-210",B:AZ,column(r1),0)*e838</f>
        <v>0</v>
      </c>
      <c r="T838">
        <f>vlookup("906-471000-210",B:AZ,column(s1),0)*e838</f>
        <v>0</v>
      </c>
      <c r="U838">
        <f>vlookup("906-471000-210",B:AZ,column(t1),0)*e838</f>
        <v>0</v>
      </c>
      <c r="V838">
        <f>vlookup("906-471000-210",B:AZ,column(u1),0)*e838</f>
        <v>0</v>
      </c>
      <c r="W838">
        <f>vlookup("906-471000-210",B:AZ,column(v1),0)*e838</f>
        <v>0</v>
      </c>
      <c r="X838">
        <f>vlookup("906-471000-210",B:AZ,column(w1),0)*e838</f>
        <v>0</v>
      </c>
      <c r="Y838">
        <f>vlookup("906-471000-210",B:AZ,column(x1),0)*e838</f>
        <v>0</v>
      </c>
      <c r="Z838">
        <f>vlookup("906-471000-210",B:AZ,column(y1),0)*e838</f>
        <v>0</v>
      </c>
      <c r="AA838">
        <f>vlookup("906-471000-210",B:AZ,column(z1),0)*e838</f>
        <v>0</v>
      </c>
      <c r="AB838">
        <f>vlookup("906-471000-210",B:AZ,column(aa1),0)*e838</f>
        <v>0</v>
      </c>
      <c r="AC838">
        <f>vlookup("906-471000-210",B:AZ,column(ab1),0)*e838</f>
        <v>0</v>
      </c>
      <c r="AD838">
        <f>vlookup("906-471000-210",B:AZ,column(ac1),0)*e838</f>
        <v>0</v>
      </c>
      <c r="AE838">
        <f>vlookup("906-471000-210",B:AZ,column(ad1),0)*e838</f>
        <v>0</v>
      </c>
      <c r="AF838">
        <f>vlookup("906-471000-210",B:AZ,column(ae1),0)*e838</f>
        <v>0</v>
      </c>
      <c r="AG838">
        <f>vlookup("906-471000-210",B:AZ,column(af1),0)*e838</f>
        <v>0</v>
      </c>
      <c r="AH838">
        <f>vlookup("906-471000-210",B:AZ,column(ag1),0)*e838</f>
        <v>0</v>
      </c>
      <c r="AI838">
        <f>vlookup("906-471000-210",B:AZ,column(ah1),0)*e838</f>
        <v>0</v>
      </c>
      <c r="AJ838">
        <f>vlookup("906-471000-210",B:AZ,column(ai1),0)*e838</f>
        <v>0</v>
      </c>
      <c r="AK838">
        <f>vlookup("906-471000-210",B:AZ,column(aj1),0)*e838</f>
        <v>0</v>
      </c>
      <c r="AL838">
        <f>vlookup("906-471000-210",B:AZ,column(ak1),0)*e838</f>
        <v>0</v>
      </c>
      <c r="AM838">
        <f>vlookup("906-471000-210",B:AZ,column(al1),0)*e838</f>
        <v>0</v>
      </c>
      <c r="AN838">
        <f>vlookup("906-471000-210",B:AZ,column(am1),0)*e838</f>
        <v>0</v>
      </c>
      <c r="AO838">
        <f>vlookup("906-471000-210",B:AZ,column(an1),0)*e838</f>
        <v>0</v>
      </c>
    </row>
    <row r="839" spans="1:41">
      <c r="A839" t="s">
        <v>10</v>
      </c>
      <c r="B839" t="s">
        <v>849</v>
      </c>
      <c r="C839" t="s">
        <v>850</v>
      </c>
      <c r="E839" t="s">
        <v>851</v>
      </c>
      <c r="F839" t="s">
        <v>13</v>
      </c>
      <c r="I839" t="s">
        <v>14</v>
      </c>
      <c r="AO839">
        <f>sum(j839:an839)</f>
        <v>0</v>
      </c>
    </row>
    <row r="840" spans="1:41">
      <c r="I840" t="s">
        <v>15</v>
      </c>
      <c r="J840">
        <f>vlookup("906-471000-210",Out!B:AZ,column(i1),0)</f>
        <v>0</v>
      </c>
      <c r="K840">
        <f>vlookup("906-471000-210",Out!B:AZ,column(j1),0)</f>
        <v>0</v>
      </c>
      <c r="L840">
        <f>vlookup("906-471000-210",Out!B:AZ,column(k1),0)</f>
        <v>0</v>
      </c>
      <c r="M840">
        <f>vlookup("906-471000-210",Out!B:AZ,column(l1),0)</f>
        <v>0</v>
      </c>
      <c r="N840">
        <f>vlookup("906-471000-210",Out!B:AZ,column(m1),0)</f>
        <v>0</v>
      </c>
      <c r="O840">
        <f>vlookup("906-471000-210",Out!B:AZ,column(n1),0)</f>
        <v>0</v>
      </c>
      <c r="P840">
        <f>vlookup("906-471000-210",Out!B:AZ,column(o1),0)</f>
        <v>0</v>
      </c>
      <c r="Q840">
        <f>vlookup("906-471000-210",Out!B:AZ,column(p1),0)</f>
        <v>0</v>
      </c>
      <c r="R840">
        <f>vlookup("906-471000-210",Out!B:AZ,column(q1),0)</f>
        <v>0</v>
      </c>
      <c r="S840">
        <f>vlookup("906-471000-210",Out!B:AZ,column(r1),0)</f>
        <v>0</v>
      </c>
      <c r="T840">
        <f>vlookup("906-471000-210",Out!B:AZ,column(s1),0)</f>
        <v>0</v>
      </c>
      <c r="U840">
        <f>vlookup("906-471000-210",Out!B:AZ,column(t1),0)</f>
        <v>0</v>
      </c>
      <c r="V840">
        <f>vlookup("906-471000-210",Out!B:AZ,column(u1),0)</f>
        <v>0</v>
      </c>
      <c r="W840">
        <f>vlookup("906-471000-210",Out!B:AZ,column(v1),0)</f>
        <v>0</v>
      </c>
      <c r="X840">
        <f>vlookup("906-471000-210",Out!B:AZ,column(w1),0)</f>
        <v>0</v>
      </c>
      <c r="Y840">
        <f>vlookup("906-471000-210",Out!B:AZ,column(x1),0)</f>
        <v>0</v>
      </c>
      <c r="Z840">
        <f>vlookup("906-471000-210",Out!B:AZ,column(y1),0)</f>
        <v>0</v>
      </c>
      <c r="AA840">
        <f>vlookup("906-471000-210",Out!B:AZ,column(z1),0)</f>
        <v>0</v>
      </c>
      <c r="AB840">
        <f>vlookup("906-471000-210",Out!B:AZ,column(aa1),0)</f>
        <v>0</v>
      </c>
      <c r="AC840">
        <f>vlookup("906-471000-210",Out!B:AZ,column(ab1),0)</f>
        <v>0</v>
      </c>
      <c r="AD840">
        <f>vlookup("906-471000-210",Out!B:AZ,column(ac1),0)</f>
        <v>0</v>
      </c>
      <c r="AE840">
        <f>vlookup("906-471000-210",Out!B:AZ,column(ad1),0)</f>
        <v>0</v>
      </c>
      <c r="AF840">
        <f>vlookup("906-471000-210",Out!B:AZ,column(ae1),0)</f>
        <v>0</v>
      </c>
      <c r="AG840">
        <f>vlookup("906-471000-210",Out!B:AZ,column(af1),0)</f>
        <v>0</v>
      </c>
      <c r="AH840">
        <f>vlookup("906-471000-210",Out!B:AZ,column(ag1),0)</f>
        <v>0</v>
      </c>
      <c r="AI840">
        <f>vlookup("906-471000-210",Out!B:AZ,column(ah1),0)</f>
        <v>0</v>
      </c>
      <c r="AJ840">
        <f>vlookup("906-471000-210",Out!B:AZ,column(ai1),0)</f>
        <v>0</v>
      </c>
      <c r="AK840">
        <f>vlookup("906-471000-210",Out!B:AZ,column(aj1),0)</f>
        <v>0</v>
      </c>
      <c r="AL840">
        <f>vlookup("906-471000-210",Out!B:AZ,column(ak1),0)</f>
        <v>0</v>
      </c>
      <c r="AM840">
        <f>vlookup("906-471000-210",Out!B:AZ,column(al1),0)</f>
        <v>0</v>
      </c>
      <c r="AN840">
        <f>vlookup("906-471000-210",Out!B:AZ,column(am1),0)</f>
        <v>0</v>
      </c>
      <c r="AO840">
        <f>vlookup("906-471000-210",Out!B:AZ,column(an1),0)</f>
        <v>0</v>
      </c>
    </row>
    <row r="841" spans="1:41">
      <c r="H841" t="s">
        <v>16</v>
      </c>
      <c r="J841">
        <f>indirect(address(841,9))+indirect(address(839,10))-indirect(address(840,10))</f>
        <v>0</v>
      </c>
      <c r="K841">
        <f>indirect(address(841,10))+indirect(address(839,11))-indirect(address(840,11))</f>
        <v>0</v>
      </c>
      <c r="L841">
        <f>indirect(address(841,11))+indirect(address(839,12))-indirect(address(840,12))</f>
        <v>0</v>
      </c>
      <c r="M841">
        <f>indirect(address(841,12))+indirect(address(839,13))-indirect(address(840,13))</f>
        <v>0</v>
      </c>
      <c r="N841">
        <f>indirect(address(841,13))+indirect(address(839,14))-indirect(address(840,14))</f>
        <v>0</v>
      </c>
      <c r="O841">
        <f>indirect(address(841,14))+indirect(address(839,15))-indirect(address(840,15))</f>
        <v>0</v>
      </c>
      <c r="P841">
        <f>indirect(address(841,15))+indirect(address(839,16))-indirect(address(840,16))</f>
        <v>0</v>
      </c>
      <c r="Q841">
        <f>indirect(address(841,16))+indirect(address(839,17))-indirect(address(840,17))</f>
        <v>0</v>
      </c>
      <c r="R841">
        <f>indirect(address(841,17))+indirect(address(839,18))-indirect(address(840,18))</f>
        <v>0</v>
      </c>
      <c r="S841">
        <f>indirect(address(841,18))+indirect(address(839,19))-indirect(address(840,19))</f>
        <v>0</v>
      </c>
      <c r="T841">
        <f>indirect(address(841,19))+indirect(address(839,20))-indirect(address(840,20))</f>
        <v>0</v>
      </c>
      <c r="U841">
        <f>indirect(address(841,20))+indirect(address(839,21))-indirect(address(840,21))</f>
        <v>0</v>
      </c>
      <c r="V841">
        <f>indirect(address(841,21))+indirect(address(839,22))-indirect(address(840,22))</f>
        <v>0</v>
      </c>
      <c r="W841">
        <f>indirect(address(841,22))+indirect(address(839,23))-indirect(address(840,23))</f>
        <v>0</v>
      </c>
      <c r="X841">
        <f>indirect(address(841,23))+indirect(address(839,24))-indirect(address(840,24))</f>
        <v>0</v>
      </c>
      <c r="Y841">
        <f>indirect(address(841,24))+indirect(address(839,25))-indirect(address(840,25))</f>
        <v>0</v>
      </c>
      <c r="Z841">
        <f>indirect(address(841,25))+indirect(address(839,26))-indirect(address(840,26))</f>
        <v>0</v>
      </c>
      <c r="AA841">
        <f>indirect(address(841,26))+indirect(address(839,27))-indirect(address(840,27))</f>
        <v>0</v>
      </c>
      <c r="AB841">
        <f>indirect(address(841,27))+indirect(address(839,28))-indirect(address(840,28))</f>
        <v>0</v>
      </c>
      <c r="AC841">
        <f>indirect(address(841,28))+indirect(address(839,29))-indirect(address(840,29))</f>
        <v>0</v>
      </c>
      <c r="AD841">
        <f>indirect(address(841,29))+indirect(address(839,30))-indirect(address(840,30))</f>
        <v>0</v>
      </c>
      <c r="AE841">
        <f>indirect(address(841,30))+indirect(address(839,31))-indirect(address(840,31))</f>
        <v>0</v>
      </c>
      <c r="AF841">
        <f>indirect(address(841,31))+indirect(address(839,32))-indirect(address(840,32))</f>
        <v>0</v>
      </c>
      <c r="AG841">
        <f>indirect(address(841,32))+indirect(address(839,33))-indirect(address(840,33))</f>
        <v>0</v>
      </c>
      <c r="AH841">
        <f>indirect(address(841,33))+indirect(address(839,34))-indirect(address(840,34))</f>
        <v>0</v>
      </c>
      <c r="AI841">
        <f>indirect(address(841,34))+indirect(address(839,35))-indirect(address(840,35))</f>
        <v>0</v>
      </c>
      <c r="AJ841">
        <f>indirect(address(841,35))+indirect(address(839,36))-indirect(address(840,36))</f>
        <v>0</v>
      </c>
      <c r="AK841">
        <f>indirect(address(841,36))+indirect(address(839,37))-indirect(address(840,37))</f>
        <v>0</v>
      </c>
      <c r="AL841">
        <f>indirect(address(841,37))+indirect(address(839,38))-indirect(address(840,38))</f>
        <v>0</v>
      </c>
      <c r="AM841">
        <f>indirect(address(841,38))+indirect(address(839,39))-indirect(address(840,39))</f>
        <v>0</v>
      </c>
      <c r="AN841">
        <f>indirect(address(841,39))+indirect(address(839,40))-indirect(address(840,40))</f>
        <v>0</v>
      </c>
      <c r="AO841">
        <f>indirect(address(841,40))</f>
        <v>0</v>
      </c>
    </row>
    <row r="842" spans="1:41">
      <c r="A842" t="s">
        <v>17</v>
      </c>
      <c r="B842" t="s">
        <v>852</v>
      </c>
      <c r="C842" t="s">
        <v>853</v>
      </c>
      <c r="E842">
        <v>1</v>
      </c>
      <c r="F842" t="s">
        <v>13</v>
      </c>
      <c r="I842" t="s">
        <v>15</v>
      </c>
      <c r="J842">
        <f>vlookup("906-471000-210",B:AZ,column(i1),0)*e842</f>
        <v>0</v>
      </c>
      <c r="K842">
        <f>vlookup("906-471000-210",B:AZ,column(j1),0)*e842</f>
        <v>0</v>
      </c>
      <c r="L842">
        <f>vlookup("906-471000-210",B:AZ,column(k1),0)*e842</f>
        <v>0</v>
      </c>
      <c r="M842">
        <f>vlookup("906-471000-210",B:AZ,column(l1),0)*e842</f>
        <v>0</v>
      </c>
      <c r="N842">
        <f>vlookup("906-471000-210",B:AZ,column(m1),0)*e842</f>
        <v>0</v>
      </c>
      <c r="O842">
        <f>vlookup("906-471000-210",B:AZ,column(n1),0)*e842</f>
        <v>0</v>
      </c>
      <c r="P842">
        <f>vlookup("906-471000-210",B:AZ,column(o1),0)*e842</f>
        <v>0</v>
      </c>
      <c r="Q842">
        <f>vlookup("906-471000-210",B:AZ,column(p1),0)*e842</f>
        <v>0</v>
      </c>
      <c r="R842">
        <f>vlookup("906-471000-210",B:AZ,column(q1),0)*e842</f>
        <v>0</v>
      </c>
      <c r="S842">
        <f>vlookup("906-471000-210",B:AZ,column(r1),0)*e842</f>
        <v>0</v>
      </c>
      <c r="T842">
        <f>vlookup("906-471000-210",B:AZ,column(s1),0)*e842</f>
        <v>0</v>
      </c>
      <c r="U842">
        <f>vlookup("906-471000-210",B:AZ,column(t1),0)*e842</f>
        <v>0</v>
      </c>
      <c r="V842">
        <f>vlookup("906-471000-210",B:AZ,column(u1),0)*e842</f>
        <v>0</v>
      </c>
      <c r="W842">
        <f>vlookup("906-471000-210",B:AZ,column(v1),0)*e842</f>
        <v>0</v>
      </c>
      <c r="X842">
        <f>vlookup("906-471000-210",B:AZ,column(w1),0)*e842</f>
        <v>0</v>
      </c>
      <c r="Y842">
        <f>vlookup("906-471000-210",B:AZ,column(x1),0)*e842</f>
        <v>0</v>
      </c>
      <c r="Z842">
        <f>vlookup("906-471000-210",B:AZ,column(y1),0)*e842</f>
        <v>0</v>
      </c>
      <c r="AA842">
        <f>vlookup("906-471000-210",B:AZ,column(z1),0)*e842</f>
        <v>0</v>
      </c>
      <c r="AB842">
        <f>vlookup("906-471000-210",B:AZ,column(aa1),0)*e842</f>
        <v>0</v>
      </c>
      <c r="AC842">
        <f>vlookup("906-471000-210",B:AZ,column(ab1),0)*e842</f>
        <v>0</v>
      </c>
      <c r="AD842">
        <f>vlookup("906-471000-210",B:AZ,column(ac1),0)*e842</f>
        <v>0</v>
      </c>
      <c r="AE842">
        <f>vlookup("906-471000-210",B:AZ,column(ad1),0)*e842</f>
        <v>0</v>
      </c>
      <c r="AF842">
        <f>vlookup("906-471000-210",B:AZ,column(ae1),0)*e842</f>
        <v>0</v>
      </c>
      <c r="AG842">
        <f>vlookup("906-471000-210",B:AZ,column(af1),0)*e842</f>
        <v>0</v>
      </c>
      <c r="AH842">
        <f>vlookup("906-471000-210",B:AZ,column(ag1),0)*e842</f>
        <v>0</v>
      </c>
      <c r="AI842">
        <f>vlookup("906-471000-210",B:AZ,column(ah1),0)*e842</f>
        <v>0</v>
      </c>
      <c r="AJ842">
        <f>vlookup("906-471000-210",B:AZ,column(ai1),0)*e842</f>
        <v>0</v>
      </c>
      <c r="AK842">
        <f>vlookup("906-471000-210",B:AZ,column(aj1),0)*e842</f>
        <v>0</v>
      </c>
      <c r="AL842">
        <f>vlookup("906-471000-210",B:AZ,column(ak1),0)*e842</f>
        <v>0</v>
      </c>
      <c r="AM842">
        <f>vlookup("906-471000-210",B:AZ,column(al1),0)*e842</f>
        <v>0</v>
      </c>
      <c r="AN842">
        <f>vlookup("906-471000-210",B:AZ,column(am1),0)*e842</f>
        <v>0</v>
      </c>
      <c r="AO842">
        <f>vlookup("906-471000-210",B:AZ,column(an1),0)*e842</f>
        <v>0</v>
      </c>
    </row>
    <row r="843" spans="1:41">
      <c r="A843" t="s">
        <v>17</v>
      </c>
      <c r="B843" t="s">
        <v>854</v>
      </c>
      <c r="C843" t="s">
        <v>855</v>
      </c>
      <c r="E843">
        <v>1</v>
      </c>
      <c r="F843" t="s">
        <v>13</v>
      </c>
      <c r="I843" t="s">
        <v>15</v>
      </c>
      <c r="J843">
        <f>vlookup("906-471000-210",B:AZ,column(i1),0)*e843</f>
        <v>0</v>
      </c>
      <c r="K843">
        <f>vlookup("906-471000-210",B:AZ,column(j1),0)*e843</f>
        <v>0</v>
      </c>
      <c r="L843">
        <f>vlookup("906-471000-210",B:AZ,column(k1),0)*e843</f>
        <v>0</v>
      </c>
      <c r="M843">
        <f>vlookup("906-471000-210",B:AZ,column(l1),0)*e843</f>
        <v>0</v>
      </c>
      <c r="N843">
        <f>vlookup("906-471000-210",B:AZ,column(m1),0)*e843</f>
        <v>0</v>
      </c>
      <c r="O843">
        <f>vlookup("906-471000-210",B:AZ,column(n1),0)*e843</f>
        <v>0</v>
      </c>
      <c r="P843">
        <f>vlookup("906-471000-210",B:AZ,column(o1),0)*e843</f>
        <v>0</v>
      </c>
      <c r="Q843">
        <f>vlookup("906-471000-210",B:AZ,column(p1),0)*e843</f>
        <v>0</v>
      </c>
      <c r="R843">
        <f>vlookup("906-471000-210",B:AZ,column(q1),0)*e843</f>
        <v>0</v>
      </c>
      <c r="S843">
        <f>vlookup("906-471000-210",B:AZ,column(r1),0)*e843</f>
        <v>0</v>
      </c>
      <c r="T843">
        <f>vlookup("906-471000-210",B:AZ,column(s1),0)*e843</f>
        <v>0</v>
      </c>
      <c r="U843">
        <f>vlookup("906-471000-210",B:AZ,column(t1),0)*e843</f>
        <v>0</v>
      </c>
      <c r="V843">
        <f>vlookup("906-471000-210",B:AZ,column(u1),0)*e843</f>
        <v>0</v>
      </c>
      <c r="W843">
        <f>vlookup("906-471000-210",B:AZ,column(v1),0)*e843</f>
        <v>0</v>
      </c>
      <c r="X843">
        <f>vlookup("906-471000-210",B:AZ,column(w1),0)*e843</f>
        <v>0</v>
      </c>
      <c r="Y843">
        <f>vlookup("906-471000-210",B:AZ,column(x1),0)*e843</f>
        <v>0</v>
      </c>
      <c r="Z843">
        <f>vlookup("906-471000-210",B:AZ,column(y1),0)*e843</f>
        <v>0</v>
      </c>
      <c r="AA843">
        <f>vlookup("906-471000-210",B:AZ,column(z1),0)*e843</f>
        <v>0</v>
      </c>
      <c r="AB843">
        <f>vlookup("906-471000-210",B:AZ,column(aa1),0)*e843</f>
        <v>0</v>
      </c>
      <c r="AC843">
        <f>vlookup("906-471000-210",B:AZ,column(ab1),0)*e843</f>
        <v>0</v>
      </c>
      <c r="AD843">
        <f>vlookup("906-471000-210",B:AZ,column(ac1),0)*e843</f>
        <v>0</v>
      </c>
      <c r="AE843">
        <f>vlookup("906-471000-210",B:AZ,column(ad1),0)*e843</f>
        <v>0</v>
      </c>
      <c r="AF843">
        <f>vlookup("906-471000-210",B:AZ,column(ae1),0)*e843</f>
        <v>0</v>
      </c>
      <c r="AG843">
        <f>vlookup("906-471000-210",B:AZ,column(af1),0)*e843</f>
        <v>0</v>
      </c>
      <c r="AH843">
        <f>vlookup("906-471000-210",B:AZ,column(ag1),0)*e843</f>
        <v>0</v>
      </c>
      <c r="AI843">
        <f>vlookup("906-471000-210",B:AZ,column(ah1),0)*e843</f>
        <v>0</v>
      </c>
      <c r="AJ843">
        <f>vlookup("906-471000-210",B:AZ,column(ai1),0)*e843</f>
        <v>0</v>
      </c>
      <c r="AK843">
        <f>vlookup("906-471000-210",B:AZ,column(aj1),0)*e843</f>
        <v>0</v>
      </c>
      <c r="AL843">
        <f>vlookup("906-471000-210",B:AZ,column(ak1),0)*e843</f>
        <v>0</v>
      </c>
      <c r="AM843">
        <f>vlookup("906-471000-210",B:AZ,column(al1),0)*e843</f>
        <v>0</v>
      </c>
      <c r="AN843">
        <f>vlookup("906-471000-210",B:AZ,column(am1),0)*e843</f>
        <v>0</v>
      </c>
      <c r="AO843">
        <f>vlookup("906-471000-210",B:AZ,column(an1),0)*e843</f>
        <v>0</v>
      </c>
    </row>
    <row r="844" spans="1:41">
      <c r="A844" t="s">
        <v>22</v>
      </c>
      <c r="B844" t="s">
        <v>856</v>
      </c>
      <c r="C844" t="s">
        <v>857</v>
      </c>
      <c r="E844">
        <v>1</v>
      </c>
      <c r="F844" t="s">
        <v>13</v>
      </c>
      <c r="I844" t="s">
        <v>15</v>
      </c>
      <c r="J844">
        <f>vlookup("906-471000-210",B:AZ,column(i1),0)*e844</f>
        <v>0</v>
      </c>
      <c r="K844">
        <f>vlookup("906-471000-210",B:AZ,column(j1),0)*e844</f>
        <v>0</v>
      </c>
      <c r="L844">
        <f>vlookup("906-471000-210",B:AZ,column(k1),0)*e844</f>
        <v>0</v>
      </c>
      <c r="M844">
        <f>vlookup("906-471000-210",B:AZ,column(l1),0)*e844</f>
        <v>0</v>
      </c>
      <c r="N844">
        <f>vlookup("906-471000-210",B:AZ,column(m1),0)*e844</f>
        <v>0</v>
      </c>
      <c r="O844">
        <f>vlookup("906-471000-210",B:AZ,column(n1),0)*e844</f>
        <v>0</v>
      </c>
      <c r="P844">
        <f>vlookup("906-471000-210",B:AZ,column(o1),0)*e844</f>
        <v>0</v>
      </c>
      <c r="Q844">
        <f>vlookup("906-471000-210",B:AZ,column(p1),0)*e844</f>
        <v>0</v>
      </c>
      <c r="R844">
        <f>vlookup("906-471000-210",B:AZ,column(q1),0)*e844</f>
        <v>0</v>
      </c>
      <c r="S844">
        <f>vlookup("906-471000-210",B:AZ,column(r1),0)*e844</f>
        <v>0</v>
      </c>
      <c r="T844">
        <f>vlookup("906-471000-210",B:AZ,column(s1),0)*e844</f>
        <v>0</v>
      </c>
      <c r="U844">
        <f>vlookup("906-471000-210",B:AZ,column(t1),0)*e844</f>
        <v>0</v>
      </c>
      <c r="V844">
        <f>vlookup("906-471000-210",B:AZ,column(u1),0)*e844</f>
        <v>0</v>
      </c>
      <c r="W844">
        <f>vlookup("906-471000-210",B:AZ,column(v1),0)*e844</f>
        <v>0</v>
      </c>
      <c r="X844">
        <f>vlookup("906-471000-210",B:AZ,column(w1),0)*e844</f>
        <v>0</v>
      </c>
      <c r="Y844">
        <f>vlookup("906-471000-210",B:AZ,column(x1),0)*e844</f>
        <v>0</v>
      </c>
      <c r="Z844">
        <f>vlookup("906-471000-210",B:AZ,column(y1),0)*e844</f>
        <v>0</v>
      </c>
      <c r="AA844">
        <f>vlookup("906-471000-210",B:AZ,column(z1),0)*e844</f>
        <v>0</v>
      </c>
      <c r="AB844">
        <f>vlookup("906-471000-210",B:AZ,column(aa1),0)*e844</f>
        <v>0</v>
      </c>
      <c r="AC844">
        <f>vlookup("906-471000-210",B:AZ,column(ab1),0)*e844</f>
        <v>0</v>
      </c>
      <c r="AD844">
        <f>vlookup("906-471000-210",B:AZ,column(ac1),0)*e844</f>
        <v>0</v>
      </c>
      <c r="AE844">
        <f>vlookup("906-471000-210",B:AZ,column(ad1),0)*e844</f>
        <v>0</v>
      </c>
      <c r="AF844">
        <f>vlookup("906-471000-210",B:AZ,column(ae1),0)*e844</f>
        <v>0</v>
      </c>
      <c r="AG844">
        <f>vlookup("906-471000-210",B:AZ,column(af1),0)*e844</f>
        <v>0</v>
      </c>
      <c r="AH844">
        <f>vlookup("906-471000-210",B:AZ,column(ag1),0)*e844</f>
        <v>0</v>
      </c>
      <c r="AI844">
        <f>vlookup("906-471000-210",B:AZ,column(ah1),0)*e844</f>
        <v>0</v>
      </c>
      <c r="AJ844">
        <f>vlookup("906-471000-210",B:AZ,column(ai1),0)*e844</f>
        <v>0</v>
      </c>
      <c r="AK844">
        <f>vlookup("906-471000-210",B:AZ,column(aj1),0)*e844</f>
        <v>0</v>
      </c>
      <c r="AL844">
        <f>vlookup("906-471000-210",B:AZ,column(ak1),0)*e844</f>
        <v>0</v>
      </c>
      <c r="AM844">
        <f>vlookup("906-471000-210",B:AZ,column(al1),0)*e844</f>
        <v>0</v>
      </c>
      <c r="AN844">
        <f>vlookup("906-471000-210",B:AZ,column(am1),0)*e844</f>
        <v>0</v>
      </c>
      <c r="AO844">
        <f>vlookup("906-471000-210",B:AZ,column(an1),0)*e844</f>
        <v>0</v>
      </c>
    </row>
    <row r="845" spans="1:41">
      <c r="A845" t="s">
        <v>10</v>
      </c>
      <c r="B845" t="s">
        <v>856</v>
      </c>
      <c r="C845" t="s">
        <v>858</v>
      </c>
      <c r="E845">
        <v>1</v>
      </c>
      <c r="F845" t="s">
        <v>13</v>
      </c>
      <c r="I845" t="s">
        <v>14</v>
      </c>
      <c r="AO845">
        <f>sum(j845:an845)</f>
        <v>0</v>
      </c>
    </row>
    <row r="846" spans="1:41">
      <c r="I846" t="s">
        <v>15</v>
      </c>
      <c r="J846">
        <f>vlookup("271-000800-000",Out!B:AZ,column(i1),0)</f>
        <v>0</v>
      </c>
      <c r="K846">
        <f>vlookup("271-000800-000",Out!B:AZ,column(j1),0)</f>
        <v>0</v>
      </c>
      <c r="L846">
        <f>vlookup("271-000800-000",Out!B:AZ,column(k1),0)</f>
        <v>0</v>
      </c>
      <c r="M846">
        <f>vlookup("271-000800-000",Out!B:AZ,column(l1),0)</f>
        <v>0</v>
      </c>
      <c r="N846">
        <f>vlookup("271-000800-000",Out!B:AZ,column(m1),0)</f>
        <v>0</v>
      </c>
      <c r="O846">
        <f>vlookup("271-000800-000",Out!B:AZ,column(n1),0)</f>
        <v>0</v>
      </c>
      <c r="P846">
        <f>vlookup("271-000800-000",Out!B:AZ,column(o1),0)</f>
        <v>0</v>
      </c>
      <c r="Q846">
        <f>vlookup("271-000800-000",Out!B:AZ,column(p1),0)</f>
        <v>0</v>
      </c>
      <c r="R846">
        <f>vlookup("271-000800-000",Out!B:AZ,column(q1),0)</f>
        <v>0</v>
      </c>
      <c r="S846">
        <f>vlookup("271-000800-000",Out!B:AZ,column(r1),0)</f>
        <v>0</v>
      </c>
      <c r="T846">
        <f>vlookup("271-000800-000",Out!B:AZ,column(s1),0)</f>
        <v>0</v>
      </c>
      <c r="U846">
        <f>vlookup("271-000800-000",Out!B:AZ,column(t1),0)</f>
        <v>0</v>
      </c>
      <c r="V846">
        <f>vlookup("271-000800-000",Out!B:AZ,column(u1),0)</f>
        <v>0</v>
      </c>
      <c r="W846">
        <f>vlookup("271-000800-000",Out!B:AZ,column(v1),0)</f>
        <v>0</v>
      </c>
      <c r="X846">
        <f>vlookup("271-000800-000",Out!B:AZ,column(w1),0)</f>
        <v>0</v>
      </c>
      <c r="Y846">
        <f>vlookup("271-000800-000",Out!B:AZ,column(x1),0)</f>
        <v>0</v>
      </c>
      <c r="Z846">
        <f>vlookup("271-000800-000",Out!B:AZ,column(y1),0)</f>
        <v>0</v>
      </c>
      <c r="AA846">
        <f>vlookup("271-000800-000",Out!B:AZ,column(z1),0)</f>
        <v>0</v>
      </c>
      <c r="AB846">
        <f>vlookup("271-000800-000",Out!B:AZ,column(aa1),0)</f>
        <v>0</v>
      </c>
      <c r="AC846">
        <f>vlookup("271-000800-000",Out!B:AZ,column(ab1),0)</f>
        <v>0</v>
      </c>
      <c r="AD846">
        <f>vlookup("271-000800-000",Out!B:AZ,column(ac1),0)</f>
        <v>0</v>
      </c>
      <c r="AE846">
        <f>vlookup("271-000800-000",Out!B:AZ,column(ad1),0)</f>
        <v>0</v>
      </c>
      <c r="AF846">
        <f>vlookup("271-000800-000",Out!B:AZ,column(ae1),0)</f>
        <v>0</v>
      </c>
      <c r="AG846">
        <f>vlookup("271-000800-000",Out!B:AZ,column(af1),0)</f>
        <v>0</v>
      </c>
      <c r="AH846">
        <f>vlookup("271-000800-000",Out!B:AZ,column(ag1),0)</f>
        <v>0</v>
      </c>
      <c r="AI846">
        <f>vlookup("271-000800-000",Out!B:AZ,column(ah1),0)</f>
        <v>0</v>
      </c>
      <c r="AJ846">
        <f>vlookup("271-000800-000",Out!B:AZ,column(ai1),0)</f>
        <v>0</v>
      </c>
      <c r="AK846">
        <f>vlookup("271-000800-000",Out!B:AZ,column(aj1),0)</f>
        <v>0</v>
      </c>
      <c r="AL846">
        <f>vlookup("271-000800-000",Out!B:AZ,column(ak1),0)</f>
        <v>0</v>
      </c>
      <c r="AM846">
        <f>vlookup("271-000800-000",Out!B:AZ,column(al1),0)</f>
        <v>0</v>
      </c>
      <c r="AN846">
        <f>vlookup("271-000800-000",Out!B:AZ,column(am1),0)</f>
        <v>0</v>
      </c>
      <c r="AO846">
        <f>vlookup("271-000800-000",Out!B:AZ,column(an1),0)</f>
        <v>0</v>
      </c>
    </row>
    <row r="847" spans="1:41">
      <c r="H847" t="s">
        <v>16</v>
      </c>
      <c r="J847">
        <f>indirect(address(847,9))+indirect(address(845,10))-indirect(address(846,10))</f>
        <v>0</v>
      </c>
      <c r="K847">
        <f>indirect(address(847,10))+indirect(address(845,11))-indirect(address(846,11))</f>
        <v>0</v>
      </c>
      <c r="L847">
        <f>indirect(address(847,11))+indirect(address(845,12))-indirect(address(846,12))</f>
        <v>0</v>
      </c>
      <c r="M847">
        <f>indirect(address(847,12))+indirect(address(845,13))-indirect(address(846,13))</f>
        <v>0</v>
      </c>
      <c r="N847">
        <f>indirect(address(847,13))+indirect(address(845,14))-indirect(address(846,14))</f>
        <v>0</v>
      </c>
      <c r="O847">
        <f>indirect(address(847,14))+indirect(address(845,15))-indirect(address(846,15))</f>
        <v>0</v>
      </c>
      <c r="P847">
        <f>indirect(address(847,15))+indirect(address(845,16))-indirect(address(846,16))</f>
        <v>0</v>
      </c>
      <c r="Q847">
        <f>indirect(address(847,16))+indirect(address(845,17))-indirect(address(846,17))</f>
        <v>0</v>
      </c>
      <c r="R847">
        <f>indirect(address(847,17))+indirect(address(845,18))-indirect(address(846,18))</f>
        <v>0</v>
      </c>
      <c r="S847">
        <f>indirect(address(847,18))+indirect(address(845,19))-indirect(address(846,19))</f>
        <v>0</v>
      </c>
      <c r="T847">
        <f>indirect(address(847,19))+indirect(address(845,20))-indirect(address(846,20))</f>
        <v>0</v>
      </c>
      <c r="U847">
        <f>indirect(address(847,20))+indirect(address(845,21))-indirect(address(846,21))</f>
        <v>0</v>
      </c>
      <c r="V847">
        <f>indirect(address(847,21))+indirect(address(845,22))-indirect(address(846,22))</f>
        <v>0</v>
      </c>
      <c r="W847">
        <f>indirect(address(847,22))+indirect(address(845,23))-indirect(address(846,23))</f>
        <v>0</v>
      </c>
      <c r="X847">
        <f>indirect(address(847,23))+indirect(address(845,24))-indirect(address(846,24))</f>
        <v>0</v>
      </c>
      <c r="Y847">
        <f>indirect(address(847,24))+indirect(address(845,25))-indirect(address(846,25))</f>
        <v>0</v>
      </c>
      <c r="Z847">
        <f>indirect(address(847,25))+indirect(address(845,26))-indirect(address(846,26))</f>
        <v>0</v>
      </c>
      <c r="AA847">
        <f>indirect(address(847,26))+indirect(address(845,27))-indirect(address(846,27))</f>
        <v>0</v>
      </c>
      <c r="AB847">
        <f>indirect(address(847,27))+indirect(address(845,28))-indirect(address(846,28))</f>
        <v>0</v>
      </c>
      <c r="AC847">
        <f>indirect(address(847,28))+indirect(address(845,29))-indirect(address(846,29))</f>
        <v>0</v>
      </c>
      <c r="AD847">
        <f>indirect(address(847,29))+indirect(address(845,30))-indirect(address(846,30))</f>
        <v>0</v>
      </c>
      <c r="AE847">
        <f>indirect(address(847,30))+indirect(address(845,31))-indirect(address(846,31))</f>
        <v>0</v>
      </c>
      <c r="AF847">
        <f>indirect(address(847,31))+indirect(address(845,32))-indirect(address(846,32))</f>
        <v>0</v>
      </c>
      <c r="AG847">
        <f>indirect(address(847,32))+indirect(address(845,33))-indirect(address(846,33))</f>
        <v>0</v>
      </c>
      <c r="AH847">
        <f>indirect(address(847,33))+indirect(address(845,34))-indirect(address(846,34))</f>
        <v>0</v>
      </c>
      <c r="AI847">
        <f>indirect(address(847,34))+indirect(address(845,35))-indirect(address(846,35))</f>
        <v>0</v>
      </c>
      <c r="AJ847">
        <f>indirect(address(847,35))+indirect(address(845,36))-indirect(address(846,36))</f>
        <v>0</v>
      </c>
      <c r="AK847">
        <f>indirect(address(847,36))+indirect(address(845,37))-indirect(address(846,37))</f>
        <v>0</v>
      </c>
      <c r="AL847">
        <f>indirect(address(847,37))+indirect(address(845,38))-indirect(address(846,38))</f>
        <v>0</v>
      </c>
      <c r="AM847">
        <f>indirect(address(847,38))+indirect(address(845,39))-indirect(address(846,39))</f>
        <v>0</v>
      </c>
      <c r="AN847">
        <f>indirect(address(847,39))+indirect(address(845,40))-indirect(address(846,40))</f>
        <v>0</v>
      </c>
      <c r="AO847">
        <f>indirect(address(847,40))</f>
        <v>0</v>
      </c>
    </row>
    <row r="848" spans="1:41">
      <c r="A848" t="s">
        <v>17</v>
      </c>
      <c r="B848" t="s">
        <v>859</v>
      </c>
      <c r="C848" t="s">
        <v>860</v>
      </c>
      <c r="E848">
        <v>1</v>
      </c>
      <c r="F848" t="s">
        <v>13</v>
      </c>
      <c r="I848" t="s">
        <v>15</v>
      </c>
      <c r="J848">
        <f>vlookup("271-000800-000",B:AZ,column(i1),0)*e848</f>
        <v>0</v>
      </c>
      <c r="K848">
        <f>vlookup("271-000800-000",B:AZ,column(j1),0)*e848</f>
        <v>0</v>
      </c>
      <c r="L848">
        <f>vlookup("271-000800-000",B:AZ,column(k1),0)*e848</f>
        <v>0</v>
      </c>
      <c r="M848">
        <f>vlookup("271-000800-000",B:AZ,column(l1),0)*e848</f>
        <v>0</v>
      </c>
      <c r="N848">
        <f>vlookup("271-000800-000",B:AZ,column(m1),0)*e848</f>
        <v>0</v>
      </c>
      <c r="O848">
        <f>vlookup("271-000800-000",B:AZ,column(n1),0)*e848</f>
        <v>0</v>
      </c>
      <c r="P848">
        <f>vlookup("271-000800-000",B:AZ,column(o1),0)*e848</f>
        <v>0</v>
      </c>
      <c r="Q848">
        <f>vlookup("271-000800-000",B:AZ,column(p1),0)*e848</f>
        <v>0</v>
      </c>
      <c r="R848">
        <f>vlookup("271-000800-000",B:AZ,column(q1),0)*e848</f>
        <v>0</v>
      </c>
      <c r="S848">
        <f>vlookup("271-000800-000",B:AZ,column(r1),0)*e848</f>
        <v>0</v>
      </c>
      <c r="T848">
        <f>vlookup("271-000800-000",B:AZ,column(s1),0)*e848</f>
        <v>0</v>
      </c>
      <c r="U848">
        <f>vlookup("271-000800-000",B:AZ,column(t1),0)*e848</f>
        <v>0</v>
      </c>
      <c r="V848">
        <f>vlookup("271-000800-000",B:AZ,column(u1),0)*e848</f>
        <v>0</v>
      </c>
      <c r="W848">
        <f>vlookup("271-000800-000",B:AZ,column(v1),0)*e848</f>
        <v>0</v>
      </c>
      <c r="X848">
        <f>vlookup("271-000800-000",B:AZ,column(w1),0)*e848</f>
        <v>0</v>
      </c>
      <c r="Y848">
        <f>vlookup("271-000800-000",B:AZ,column(x1),0)*e848</f>
        <v>0</v>
      </c>
      <c r="Z848">
        <f>vlookup("271-000800-000",B:AZ,column(y1),0)*e848</f>
        <v>0</v>
      </c>
      <c r="AA848">
        <f>vlookup("271-000800-000",B:AZ,column(z1),0)*e848</f>
        <v>0</v>
      </c>
      <c r="AB848">
        <f>vlookup("271-000800-000",B:AZ,column(aa1),0)*e848</f>
        <v>0</v>
      </c>
      <c r="AC848">
        <f>vlookup("271-000800-000",B:AZ,column(ab1),0)*e848</f>
        <v>0</v>
      </c>
      <c r="AD848">
        <f>vlookup("271-000800-000",B:AZ,column(ac1),0)*e848</f>
        <v>0</v>
      </c>
      <c r="AE848">
        <f>vlookup("271-000800-000",B:AZ,column(ad1),0)*e848</f>
        <v>0</v>
      </c>
      <c r="AF848">
        <f>vlookup("271-000800-000",B:AZ,column(ae1),0)*e848</f>
        <v>0</v>
      </c>
      <c r="AG848">
        <f>vlookup("271-000800-000",B:AZ,column(af1),0)*e848</f>
        <v>0</v>
      </c>
      <c r="AH848">
        <f>vlookup("271-000800-000",B:AZ,column(ag1),0)*e848</f>
        <v>0</v>
      </c>
      <c r="AI848">
        <f>vlookup("271-000800-000",B:AZ,column(ah1),0)*e848</f>
        <v>0</v>
      </c>
      <c r="AJ848">
        <f>vlookup("271-000800-000",B:AZ,column(ai1),0)*e848</f>
        <v>0</v>
      </c>
      <c r="AK848">
        <f>vlookup("271-000800-000",B:AZ,column(aj1),0)*e848</f>
        <v>0</v>
      </c>
      <c r="AL848">
        <f>vlookup("271-000800-000",B:AZ,column(ak1),0)*e848</f>
        <v>0</v>
      </c>
      <c r="AM848">
        <f>vlookup("271-000800-000",B:AZ,column(al1),0)*e848</f>
        <v>0</v>
      </c>
      <c r="AN848">
        <f>vlookup("271-000800-000",B:AZ,column(am1),0)*e848</f>
        <v>0</v>
      </c>
      <c r="AO848">
        <f>vlookup("271-000800-000",B:AZ,column(an1),0)*e848</f>
        <v>0</v>
      </c>
    </row>
    <row r="849" spans="1:41">
      <c r="A849" t="s">
        <v>22</v>
      </c>
      <c r="B849" t="s">
        <v>821</v>
      </c>
      <c r="C849" t="s">
        <v>824</v>
      </c>
      <c r="E849">
        <v>1</v>
      </c>
      <c r="F849" t="s">
        <v>13</v>
      </c>
      <c r="I849" t="s">
        <v>15</v>
      </c>
      <c r="J849">
        <f>vlookup("271-000800-000",B:AZ,column(i1),0)*e849</f>
        <v>0</v>
      </c>
      <c r="K849">
        <f>vlookup("271-000800-000",B:AZ,column(j1),0)*e849</f>
        <v>0</v>
      </c>
      <c r="L849">
        <f>vlookup("271-000800-000",B:AZ,column(k1),0)*e849</f>
        <v>0</v>
      </c>
      <c r="M849">
        <f>vlookup("271-000800-000",B:AZ,column(l1),0)*e849</f>
        <v>0</v>
      </c>
      <c r="N849">
        <f>vlookup("271-000800-000",B:AZ,column(m1),0)*e849</f>
        <v>0</v>
      </c>
      <c r="O849">
        <f>vlookup("271-000800-000",B:AZ,column(n1),0)*e849</f>
        <v>0</v>
      </c>
      <c r="P849">
        <f>vlookup("271-000800-000",B:AZ,column(o1),0)*e849</f>
        <v>0</v>
      </c>
      <c r="Q849">
        <f>vlookup("271-000800-000",B:AZ,column(p1),0)*e849</f>
        <v>0</v>
      </c>
      <c r="R849">
        <f>vlookup("271-000800-000",B:AZ,column(q1),0)*e849</f>
        <v>0</v>
      </c>
      <c r="S849">
        <f>vlookup("271-000800-000",B:AZ,column(r1),0)*e849</f>
        <v>0</v>
      </c>
      <c r="T849">
        <f>vlookup("271-000800-000",B:AZ,column(s1),0)*e849</f>
        <v>0</v>
      </c>
      <c r="U849">
        <f>vlookup("271-000800-000",B:AZ,column(t1),0)*e849</f>
        <v>0</v>
      </c>
      <c r="V849">
        <f>vlookup("271-000800-000",B:AZ,column(u1),0)*e849</f>
        <v>0</v>
      </c>
      <c r="W849">
        <f>vlookup("271-000800-000",B:AZ,column(v1),0)*e849</f>
        <v>0</v>
      </c>
      <c r="X849">
        <f>vlookup("271-000800-000",B:AZ,column(w1),0)*e849</f>
        <v>0</v>
      </c>
      <c r="Y849">
        <f>vlookup("271-000800-000",B:AZ,column(x1),0)*e849</f>
        <v>0</v>
      </c>
      <c r="Z849">
        <f>vlookup("271-000800-000",B:AZ,column(y1),0)*e849</f>
        <v>0</v>
      </c>
      <c r="AA849">
        <f>vlookup("271-000800-000",B:AZ,column(z1),0)*e849</f>
        <v>0</v>
      </c>
      <c r="AB849">
        <f>vlookup("271-000800-000",B:AZ,column(aa1),0)*e849</f>
        <v>0</v>
      </c>
      <c r="AC849">
        <f>vlookup("271-000800-000",B:AZ,column(ab1),0)*e849</f>
        <v>0</v>
      </c>
      <c r="AD849">
        <f>vlookup("271-000800-000",B:AZ,column(ac1),0)*e849</f>
        <v>0</v>
      </c>
      <c r="AE849">
        <f>vlookup("271-000800-000",B:AZ,column(ad1),0)*e849</f>
        <v>0</v>
      </c>
      <c r="AF849">
        <f>vlookup("271-000800-000",B:AZ,column(ae1),0)*e849</f>
        <v>0</v>
      </c>
      <c r="AG849">
        <f>vlookup("271-000800-000",B:AZ,column(af1),0)*e849</f>
        <v>0</v>
      </c>
      <c r="AH849">
        <f>vlookup("271-000800-000",B:AZ,column(ag1),0)*e849</f>
        <v>0</v>
      </c>
      <c r="AI849">
        <f>vlookup("271-000800-000",B:AZ,column(ah1),0)*e849</f>
        <v>0</v>
      </c>
      <c r="AJ849">
        <f>vlookup("271-000800-000",B:AZ,column(ai1),0)*e849</f>
        <v>0</v>
      </c>
      <c r="AK849">
        <f>vlookup("271-000800-000",B:AZ,column(aj1),0)*e849</f>
        <v>0</v>
      </c>
      <c r="AL849">
        <f>vlookup("271-000800-000",B:AZ,column(ak1),0)*e849</f>
        <v>0</v>
      </c>
      <c r="AM849">
        <f>vlookup("271-000800-000",B:AZ,column(al1),0)*e849</f>
        <v>0</v>
      </c>
      <c r="AN849">
        <f>vlookup("271-000800-000",B:AZ,column(am1),0)*e849</f>
        <v>0</v>
      </c>
      <c r="AO849">
        <f>vlookup("271-000800-000",B:AZ,column(an1),0)*e849</f>
        <v>0</v>
      </c>
    </row>
    <row r="850" spans="1:41">
      <c r="A850" t="s">
        <v>22</v>
      </c>
      <c r="B850" t="s">
        <v>861</v>
      </c>
      <c r="C850" t="s">
        <v>862</v>
      </c>
      <c r="E850">
        <v>1</v>
      </c>
      <c r="F850" t="s">
        <v>13</v>
      </c>
      <c r="I850" t="s">
        <v>15</v>
      </c>
      <c r="J850">
        <f>vlookup("271-000800-000",B:AZ,column(i1),0)*e850</f>
        <v>0</v>
      </c>
      <c r="K850">
        <f>vlookup("271-000800-000",B:AZ,column(j1),0)*e850</f>
        <v>0</v>
      </c>
      <c r="L850">
        <f>vlookup("271-000800-000",B:AZ,column(k1),0)*e850</f>
        <v>0</v>
      </c>
      <c r="M850">
        <f>vlookup("271-000800-000",B:AZ,column(l1),0)*e850</f>
        <v>0</v>
      </c>
      <c r="N850">
        <f>vlookup("271-000800-000",B:AZ,column(m1),0)*e850</f>
        <v>0</v>
      </c>
      <c r="O850">
        <f>vlookup("271-000800-000",B:AZ,column(n1),0)*e850</f>
        <v>0</v>
      </c>
      <c r="P850">
        <f>vlookup("271-000800-000",B:AZ,column(o1),0)*e850</f>
        <v>0</v>
      </c>
      <c r="Q850">
        <f>vlookup("271-000800-000",B:AZ,column(p1),0)*e850</f>
        <v>0</v>
      </c>
      <c r="R850">
        <f>vlookup("271-000800-000",B:AZ,column(q1),0)*e850</f>
        <v>0</v>
      </c>
      <c r="S850">
        <f>vlookup("271-000800-000",B:AZ,column(r1),0)*e850</f>
        <v>0</v>
      </c>
      <c r="T850">
        <f>vlookup("271-000800-000",B:AZ,column(s1),0)*e850</f>
        <v>0</v>
      </c>
      <c r="U850">
        <f>vlookup("271-000800-000",B:AZ,column(t1),0)*e850</f>
        <v>0</v>
      </c>
      <c r="V850">
        <f>vlookup("271-000800-000",B:AZ,column(u1),0)*e850</f>
        <v>0</v>
      </c>
      <c r="W850">
        <f>vlookup("271-000800-000",B:AZ,column(v1),0)*e850</f>
        <v>0</v>
      </c>
      <c r="X850">
        <f>vlookup("271-000800-000",B:AZ,column(w1),0)*e850</f>
        <v>0</v>
      </c>
      <c r="Y850">
        <f>vlookup("271-000800-000",B:AZ,column(x1),0)*e850</f>
        <v>0</v>
      </c>
      <c r="Z850">
        <f>vlookup("271-000800-000",B:AZ,column(y1),0)*e850</f>
        <v>0</v>
      </c>
      <c r="AA850">
        <f>vlookup("271-000800-000",B:AZ,column(z1),0)*e850</f>
        <v>0</v>
      </c>
      <c r="AB850">
        <f>vlookup("271-000800-000",B:AZ,column(aa1),0)*e850</f>
        <v>0</v>
      </c>
      <c r="AC850">
        <f>vlookup("271-000800-000",B:AZ,column(ab1),0)*e850</f>
        <v>0</v>
      </c>
      <c r="AD850">
        <f>vlookup("271-000800-000",B:AZ,column(ac1),0)*e850</f>
        <v>0</v>
      </c>
      <c r="AE850">
        <f>vlookup("271-000800-000",B:AZ,column(ad1),0)*e850</f>
        <v>0</v>
      </c>
      <c r="AF850">
        <f>vlookup("271-000800-000",B:AZ,column(ae1),0)*e850</f>
        <v>0</v>
      </c>
      <c r="AG850">
        <f>vlookup("271-000800-000",B:AZ,column(af1),0)*e850</f>
        <v>0</v>
      </c>
      <c r="AH850">
        <f>vlookup("271-000800-000",B:AZ,column(ag1),0)*e850</f>
        <v>0</v>
      </c>
      <c r="AI850">
        <f>vlookup("271-000800-000",B:AZ,column(ah1),0)*e850</f>
        <v>0</v>
      </c>
      <c r="AJ850">
        <f>vlookup("271-000800-000",B:AZ,column(ai1),0)*e850</f>
        <v>0</v>
      </c>
      <c r="AK850">
        <f>vlookup("271-000800-000",B:AZ,column(aj1),0)*e850</f>
        <v>0</v>
      </c>
      <c r="AL850">
        <f>vlookup("271-000800-000",B:AZ,column(ak1),0)*e850</f>
        <v>0</v>
      </c>
      <c r="AM850">
        <f>vlookup("271-000800-000",B:AZ,column(al1),0)*e850</f>
        <v>0</v>
      </c>
      <c r="AN850">
        <f>vlookup("271-000800-000",B:AZ,column(am1),0)*e850</f>
        <v>0</v>
      </c>
      <c r="AO850">
        <f>vlookup("271-000800-000",B:AZ,column(an1),0)*e850</f>
        <v>0</v>
      </c>
    </row>
    <row r="851" spans="1:41">
      <c r="A851" t="s">
        <v>10</v>
      </c>
      <c r="B851" t="s">
        <v>861</v>
      </c>
      <c r="C851" t="s">
        <v>863</v>
      </c>
      <c r="E851" t="s">
        <v>851</v>
      </c>
      <c r="F851" t="s">
        <v>13</v>
      </c>
      <c r="I851" t="s">
        <v>14</v>
      </c>
      <c r="AO851">
        <f>sum(j851:an851)</f>
        <v>0</v>
      </c>
    </row>
    <row r="852" spans="1:41">
      <c r="I852" t="s">
        <v>15</v>
      </c>
      <c r="J852">
        <f>vlookup("623-000000-002",Out!B:AZ,column(i1),0)</f>
        <v>0</v>
      </c>
      <c r="K852">
        <f>vlookup("623-000000-002",Out!B:AZ,column(j1),0)</f>
        <v>0</v>
      </c>
      <c r="L852">
        <f>vlookup("623-000000-002",Out!B:AZ,column(k1),0)</f>
        <v>0</v>
      </c>
      <c r="M852">
        <f>vlookup("623-000000-002",Out!B:AZ,column(l1),0)</f>
        <v>0</v>
      </c>
      <c r="N852">
        <f>vlookup("623-000000-002",Out!B:AZ,column(m1),0)</f>
        <v>0</v>
      </c>
      <c r="O852">
        <f>vlookup("623-000000-002",Out!B:AZ,column(n1),0)</f>
        <v>0</v>
      </c>
      <c r="P852">
        <f>vlookup("623-000000-002",Out!B:AZ,column(o1),0)</f>
        <v>0</v>
      </c>
      <c r="Q852">
        <f>vlookup("623-000000-002",Out!B:AZ,column(p1),0)</f>
        <v>0</v>
      </c>
      <c r="R852">
        <f>vlookup("623-000000-002",Out!B:AZ,column(q1),0)</f>
        <v>0</v>
      </c>
      <c r="S852">
        <f>vlookup("623-000000-002",Out!B:AZ,column(r1),0)</f>
        <v>0</v>
      </c>
      <c r="T852">
        <f>vlookup("623-000000-002",Out!B:AZ,column(s1),0)</f>
        <v>0</v>
      </c>
      <c r="U852">
        <f>vlookup("623-000000-002",Out!B:AZ,column(t1),0)</f>
        <v>0</v>
      </c>
      <c r="V852">
        <f>vlookup("623-000000-002",Out!B:AZ,column(u1),0)</f>
        <v>0</v>
      </c>
      <c r="W852">
        <f>vlookup("623-000000-002",Out!B:AZ,column(v1),0)</f>
        <v>0</v>
      </c>
      <c r="X852">
        <f>vlookup("623-000000-002",Out!B:AZ,column(w1),0)</f>
        <v>0</v>
      </c>
      <c r="Y852">
        <f>vlookup("623-000000-002",Out!B:AZ,column(x1),0)</f>
        <v>0</v>
      </c>
      <c r="Z852">
        <f>vlookup("623-000000-002",Out!B:AZ,column(y1),0)</f>
        <v>0</v>
      </c>
      <c r="AA852">
        <f>vlookup("623-000000-002",Out!B:AZ,column(z1),0)</f>
        <v>0</v>
      </c>
      <c r="AB852">
        <f>vlookup("623-000000-002",Out!B:AZ,column(aa1),0)</f>
        <v>0</v>
      </c>
      <c r="AC852">
        <f>vlookup("623-000000-002",Out!B:AZ,column(ab1),0)</f>
        <v>0</v>
      </c>
      <c r="AD852">
        <f>vlookup("623-000000-002",Out!B:AZ,column(ac1),0)</f>
        <v>0</v>
      </c>
      <c r="AE852">
        <f>vlookup("623-000000-002",Out!B:AZ,column(ad1),0)</f>
        <v>0</v>
      </c>
      <c r="AF852">
        <f>vlookup("623-000000-002",Out!B:AZ,column(ae1),0)</f>
        <v>0</v>
      </c>
      <c r="AG852">
        <f>vlookup("623-000000-002",Out!B:AZ,column(af1),0)</f>
        <v>0</v>
      </c>
      <c r="AH852">
        <f>vlookup("623-000000-002",Out!B:AZ,column(ag1),0)</f>
        <v>0</v>
      </c>
      <c r="AI852">
        <f>vlookup("623-000000-002",Out!B:AZ,column(ah1),0)</f>
        <v>0</v>
      </c>
      <c r="AJ852">
        <f>vlookup("623-000000-002",Out!B:AZ,column(ai1),0)</f>
        <v>0</v>
      </c>
      <c r="AK852">
        <f>vlookup("623-000000-002",Out!B:AZ,column(aj1),0)</f>
        <v>0</v>
      </c>
      <c r="AL852">
        <f>vlookup("623-000000-002",Out!B:AZ,column(ak1),0)</f>
        <v>0</v>
      </c>
      <c r="AM852">
        <f>vlookup("623-000000-002",Out!B:AZ,column(al1),0)</f>
        <v>0</v>
      </c>
      <c r="AN852">
        <f>vlookup("623-000000-002",Out!B:AZ,column(am1),0)</f>
        <v>0</v>
      </c>
      <c r="AO852">
        <f>vlookup("623-000000-002",Out!B:AZ,column(an1),0)</f>
        <v>0</v>
      </c>
    </row>
    <row r="853" spans="1:41">
      <c r="H853" t="s">
        <v>16</v>
      </c>
      <c r="J853">
        <f>indirect(address(853,9))+indirect(address(851,10))-indirect(address(852,10))</f>
        <v>0</v>
      </c>
      <c r="K853">
        <f>indirect(address(853,10))+indirect(address(851,11))-indirect(address(852,11))</f>
        <v>0</v>
      </c>
      <c r="L853">
        <f>indirect(address(853,11))+indirect(address(851,12))-indirect(address(852,12))</f>
        <v>0</v>
      </c>
      <c r="M853">
        <f>indirect(address(853,12))+indirect(address(851,13))-indirect(address(852,13))</f>
        <v>0</v>
      </c>
      <c r="N853">
        <f>indirect(address(853,13))+indirect(address(851,14))-indirect(address(852,14))</f>
        <v>0</v>
      </c>
      <c r="O853">
        <f>indirect(address(853,14))+indirect(address(851,15))-indirect(address(852,15))</f>
        <v>0</v>
      </c>
      <c r="P853">
        <f>indirect(address(853,15))+indirect(address(851,16))-indirect(address(852,16))</f>
        <v>0</v>
      </c>
      <c r="Q853">
        <f>indirect(address(853,16))+indirect(address(851,17))-indirect(address(852,17))</f>
        <v>0</v>
      </c>
      <c r="R853">
        <f>indirect(address(853,17))+indirect(address(851,18))-indirect(address(852,18))</f>
        <v>0</v>
      </c>
      <c r="S853">
        <f>indirect(address(853,18))+indirect(address(851,19))-indirect(address(852,19))</f>
        <v>0</v>
      </c>
      <c r="T853">
        <f>indirect(address(853,19))+indirect(address(851,20))-indirect(address(852,20))</f>
        <v>0</v>
      </c>
      <c r="U853">
        <f>indirect(address(853,20))+indirect(address(851,21))-indirect(address(852,21))</f>
        <v>0</v>
      </c>
      <c r="V853">
        <f>indirect(address(853,21))+indirect(address(851,22))-indirect(address(852,22))</f>
        <v>0</v>
      </c>
      <c r="W853">
        <f>indirect(address(853,22))+indirect(address(851,23))-indirect(address(852,23))</f>
        <v>0</v>
      </c>
      <c r="X853">
        <f>indirect(address(853,23))+indirect(address(851,24))-indirect(address(852,24))</f>
        <v>0</v>
      </c>
      <c r="Y853">
        <f>indirect(address(853,24))+indirect(address(851,25))-indirect(address(852,25))</f>
        <v>0</v>
      </c>
      <c r="Z853">
        <f>indirect(address(853,25))+indirect(address(851,26))-indirect(address(852,26))</f>
        <v>0</v>
      </c>
      <c r="AA853">
        <f>indirect(address(853,26))+indirect(address(851,27))-indirect(address(852,27))</f>
        <v>0</v>
      </c>
      <c r="AB853">
        <f>indirect(address(853,27))+indirect(address(851,28))-indirect(address(852,28))</f>
        <v>0</v>
      </c>
      <c r="AC853">
        <f>indirect(address(853,28))+indirect(address(851,29))-indirect(address(852,29))</f>
        <v>0</v>
      </c>
      <c r="AD853">
        <f>indirect(address(853,29))+indirect(address(851,30))-indirect(address(852,30))</f>
        <v>0</v>
      </c>
      <c r="AE853">
        <f>indirect(address(853,30))+indirect(address(851,31))-indirect(address(852,31))</f>
        <v>0</v>
      </c>
      <c r="AF853">
        <f>indirect(address(853,31))+indirect(address(851,32))-indirect(address(852,32))</f>
        <v>0</v>
      </c>
      <c r="AG853">
        <f>indirect(address(853,32))+indirect(address(851,33))-indirect(address(852,33))</f>
        <v>0</v>
      </c>
      <c r="AH853">
        <f>indirect(address(853,33))+indirect(address(851,34))-indirect(address(852,34))</f>
        <v>0</v>
      </c>
      <c r="AI853">
        <f>indirect(address(853,34))+indirect(address(851,35))-indirect(address(852,35))</f>
        <v>0</v>
      </c>
      <c r="AJ853">
        <f>indirect(address(853,35))+indirect(address(851,36))-indirect(address(852,36))</f>
        <v>0</v>
      </c>
      <c r="AK853">
        <f>indirect(address(853,36))+indirect(address(851,37))-indirect(address(852,37))</f>
        <v>0</v>
      </c>
      <c r="AL853">
        <f>indirect(address(853,37))+indirect(address(851,38))-indirect(address(852,38))</f>
        <v>0</v>
      </c>
      <c r="AM853">
        <f>indirect(address(853,38))+indirect(address(851,39))-indirect(address(852,39))</f>
        <v>0</v>
      </c>
      <c r="AN853">
        <f>indirect(address(853,39))+indirect(address(851,40))-indirect(address(852,40))</f>
        <v>0</v>
      </c>
      <c r="AO853">
        <f>indirect(address(853,40))</f>
        <v>0</v>
      </c>
    </row>
    <row r="854" spans="1:41">
      <c r="A854" t="s">
        <v>17</v>
      </c>
      <c r="B854" t="s">
        <v>864</v>
      </c>
      <c r="C854" t="s">
        <v>865</v>
      </c>
      <c r="E854">
        <v>1</v>
      </c>
      <c r="F854" t="s">
        <v>13</v>
      </c>
      <c r="I854" t="s">
        <v>15</v>
      </c>
      <c r="J854">
        <f>vlookup("623-000000-002",B:AZ,column(i1),0)*e854</f>
        <v>0</v>
      </c>
      <c r="K854">
        <f>vlookup("623-000000-002",B:AZ,column(j1),0)*e854</f>
        <v>0</v>
      </c>
      <c r="L854">
        <f>vlookup("623-000000-002",B:AZ,column(k1),0)*e854</f>
        <v>0</v>
      </c>
      <c r="M854">
        <f>vlookup("623-000000-002",B:AZ,column(l1),0)*e854</f>
        <v>0</v>
      </c>
      <c r="N854">
        <f>vlookup("623-000000-002",B:AZ,column(m1),0)*e854</f>
        <v>0</v>
      </c>
      <c r="O854">
        <f>vlookup("623-000000-002",B:AZ,column(n1),0)*e854</f>
        <v>0</v>
      </c>
      <c r="P854">
        <f>vlookup("623-000000-002",B:AZ,column(o1),0)*e854</f>
        <v>0</v>
      </c>
      <c r="Q854">
        <f>vlookup("623-000000-002",B:AZ,column(p1),0)*e854</f>
        <v>0</v>
      </c>
      <c r="R854">
        <f>vlookup("623-000000-002",B:AZ,column(q1),0)*e854</f>
        <v>0</v>
      </c>
      <c r="S854">
        <f>vlookup("623-000000-002",B:AZ,column(r1),0)*e854</f>
        <v>0</v>
      </c>
      <c r="T854">
        <f>vlookup("623-000000-002",B:AZ,column(s1),0)*e854</f>
        <v>0</v>
      </c>
      <c r="U854">
        <f>vlookup("623-000000-002",B:AZ,column(t1),0)*e854</f>
        <v>0</v>
      </c>
      <c r="V854">
        <f>vlookup("623-000000-002",B:AZ,column(u1),0)*e854</f>
        <v>0</v>
      </c>
      <c r="W854">
        <f>vlookup("623-000000-002",B:AZ,column(v1),0)*e854</f>
        <v>0</v>
      </c>
      <c r="X854">
        <f>vlookup("623-000000-002",B:AZ,column(w1),0)*e854</f>
        <v>0</v>
      </c>
      <c r="Y854">
        <f>vlookup("623-000000-002",B:AZ,column(x1),0)*e854</f>
        <v>0</v>
      </c>
      <c r="Z854">
        <f>vlookup("623-000000-002",B:AZ,column(y1),0)*e854</f>
        <v>0</v>
      </c>
      <c r="AA854">
        <f>vlookup("623-000000-002",B:AZ,column(z1),0)*e854</f>
        <v>0</v>
      </c>
      <c r="AB854">
        <f>vlookup("623-000000-002",B:AZ,column(aa1),0)*e854</f>
        <v>0</v>
      </c>
      <c r="AC854">
        <f>vlookup("623-000000-002",B:AZ,column(ab1),0)*e854</f>
        <v>0</v>
      </c>
      <c r="AD854">
        <f>vlookup("623-000000-002",B:AZ,column(ac1),0)*e854</f>
        <v>0</v>
      </c>
      <c r="AE854">
        <f>vlookup("623-000000-002",B:AZ,column(ad1),0)*e854</f>
        <v>0</v>
      </c>
      <c r="AF854">
        <f>vlookup("623-000000-002",B:AZ,column(ae1),0)*e854</f>
        <v>0</v>
      </c>
      <c r="AG854">
        <f>vlookup("623-000000-002",B:AZ,column(af1),0)*e854</f>
        <v>0</v>
      </c>
      <c r="AH854">
        <f>vlookup("623-000000-002",B:AZ,column(ag1),0)*e854</f>
        <v>0</v>
      </c>
      <c r="AI854">
        <f>vlookup("623-000000-002",B:AZ,column(ah1),0)*e854</f>
        <v>0</v>
      </c>
      <c r="AJ854">
        <f>vlookup("623-000000-002",B:AZ,column(ai1),0)*e854</f>
        <v>0</v>
      </c>
      <c r="AK854">
        <f>vlookup("623-000000-002",B:AZ,column(aj1),0)*e854</f>
        <v>0</v>
      </c>
      <c r="AL854">
        <f>vlookup("623-000000-002",B:AZ,column(ak1),0)*e854</f>
        <v>0</v>
      </c>
      <c r="AM854">
        <f>vlookup("623-000000-002",B:AZ,column(al1),0)*e854</f>
        <v>0</v>
      </c>
      <c r="AN854">
        <f>vlookup("623-000000-002",B:AZ,column(am1),0)*e854</f>
        <v>0</v>
      </c>
      <c r="AO854">
        <f>vlookup("623-000000-002",B:AZ,column(an1),0)*e854</f>
        <v>0</v>
      </c>
    </row>
    <row r="855" spans="1:41">
      <c r="A855" t="s">
        <v>22</v>
      </c>
      <c r="B855" t="s">
        <v>866</v>
      </c>
      <c r="C855" t="s">
        <v>867</v>
      </c>
      <c r="E855">
        <v>1</v>
      </c>
      <c r="F855" t="s">
        <v>13</v>
      </c>
      <c r="I855" t="s">
        <v>15</v>
      </c>
      <c r="J855">
        <f>vlookup("623-000000-002",B:AZ,column(i1),0)*e855</f>
        <v>0</v>
      </c>
      <c r="K855">
        <f>vlookup("623-000000-002",B:AZ,column(j1),0)*e855</f>
        <v>0</v>
      </c>
      <c r="L855">
        <f>vlookup("623-000000-002",B:AZ,column(k1),0)*e855</f>
        <v>0</v>
      </c>
      <c r="M855">
        <f>vlookup("623-000000-002",B:AZ,column(l1),0)*e855</f>
        <v>0</v>
      </c>
      <c r="N855">
        <f>vlookup("623-000000-002",B:AZ,column(m1),0)*e855</f>
        <v>0</v>
      </c>
      <c r="O855">
        <f>vlookup("623-000000-002",B:AZ,column(n1),0)*e855</f>
        <v>0</v>
      </c>
      <c r="P855">
        <f>vlookup("623-000000-002",B:AZ,column(o1),0)*e855</f>
        <v>0</v>
      </c>
      <c r="Q855">
        <f>vlookup("623-000000-002",B:AZ,column(p1),0)*e855</f>
        <v>0</v>
      </c>
      <c r="R855">
        <f>vlookup("623-000000-002",B:AZ,column(q1),0)*e855</f>
        <v>0</v>
      </c>
      <c r="S855">
        <f>vlookup("623-000000-002",B:AZ,column(r1),0)*e855</f>
        <v>0</v>
      </c>
      <c r="T855">
        <f>vlookup("623-000000-002",B:AZ,column(s1),0)*e855</f>
        <v>0</v>
      </c>
      <c r="U855">
        <f>vlookup("623-000000-002",B:AZ,column(t1),0)*e855</f>
        <v>0</v>
      </c>
      <c r="V855">
        <f>vlookup("623-000000-002",B:AZ,column(u1),0)*e855</f>
        <v>0</v>
      </c>
      <c r="W855">
        <f>vlookup("623-000000-002",B:AZ,column(v1),0)*e855</f>
        <v>0</v>
      </c>
      <c r="X855">
        <f>vlookup("623-000000-002",B:AZ,column(w1),0)*e855</f>
        <v>0</v>
      </c>
      <c r="Y855">
        <f>vlookup("623-000000-002",B:AZ,column(x1),0)*e855</f>
        <v>0</v>
      </c>
      <c r="Z855">
        <f>vlookup("623-000000-002",B:AZ,column(y1),0)*e855</f>
        <v>0</v>
      </c>
      <c r="AA855">
        <f>vlookup("623-000000-002",B:AZ,column(z1),0)*e855</f>
        <v>0</v>
      </c>
      <c r="AB855">
        <f>vlookup("623-000000-002",B:AZ,column(aa1),0)*e855</f>
        <v>0</v>
      </c>
      <c r="AC855">
        <f>vlookup("623-000000-002",B:AZ,column(ab1),0)*e855</f>
        <v>0</v>
      </c>
      <c r="AD855">
        <f>vlookup("623-000000-002",B:AZ,column(ac1),0)*e855</f>
        <v>0</v>
      </c>
      <c r="AE855">
        <f>vlookup("623-000000-002",B:AZ,column(ad1),0)*e855</f>
        <v>0</v>
      </c>
      <c r="AF855">
        <f>vlookup("623-000000-002",B:AZ,column(ae1),0)*e855</f>
        <v>0</v>
      </c>
      <c r="AG855">
        <f>vlookup("623-000000-002",B:AZ,column(af1),0)*e855</f>
        <v>0</v>
      </c>
      <c r="AH855">
        <f>vlookup("623-000000-002",B:AZ,column(ag1),0)*e855</f>
        <v>0</v>
      </c>
      <c r="AI855">
        <f>vlookup("623-000000-002",B:AZ,column(ah1),0)*e855</f>
        <v>0</v>
      </c>
      <c r="AJ855">
        <f>vlookup("623-000000-002",B:AZ,column(ai1),0)*e855</f>
        <v>0</v>
      </c>
      <c r="AK855">
        <f>vlookup("623-000000-002",B:AZ,column(aj1),0)*e855</f>
        <v>0</v>
      </c>
      <c r="AL855">
        <f>vlookup("623-000000-002",B:AZ,column(ak1),0)*e855</f>
        <v>0</v>
      </c>
      <c r="AM855">
        <f>vlookup("623-000000-002",B:AZ,column(al1),0)*e855</f>
        <v>0</v>
      </c>
      <c r="AN855">
        <f>vlookup("623-000000-002",B:AZ,column(am1),0)*e855</f>
        <v>0</v>
      </c>
      <c r="AO855">
        <f>vlookup("623-000000-002",B:AZ,column(an1),0)*e855</f>
        <v>0</v>
      </c>
    </row>
    <row r="856" spans="1:41">
      <c r="A856" t="s">
        <v>22</v>
      </c>
      <c r="B856" t="s">
        <v>868</v>
      </c>
      <c r="C856" t="s">
        <v>869</v>
      </c>
      <c r="E856">
        <v>2</v>
      </c>
      <c r="F856" t="s">
        <v>13</v>
      </c>
      <c r="I856" t="s">
        <v>15</v>
      </c>
      <c r="J856">
        <f>vlookup("623-000000-002",B:AZ,column(i1),0)*e856</f>
        <v>0</v>
      </c>
      <c r="K856">
        <f>vlookup("623-000000-002",B:AZ,column(j1),0)*e856</f>
        <v>0</v>
      </c>
      <c r="L856">
        <f>vlookup("623-000000-002",B:AZ,column(k1),0)*e856</f>
        <v>0</v>
      </c>
      <c r="M856">
        <f>vlookup("623-000000-002",B:AZ,column(l1),0)*e856</f>
        <v>0</v>
      </c>
      <c r="N856">
        <f>vlookup("623-000000-002",B:AZ,column(m1),0)*e856</f>
        <v>0</v>
      </c>
      <c r="O856">
        <f>vlookup("623-000000-002",B:AZ,column(n1),0)*e856</f>
        <v>0</v>
      </c>
      <c r="P856">
        <f>vlookup("623-000000-002",B:AZ,column(o1),0)*e856</f>
        <v>0</v>
      </c>
      <c r="Q856">
        <f>vlookup("623-000000-002",B:AZ,column(p1),0)*e856</f>
        <v>0</v>
      </c>
      <c r="R856">
        <f>vlookup("623-000000-002",B:AZ,column(q1),0)*e856</f>
        <v>0</v>
      </c>
      <c r="S856">
        <f>vlookup("623-000000-002",B:AZ,column(r1),0)*e856</f>
        <v>0</v>
      </c>
      <c r="T856">
        <f>vlookup("623-000000-002",B:AZ,column(s1),0)*e856</f>
        <v>0</v>
      </c>
      <c r="U856">
        <f>vlookup("623-000000-002",B:AZ,column(t1),0)*e856</f>
        <v>0</v>
      </c>
      <c r="V856">
        <f>vlookup("623-000000-002",B:AZ,column(u1),0)*e856</f>
        <v>0</v>
      </c>
      <c r="W856">
        <f>vlookup("623-000000-002",B:AZ,column(v1),0)*e856</f>
        <v>0</v>
      </c>
      <c r="X856">
        <f>vlookup("623-000000-002",B:AZ,column(w1),0)*e856</f>
        <v>0</v>
      </c>
      <c r="Y856">
        <f>vlookup("623-000000-002",B:AZ,column(x1),0)*e856</f>
        <v>0</v>
      </c>
      <c r="Z856">
        <f>vlookup("623-000000-002",B:AZ,column(y1),0)*e856</f>
        <v>0</v>
      </c>
      <c r="AA856">
        <f>vlookup("623-000000-002",B:AZ,column(z1),0)*e856</f>
        <v>0</v>
      </c>
      <c r="AB856">
        <f>vlookup("623-000000-002",B:AZ,column(aa1),0)*e856</f>
        <v>0</v>
      </c>
      <c r="AC856">
        <f>vlookup("623-000000-002",B:AZ,column(ab1),0)*e856</f>
        <v>0</v>
      </c>
      <c r="AD856">
        <f>vlookup("623-000000-002",B:AZ,column(ac1),0)*e856</f>
        <v>0</v>
      </c>
      <c r="AE856">
        <f>vlookup("623-000000-002",B:AZ,column(ad1),0)*e856</f>
        <v>0</v>
      </c>
      <c r="AF856">
        <f>vlookup("623-000000-002",B:AZ,column(ae1),0)*e856</f>
        <v>0</v>
      </c>
      <c r="AG856">
        <f>vlookup("623-000000-002",B:AZ,column(af1),0)*e856</f>
        <v>0</v>
      </c>
      <c r="AH856">
        <f>vlookup("623-000000-002",B:AZ,column(ag1),0)*e856</f>
        <v>0</v>
      </c>
      <c r="AI856">
        <f>vlookup("623-000000-002",B:AZ,column(ah1),0)*e856</f>
        <v>0</v>
      </c>
      <c r="AJ856">
        <f>vlookup("623-000000-002",B:AZ,column(ai1),0)*e856</f>
        <v>0</v>
      </c>
      <c r="AK856">
        <f>vlookup("623-000000-002",B:AZ,column(aj1),0)*e856</f>
        <v>0</v>
      </c>
      <c r="AL856">
        <f>vlookup("623-000000-002",B:AZ,column(ak1),0)*e856</f>
        <v>0</v>
      </c>
      <c r="AM856">
        <f>vlookup("623-000000-002",B:AZ,column(al1),0)*e856</f>
        <v>0</v>
      </c>
      <c r="AN856">
        <f>vlookup("623-000000-002",B:AZ,column(am1),0)*e856</f>
        <v>0</v>
      </c>
      <c r="AO856">
        <f>vlookup("623-000000-002",B:AZ,column(an1),0)*e856</f>
        <v>0</v>
      </c>
    </row>
    <row r="857" spans="1:41">
      <c r="A857" t="s">
        <v>22</v>
      </c>
      <c r="B857" t="s">
        <v>870</v>
      </c>
      <c r="C857" t="s">
        <v>871</v>
      </c>
      <c r="E857">
        <v>1</v>
      </c>
      <c r="F857" t="s">
        <v>13</v>
      </c>
      <c r="I857" t="s">
        <v>15</v>
      </c>
      <c r="J857">
        <f>vlookup("623-000000-002",B:AZ,column(i1),0)*e857</f>
        <v>0</v>
      </c>
      <c r="K857">
        <f>vlookup("623-000000-002",B:AZ,column(j1),0)*e857</f>
        <v>0</v>
      </c>
      <c r="L857">
        <f>vlookup("623-000000-002",B:AZ,column(k1),0)*e857</f>
        <v>0</v>
      </c>
      <c r="M857">
        <f>vlookup("623-000000-002",B:AZ,column(l1),0)*e857</f>
        <v>0</v>
      </c>
      <c r="N857">
        <f>vlookup("623-000000-002",B:AZ,column(m1),0)*e857</f>
        <v>0</v>
      </c>
      <c r="O857">
        <f>vlookup("623-000000-002",B:AZ,column(n1),0)*e857</f>
        <v>0</v>
      </c>
      <c r="P857">
        <f>vlookup("623-000000-002",B:AZ,column(o1),0)*e857</f>
        <v>0</v>
      </c>
      <c r="Q857">
        <f>vlookup("623-000000-002",B:AZ,column(p1),0)*e857</f>
        <v>0</v>
      </c>
      <c r="R857">
        <f>vlookup("623-000000-002",B:AZ,column(q1),0)*e857</f>
        <v>0</v>
      </c>
      <c r="S857">
        <f>vlookup("623-000000-002",B:AZ,column(r1),0)*e857</f>
        <v>0</v>
      </c>
      <c r="T857">
        <f>vlookup("623-000000-002",B:AZ,column(s1),0)*e857</f>
        <v>0</v>
      </c>
      <c r="U857">
        <f>vlookup("623-000000-002",B:AZ,column(t1),0)*e857</f>
        <v>0</v>
      </c>
      <c r="V857">
        <f>vlookup("623-000000-002",B:AZ,column(u1),0)*e857</f>
        <v>0</v>
      </c>
      <c r="W857">
        <f>vlookup("623-000000-002",B:AZ,column(v1),0)*e857</f>
        <v>0</v>
      </c>
      <c r="X857">
        <f>vlookup("623-000000-002",B:AZ,column(w1),0)*e857</f>
        <v>0</v>
      </c>
      <c r="Y857">
        <f>vlookup("623-000000-002",B:AZ,column(x1),0)*e857</f>
        <v>0</v>
      </c>
      <c r="Z857">
        <f>vlookup("623-000000-002",B:AZ,column(y1),0)*e857</f>
        <v>0</v>
      </c>
      <c r="AA857">
        <f>vlookup("623-000000-002",B:AZ,column(z1),0)*e857</f>
        <v>0</v>
      </c>
      <c r="AB857">
        <f>vlookup("623-000000-002",B:AZ,column(aa1),0)*e857</f>
        <v>0</v>
      </c>
      <c r="AC857">
        <f>vlookup("623-000000-002",B:AZ,column(ab1),0)*e857</f>
        <v>0</v>
      </c>
      <c r="AD857">
        <f>vlookup("623-000000-002",B:AZ,column(ac1),0)*e857</f>
        <v>0</v>
      </c>
      <c r="AE857">
        <f>vlookup("623-000000-002",B:AZ,column(ad1),0)*e857</f>
        <v>0</v>
      </c>
      <c r="AF857">
        <f>vlookup("623-000000-002",B:AZ,column(ae1),0)*e857</f>
        <v>0</v>
      </c>
      <c r="AG857">
        <f>vlookup("623-000000-002",B:AZ,column(af1),0)*e857</f>
        <v>0</v>
      </c>
      <c r="AH857">
        <f>vlookup("623-000000-002",B:AZ,column(ag1),0)*e857</f>
        <v>0</v>
      </c>
      <c r="AI857">
        <f>vlookup("623-000000-002",B:AZ,column(ah1),0)*e857</f>
        <v>0</v>
      </c>
      <c r="AJ857">
        <f>vlookup("623-000000-002",B:AZ,column(ai1),0)*e857</f>
        <v>0</v>
      </c>
      <c r="AK857">
        <f>vlookup("623-000000-002",B:AZ,column(aj1),0)*e857</f>
        <v>0</v>
      </c>
      <c r="AL857">
        <f>vlookup("623-000000-002",B:AZ,column(ak1),0)*e857</f>
        <v>0</v>
      </c>
      <c r="AM857">
        <f>vlookup("623-000000-002",B:AZ,column(al1),0)*e857</f>
        <v>0</v>
      </c>
      <c r="AN857">
        <f>vlookup("623-000000-002",B:AZ,column(am1),0)*e857</f>
        <v>0</v>
      </c>
      <c r="AO857">
        <f>vlookup("623-000000-002",B:AZ,column(an1),0)*e857</f>
        <v>0</v>
      </c>
    </row>
    <row r="858" spans="1:41">
      <c r="A858" t="s">
        <v>22</v>
      </c>
      <c r="B858" t="s">
        <v>872</v>
      </c>
      <c r="C858" t="s">
        <v>873</v>
      </c>
      <c r="E858">
        <v>1</v>
      </c>
      <c r="F858" t="s">
        <v>13</v>
      </c>
      <c r="I858" t="s">
        <v>15</v>
      </c>
      <c r="J858">
        <f>vlookup("623-000000-002",B:AZ,column(i1),0)*e858</f>
        <v>0</v>
      </c>
      <c r="K858">
        <f>vlookup("623-000000-002",B:AZ,column(j1),0)*e858</f>
        <v>0</v>
      </c>
      <c r="L858">
        <f>vlookup("623-000000-002",B:AZ,column(k1),0)*e858</f>
        <v>0</v>
      </c>
      <c r="M858">
        <f>vlookup("623-000000-002",B:AZ,column(l1),0)*e858</f>
        <v>0</v>
      </c>
      <c r="N858">
        <f>vlookup("623-000000-002",B:AZ,column(m1),0)*e858</f>
        <v>0</v>
      </c>
      <c r="O858">
        <f>vlookup("623-000000-002",B:AZ,column(n1),0)*e858</f>
        <v>0</v>
      </c>
      <c r="P858">
        <f>vlookup("623-000000-002",B:AZ,column(o1),0)*e858</f>
        <v>0</v>
      </c>
      <c r="Q858">
        <f>vlookup("623-000000-002",B:AZ,column(p1),0)*e858</f>
        <v>0</v>
      </c>
      <c r="R858">
        <f>vlookup("623-000000-002",B:AZ,column(q1),0)*e858</f>
        <v>0</v>
      </c>
      <c r="S858">
        <f>vlookup("623-000000-002",B:AZ,column(r1),0)*e858</f>
        <v>0</v>
      </c>
      <c r="T858">
        <f>vlookup("623-000000-002",B:AZ,column(s1),0)*e858</f>
        <v>0</v>
      </c>
      <c r="U858">
        <f>vlookup("623-000000-002",B:AZ,column(t1),0)*e858</f>
        <v>0</v>
      </c>
      <c r="V858">
        <f>vlookup("623-000000-002",B:AZ,column(u1),0)*e858</f>
        <v>0</v>
      </c>
      <c r="W858">
        <f>vlookup("623-000000-002",B:AZ,column(v1),0)*e858</f>
        <v>0</v>
      </c>
      <c r="X858">
        <f>vlookup("623-000000-002",B:AZ,column(w1),0)*e858</f>
        <v>0</v>
      </c>
      <c r="Y858">
        <f>vlookup("623-000000-002",B:AZ,column(x1),0)*e858</f>
        <v>0</v>
      </c>
      <c r="Z858">
        <f>vlookup("623-000000-002",B:AZ,column(y1),0)*e858</f>
        <v>0</v>
      </c>
      <c r="AA858">
        <f>vlookup("623-000000-002",B:AZ,column(z1),0)*e858</f>
        <v>0</v>
      </c>
      <c r="AB858">
        <f>vlookup("623-000000-002",B:AZ,column(aa1),0)*e858</f>
        <v>0</v>
      </c>
      <c r="AC858">
        <f>vlookup("623-000000-002",B:AZ,column(ab1),0)*e858</f>
        <v>0</v>
      </c>
      <c r="AD858">
        <f>vlookup("623-000000-002",B:AZ,column(ac1),0)*e858</f>
        <v>0</v>
      </c>
      <c r="AE858">
        <f>vlookup("623-000000-002",B:AZ,column(ad1),0)*e858</f>
        <v>0</v>
      </c>
      <c r="AF858">
        <f>vlookup("623-000000-002",B:AZ,column(ae1),0)*e858</f>
        <v>0</v>
      </c>
      <c r="AG858">
        <f>vlookup("623-000000-002",B:AZ,column(af1),0)*e858</f>
        <v>0</v>
      </c>
      <c r="AH858">
        <f>vlookup("623-000000-002",B:AZ,column(ag1),0)*e858</f>
        <v>0</v>
      </c>
      <c r="AI858">
        <f>vlookup("623-000000-002",B:AZ,column(ah1),0)*e858</f>
        <v>0</v>
      </c>
      <c r="AJ858">
        <f>vlookup("623-000000-002",B:AZ,column(ai1),0)*e858</f>
        <v>0</v>
      </c>
      <c r="AK858">
        <f>vlookup("623-000000-002",B:AZ,column(aj1),0)*e858</f>
        <v>0</v>
      </c>
      <c r="AL858">
        <f>vlookup("623-000000-002",B:AZ,column(ak1),0)*e858</f>
        <v>0</v>
      </c>
      <c r="AM858">
        <f>vlookup("623-000000-002",B:AZ,column(al1),0)*e858</f>
        <v>0</v>
      </c>
      <c r="AN858">
        <f>vlookup("623-000000-002",B:AZ,column(am1),0)*e858</f>
        <v>0</v>
      </c>
      <c r="AO858">
        <f>vlookup("623-000000-002",B:AZ,column(an1),0)*e858</f>
        <v>0</v>
      </c>
    </row>
    <row r="859" spans="1:41">
      <c r="A859" t="s">
        <v>22</v>
      </c>
      <c r="B859" t="s">
        <v>874</v>
      </c>
      <c r="C859" t="s">
        <v>875</v>
      </c>
      <c r="E859">
        <v>1</v>
      </c>
      <c r="F859" t="s">
        <v>13</v>
      </c>
      <c r="I859" t="s">
        <v>15</v>
      </c>
      <c r="J859">
        <f>vlookup("623-000000-002",B:AZ,column(i1),0)*e859</f>
        <v>0</v>
      </c>
      <c r="K859">
        <f>vlookup("623-000000-002",B:AZ,column(j1),0)*e859</f>
        <v>0</v>
      </c>
      <c r="L859">
        <f>vlookup("623-000000-002",B:AZ,column(k1),0)*e859</f>
        <v>0</v>
      </c>
      <c r="M859">
        <f>vlookup("623-000000-002",B:AZ,column(l1),0)*e859</f>
        <v>0</v>
      </c>
      <c r="N859">
        <f>vlookup("623-000000-002",B:AZ,column(m1),0)*e859</f>
        <v>0</v>
      </c>
      <c r="O859">
        <f>vlookup("623-000000-002",B:AZ,column(n1),0)*e859</f>
        <v>0</v>
      </c>
      <c r="P859">
        <f>vlookup("623-000000-002",B:AZ,column(o1),0)*e859</f>
        <v>0</v>
      </c>
      <c r="Q859">
        <f>vlookup("623-000000-002",B:AZ,column(p1),0)*e859</f>
        <v>0</v>
      </c>
      <c r="R859">
        <f>vlookup("623-000000-002",B:AZ,column(q1),0)*e859</f>
        <v>0</v>
      </c>
      <c r="S859">
        <f>vlookup("623-000000-002",B:AZ,column(r1),0)*e859</f>
        <v>0</v>
      </c>
      <c r="T859">
        <f>vlookup("623-000000-002",B:AZ,column(s1),0)*e859</f>
        <v>0</v>
      </c>
      <c r="U859">
        <f>vlookup("623-000000-002",B:AZ,column(t1),0)*e859</f>
        <v>0</v>
      </c>
      <c r="V859">
        <f>vlookup("623-000000-002",B:AZ,column(u1),0)*e859</f>
        <v>0</v>
      </c>
      <c r="W859">
        <f>vlookup("623-000000-002",B:AZ,column(v1),0)*e859</f>
        <v>0</v>
      </c>
      <c r="X859">
        <f>vlookup("623-000000-002",B:AZ,column(w1),0)*e859</f>
        <v>0</v>
      </c>
      <c r="Y859">
        <f>vlookup("623-000000-002",B:AZ,column(x1),0)*e859</f>
        <v>0</v>
      </c>
      <c r="Z859">
        <f>vlookup("623-000000-002",B:AZ,column(y1),0)*e859</f>
        <v>0</v>
      </c>
      <c r="AA859">
        <f>vlookup("623-000000-002",B:AZ,column(z1),0)*e859</f>
        <v>0</v>
      </c>
      <c r="AB859">
        <f>vlookup("623-000000-002",B:AZ,column(aa1),0)*e859</f>
        <v>0</v>
      </c>
      <c r="AC859">
        <f>vlookup("623-000000-002",B:AZ,column(ab1),0)*e859</f>
        <v>0</v>
      </c>
      <c r="AD859">
        <f>vlookup("623-000000-002",B:AZ,column(ac1),0)*e859</f>
        <v>0</v>
      </c>
      <c r="AE859">
        <f>vlookup("623-000000-002",B:AZ,column(ad1),0)*e859</f>
        <v>0</v>
      </c>
      <c r="AF859">
        <f>vlookup("623-000000-002",B:AZ,column(ae1),0)*e859</f>
        <v>0</v>
      </c>
      <c r="AG859">
        <f>vlookup("623-000000-002",B:AZ,column(af1),0)*e859</f>
        <v>0</v>
      </c>
      <c r="AH859">
        <f>vlookup("623-000000-002",B:AZ,column(ag1),0)*e859</f>
        <v>0</v>
      </c>
      <c r="AI859">
        <f>vlookup("623-000000-002",B:AZ,column(ah1),0)*e859</f>
        <v>0</v>
      </c>
      <c r="AJ859">
        <f>vlookup("623-000000-002",B:AZ,column(ai1),0)*e859</f>
        <v>0</v>
      </c>
      <c r="AK859">
        <f>vlookup("623-000000-002",B:AZ,column(aj1),0)*e859</f>
        <v>0</v>
      </c>
      <c r="AL859">
        <f>vlookup("623-000000-002",B:AZ,column(ak1),0)*e859</f>
        <v>0</v>
      </c>
      <c r="AM859">
        <f>vlookup("623-000000-002",B:AZ,column(al1),0)*e859</f>
        <v>0</v>
      </c>
      <c r="AN859">
        <f>vlookup("623-000000-002",B:AZ,column(am1),0)*e859</f>
        <v>0</v>
      </c>
      <c r="AO859">
        <f>vlookup("623-000000-002",B:AZ,column(an1),0)*e859</f>
        <v>0</v>
      </c>
    </row>
    <row r="860" spans="1:41">
      <c r="A860" t="s">
        <v>22</v>
      </c>
      <c r="B860" t="s">
        <v>876</v>
      </c>
      <c r="C860" t="s">
        <v>877</v>
      </c>
      <c r="E860">
        <v>1</v>
      </c>
      <c r="F860" t="s">
        <v>13</v>
      </c>
      <c r="I860" t="s">
        <v>15</v>
      </c>
      <c r="J860">
        <f>vlookup("623-000000-002",B:AZ,column(i1),0)*e860</f>
        <v>0</v>
      </c>
      <c r="K860">
        <f>vlookup("623-000000-002",B:AZ,column(j1),0)*e860</f>
        <v>0</v>
      </c>
      <c r="L860">
        <f>vlookup("623-000000-002",B:AZ,column(k1),0)*e860</f>
        <v>0</v>
      </c>
      <c r="M860">
        <f>vlookup("623-000000-002",B:AZ,column(l1),0)*e860</f>
        <v>0</v>
      </c>
      <c r="N860">
        <f>vlookup("623-000000-002",B:AZ,column(m1),0)*e860</f>
        <v>0</v>
      </c>
      <c r="O860">
        <f>vlookup("623-000000-002",B:AZ,column(n1),0)*e860</f>
        <v>0</v>
      </c>
      <c r="P860">
        <f>vlookup("623-000000-002",B:AZ,column(o1),0)*e860</f>
        <v>0</v>
      </c>
      <c r="Q860">
        <f>vlookup("623-000000-002",B:AZ,column(p1),0)*e860</f>
        <v>0</v>
      </c>
      <c r="R860">
        <f>vlookup("623-000000-002",B:AZ,column(q1),0)*e860</f>
        <v>0</v>
      </c>
      <c r="S860">
        <f>vlookup("623-000000-002",B:AZ,column(r1),0)*e860</f>
        <v>0</v>
      </c>
      <c r="T860">
        <f>vlookup("623-000000-002",B:AZ,column(s1),0)*e860</f>
        <v>0</v>
      </c>
      <c r="U860">
        <f>vlookup("623-000000-002",B:AZ,column(t1),0)*e860</f>
        <v>0</v>
      </c>
      <c r="V860">
        <f>vlookup("623-000000-002",B:AZ,column(u1),0)*e860</f>
        <v>0</v>
      </c>
      <c r="W860">
        <f>vlookup("623-000000-002",B:AZ,column(v1),0)*e860</f>
        <v>0</v>
      </c>
      <c r="X860">
        <f>vlookup("623-000000-002",B:AZ,column(w1),0)*e860</f>
        <v>0</v>
      </c>
      <c r="Y860">
        <f>vlookup("623-000000-002",B:AZ,column(x1),0)*e860</f>
        <v>0</v>
      </c>
      <c r="Z860">
        <f>vlookup("623-000000-002",B:AZ,column(y1),0)*e860</f>
        <v>0</v>
      </c>
      <c r="AA860">
        <f>vlookup("623-000000-002",B:AZ,column(z1),0)*e860</f>
        <v>0</v>
      </c>
      <c r="AB860">
        <f>vlookup("623-000000-002",B:AZ,column(aa1),0)*e860</f>
        <v>0</v>
      </c>
      <c r="AC860">
        <f>vlookup("623-000000-002",B:AZ,column(ab1),0)*e860</f>
        <v>0</v>
      </c>
      <c r="AD860">
        <f>vlookup("623-000000-002",B:AZ,column(ac1),0)*e860</f>
        <v>0</v>
      </c>
      <c r="AE860">
        <f>vlookup("623-000000-002",B:AZ,column(ad1),0)*e860</f>
        <v>0</v>
      </c>
      <c r="AF860">
        <f>vlookup("623-000000-002",B:AZ,column(ae1),0)*e860</f>
        <v>0</v>
      </c>
      <c r="AG860">
        <f>vlookup("623-000000-002",B:AZ,column(af1),0)*e860</f>
        <v>0</v>
      </c>
      <c r="AH860">
        <f>vlookup("623-000000-002",B:AZ,column(ag1),0)*e860</f>
        <v>0</v>
      </c>
      <c r="AI860">
        <f>vlookup("623-000000-002",B:AZ,column(ah1),0)*e860</f>
        <v>0</v>
      </c>
      <c r="AJ860">
        <f>vlookup("623-000000-002",B:AZ,column(ai1),0)*e860</f>
        <v>0</v>
      </c>
      <c r="AK860">
        <f>vlookup("623-000000-002",B:AZ,column(aj1),0)*e860</f>
        <v>0</v>
      </c>
      <c r="AL860">
        <f>vlookup("623-000000-002",B:AZ,column(ak1),0)*e860</f>
        <v>0</v>
      </c>
      <c r="AM860">
        <f>vlookup("623-000000-002",B:AZ,column(al1),0)*e860</f>
        <v>0</v>
      </c>
      <c r="AN860">
        <f>vlookup("623-000000-002",B:AZ,column(am1),0)*e860</f>
        <v>0</v>
      </c>
      <c r="AO860">
        <f>vlookup("623-000000-002",B:AZ,column(an1),0)*e860</f>
        <v>0</v>
      </c>
    </row>
    <row r="861" spans="1:41">
      <c r="A861" t="s">
        <v>10</v>
      </c>
      <c r="B861" t="s">
        <v>876</v>
      </c>
      <c r="C861" t="s">
        <v>863</v>
      </c>
      <c r="E861" t="s">
        <v>851</v>
      </c>
      <c r="F861" t="s">
        <v>13</v>
      </c>
      <c r="I861" t="s">
        <v>14</v>
      </c>
      <c r="AO861">
        <f>sum(j861:an861)</f>
        <v>0</v>
      </c>
    </row>
    <row r="862" spans="1:41">
      <c r="I862" t="s">
        <v>15</v>
      </c>
      <c r="J862">
        <f>vlookup("232-002300-000",Out!B:AZ,column(i1),0)</f>
        <v>0</v>
      </c>
      <c r="K862">
        <f>vlookup("232-002300-000",Out!B:AZ,column(j1),0)</f>
        <v>0</v>
      </c>
      <c r="L862">
        <f>vlookup("232-002300-000",Out!B:AZ,column(k1),0)</f>
        <v>0</v>
      </c>
      <c r="M862">
        <f>vlookup("232-002300-000",Out!B:AZ,column(l1),0)</f>
        <v>0</v>
      </c>
      <c r="N862">
        <f>vlookup("232-002300-000",Out!B:AZ,column(m1),0)</f>
        <v>0</v>
      </c>
      <c r="O862">
        <f>vlookup("232-002300-000",Out!B:AZ,column(n1),0)</f>
        <v>0</v>
      </c>
      <c r="P862">
        <f>vlookup("232-002300-000",Out!B:AZ,column(o1),0)</f>
        <v>0</v>
      </c>
      <c r="Q862">
        <f>vlookup("232-002300-000",Out!B:AZ,column(p1),0)</f>
        <v>0</v>
      </c>
      <c r="R862">
        <f>vlookup("232-002300-000",Out!B:AZ,column(q1),0)</f>
        <v>0</v>
      </c>
      <c r="S862">
        <f>vlookup("232-002300-000",Out!B:AZ,column(r1),0)</f>
        <v>0</v>
      </c>
      <c r="T862">
        <f>vlookup("232-002300-000",Out!B:AZ,column(s1),0)</f>
        <v>0</v>
      </c>
      <c r="U862">
        <f>vlookup("232-002300-000",Out!B:AZ,column(t1),0)</f>
        <v>0</v>
      </c>
      <c r="V862">
        <f>vlookup("232-002300-000",Out!B:AZ,column(u1),0)</f>
        <v>0</v>
      </c>
      <c r="W862">
        <f>vlookup("232-002300-000",Out!B:AZ,column(v1),0)</f>
        <v>0</v>
      </c>
      <c r="X862">
        <f>vlookup("232-002300-000",Out!B:AZ,column(w1),0)</f>
        <v>0</v>
      </c>
      <c r="Y862">
        <f>vlookup("232-002300-000",Out!B:AZ,column(x1),0)</f>
        <v>0</v>
      </c>
      <c r="Z862">
        <f>vlookup("232-002300-000",Out!B:AZ,column(y1),0)</f>
        <v>0</v>
      </c>
      <c r="AA862">
        <f>vlookup("232-002300-000",Out!B:AZ,column(z1),0)</f>
        <v>0</v>
      </c>
      <c r="AB862">
        <f>vlookup("232-002300-000",Out!B:AZ,column(aa1),0)</f>
        <v>0</v>
      </c>
      <c r="AC862">
        <f>vlookup("232-002300-000",Out!B:AZ,column(ab1),0)</f>
        <v>0</v>
      </c>
      <c r="AD862">
        <f>vlookup("232-002300-000",Out!B:AZ,column(ac1),0)</f>
        <v>0</v>
      </c>
      <c r="AE862">
        <f>vlookup("232-002300-000",Out!B:AZ,column(ad1),0)</f>
        <v>0</v>
      </c>
      <c r="AF862">
        <f>vlookup("232-002300-000",Out!B:AZ,column(ae1),0)</f>
        <v>0</v>
      </c>
      <c r="AG862">
        <f>vlookup("232-002300-000",Out!B:AZ,column(af1),0)</f>
        <v>0</v>
      </c>
      <c r="AH862">
        <f>vlookup("232-002300-000",Out!B:AZ,column(ag1),0)</f>
        <v>0</v>
      </c>
      <c r="AI862">
        <f>vlookup("232-002300-000",Out!B:AZ,column(ah1),0)</f>
        <v>0</v>
      </c>
      <c r="AJ862">
        <f>vlookup("232-002300-000",Out!B:AZ,column(ai1),0)</f>
        <v>0</v>
      </c>
      <c r="AK862">
        <f>vlookup("232-002300-000",Out!B:AZ,column(aj1),0)</f>
        <v>0</v>
      </c>
      <c r="AL862">
        <f>vlookup("232-002300-000",Out!B:AZ,column(ak1),0)</f>
        <v>0</v>
      </c>
      <c r="AM862">
        <f>vlookup("232-002300-000",Out!B:AZ,column(al1),0)</f>
        <v>0</v>
      </c>
      <c r="AN862">
        <f>vlookup("232-002300-000",Out!B:AZ,column(am1),0)</f>
        <v>0</v>
      </c>
      <c r="AO862">
        <f>vlookup("232-002300-000",Out!B:AZ,column(an1),0)</f>
        <v>0</v>
      </c>
    </row>
    <row r="863" spans="1:41">
      <c r="H863" t="s">
        <v>16</v>
      </c>
      <c r="J863">
        <f>indirect(address(863,9))+indirect(address(861,10))-indirect(address(862,10))</f>
        <v>0</v>
      </c>
      <c r="K863">
        <f>indirect(address(863,10))+indirect(address(861,11))-indirect(address(862,11))</f>
        <v>0</v>
      </c>
      <c r="L863">
        <f>indirect(address(863,11))+indirect(address(861,12))-indirect(address(862,12))</f>
        <v>0</v>
      </c>
      <c r="M863">
        <f>indirect(address(863,12))+indirect(address(861,13))-indirect(address(862,13))</f>
        <v>0</v>
      </c>
      <c r="N863">
        <f>indirect(address(863,13))+indirect(address(861,14))-indirect(address(862,14))</f>
        <v>0</v>
      </c>
      <c r="O863">
        <f>indirect(address(863,14))+indirect(address(861,15))-indirect(address(862,15))</f>
        <v>0</v>
      </c>
      <c r="P863">
        <f>indirect(address(863,15))+indirect(address(861,16))-indirect(address(862,16))</f>
        <v>0</v>
      </c>
      <c r="Q863">
        <f>indirect(address(863,16))+indirect(address(861,17))-indirect(address(862,17))</f>
        <v>0</v>
      </c>
      <c r="R863">
        <f>indirect(address(863,17))+indirect(address(861,18))-indirect(address(862,18))</f>
        <v>0</v>
      </c>
      <c r="S863">
        <f>indirect(address(863,18))+indirect(address(861,19))-indirect(address(862,19))</f>
        <v>0</v>
      </c>
      <c r="T863">
        <f>indirect(address(863,19))+indirect(address(861,20))-indirect(address(862,20))</f>
        <v>0</v>
      </c>
      <c r="U863">
        <f>indirect(address(863,20))+indirect(address(861,21))-indirect(address(862,21))</f>
        <v>0</v>
      </c>
      <c r="V863">
        <f>indirect(address(863,21))+indirect(address(861,22))-indirect(address(862,22))</f>
        <v>0</v>
      </c>
      <c r="W863">
        <f>indirect(address(863,22))+indirect(address(861,23))-indirect(address(862,23))</f>
        <v>0</v>
      </c>
      <c r="X863">
        <f>indirect(address(863,23))+indirect(address(861,24))-indirect(address(862,24))</f>
        <v>0</v>
      </c>
      <c r="Y863">
        <f>indirect(address(863,24))+indirect(address(861,25))-indirect(address(862,25))</f>
        <v>0</v>
      </c>
      <c r="Z863">
        <f>indirect(address(863,25))+indirect(address(861,26))-indirect(address(862,26))</f>
        <v>0</v>
      </c>
      <c r="AA863">
        <f>indirect(address(863,26))+indirect(address(861,27))-indirect(address(862,27))</f>
        <v>0</v>
      </c>
      <c r="AB863">
        <f>indirect(address(863,27))+indirect(address(861,28))-indirect(address(862,28))</f>
        <v>0</v>
      </c>
      <c r="AC863">
        <f>indirect(address(863,28))+indirect(address(861,29))-indirect(address(862,29))</f>
        <v>0</v>
      </c>
      <c r="AD863">
        <f>indirect(address(863,29))+indirect(address(861,30))-indirect(address(862,30))</f>
        <v>0</v>
      </c>
      <c r="AE863">
        <f>indirect(address(863,30))+indirect(address(861,31))-indirect(address(862,31))</f>
        <v>0</v>
      </c>
      <c r="AF863">
        <f>indirect(address(863,31))+indirect(address(861,32))-indirect(address(862,32))</f>
        <v>0</v>
      </c>
      <c r="AG863">
        <f>indirect(address(863,32))+indirect(address(861,33))-indirect(address(862,33))</f>
        <v>0</v>
      </c>
      <c r="AH863">
        <f>indirect(address(863,33))+indirect(address(861,34))-indirect(address(862,34))</f>
        <v>0</v>
      </c>
      <c r="AI863">
        <f>indirect(address(863,34))+indirect(address(861,35))-indirect(address(862,35))</f>
        <v>0</v>
      </c>
      <c r="AJ863">
        <f>indirect(address(863,35))+indirect(address(861,36))-indirect(address(862,36))</f>
        <v>0</v>
      </c>
      <c r="AK863">
        <f>indirect(address(863,36))+indirect(address(861,37))-indirect(address(862,37))</f>
        <v>0</v>
      </c>
      <c r="AL863">
        <f>indirect(address(863,37))+indirect(address(861,38))-indirect(address(862,38))</f>
        <v>0</v>
      </c>
      <c r="AM863">
        <f>indirect(address(863,38))+indirect(address(861,39))-indirect(address(862,39))</f>
        <v>0</v>
      </c>
      <c r="AN863">
        <f>indirect(address(863,39))+indirect(address(861,40))-indirect(address(862,40))</f>
        <v>0</v>
      </c>
      <c r="AO863">
        <f>indirect(address(863,40))</f>
        <v>0</v>
      </c>
    </row>
    <row r="864" spans="1:41">
      <c r="A864" t="s">
        <v>17</v>
      </c>
      <c r="B864" t="s">
        <v>864</v>
      </c>
      <c r="C864" t="s">
        <v>865</v>
      </c>
      <c r="E864">
        <v>1</v>
      </c>
      <c r="F864" t="s">
        <v>13</v>
      </c>
      <c r="I864" t="s">
        <v>15</v>
      </c>
      <c r="J864">
        <f>vlookup("232-002300-000",B:AZ,column(i1),0)*e864</f>
        <v>0</v>
      </c>
      <c r="K864">
        <f>vlookup("232-002300-000",B:AZ,column(j1),0)*e864</f>
        <v>0</v>
      </c>
      <c r="L864">
        <f>vlookup("232-002300-000",B:AZ,column(k1),0)*e864</f>
        <v>0</v>
      </c>
      <c r="M864">
        <f>vlookup("232-002300-000",B:AZ,column(l1),0)*e864</f>
        <v>0</v>
      </c>
      <c r="N864">
        <f>vlookup("232-002300-000",B:AZ,column(m1),0)*e864</f>
        <v>0</v>
      </c>
      <c r="O864">
        <f>vlookup("232-002300-000",B:AZ,column(n1),0)*e864</f>
        <v>0</v>
      </c>
      <c r="P864">
        <f>vlookup("232-002300-000",B:AZ,column(o1),0)*e864</f>
        <v>0</v>
      </c>
      <c r="Q864">
        <f>vlookup("232-002300-000",B:AZ,column(p1),0)*e864</f>
        <v>0</v>
      </c>
      <c r="R864">
        <f>vlookup("232-002300-000",B:AZ,column(q1),0)*e864</f>
        <v>0</v>
      </c>
      <c r="S864">
        <f>vlookup("232-002300-000",B:AZ,column(r1),0)*e864</f>
        <v>0</v>
      </c>
      <c r="T864">
        <f>vlookup("232-002300-000",B:AZ,column(s1),0)*e864</f>
        <v>0</v>
      </c>
      <c r="U864">
        <f>vlookup("232-002300-000",B:AZ,column(t1),0)*e864</f>
        <v>0</v>
      </c>
      <c r="V864">
        <f>vlookup("232-002300-000",B:AZ,column(u1),0)*e864</f>
        <v>0</v>
      </c>
      <c r="W864">
        <f>vlookup("232-002300-000",B:AZ,column(v1),0)*e864</f>
        <v>0</v>
      </c>
      <c r="X864">
        <f>vlookup("232-002300-000",B:AZ,column(w1),0)*e864</f>
        <v>0</v>
      </c>
      <c r="Y864">
        <f>vlookup("232-002300-000",B:AZ,column(x1),0)*e864</f>
        <v>0</v>
      </c>
      <c r="Z864">
        <f>vlookup("232-002300-000",B:AZ,column(y1),0)*e864</f>
        <v>0</v>
      </c>
      <c r="AA864">
        <f>vlookup("232-002300-000",B:AZ,column(z1),0)*e864</f>
        <v>0</v>
      </c>
      <c r="AB864">
        <f>vlookup("232-002300-000",B:AZ,column(aa1),0)*e864</f>
        <v>0</v>
      </c>
      <c r="AC864">
        <f>vlookup("232-002300-000",B:AZ,column(ab1),0)*e864</f>
        <v>0</v>
      </c>
      <c r="AD864">
        <f>vlookup("232-002300-000",B:AZ,column(ac1),0)*e864</f>
        <v>0</v>
      </c>
      <c r="AE864">
        <f>vlookup("232-002300-000",B:AZ,column(ad1),0)*e864</f>
        <v>0</v>
      </c>
      <c r="AF864">
        <f>vlookup("232-002300-000",B:AZ,column(ae1),0)*e864</f>
        <v>0</v>
      </c>
      <c r="AG864">
        <f>vlookup("232-002300-000",B:AZ,column(af1),0)*e864</f>
        <v>0</v>
      </c>
      <c r="AH864">
        <f>vlookup("232-002300-000",B:AZ,column(ag1),0)*e864</f>
        <v>0</v>
      </c>
      <c r="AI864">
        <f>vlookup("232-002300-000",B:AZ,column(ah1),0)*e864</f>
        <v>0</v>
      </c>
      <c r="AJ864">
        <f>vlookup("232-002300-000",B:AZ,column(ai1),0)*e864</f>
        <v>0</v>
      </c>
      <c r="AK864">
        <f>vlookup("232-002300-000",B:AZ,column(aj1),0)*e864</f>
        <v>0</v>
      </c>
      <c r="AL864">
        <f>vlookup("232-002300-000",B:AZ,column(ak1),0)*e864</f>
        <v>0</v>
      </c>
      <c r="AM864">
        <f>vlookup("232-002300-000",B:AZ,column(al1),0)*e864</f>
        <v>0</v>
      </c>
      <c r="AN864">
        <f>vlookup("232-002300-000",B:AZ,column(am1),0)*e864</f>
        <v>0</v>
      </c>
      <c r="AO864">
        <f>vlookup("232-002300-000",B:AZ,column(an1),0)*e864</f>
        <v>0</v>
      </c>
    </row>
    <row r="865" spans="1:41">
      <c r="A865" t="s">
        <v>22</v>
      </c>
      <c r="B865" t="s">
        <v>866</v>
      </c>
      <c r="C865" t="s">
        <v>867</v>
      </c>
      <c r="E865">
        <v>1</v>
      </c>
      <c r="F865" t="s">
        <v>13</v>
      </c>
      <c r="I865" t="s">
        <v>15</v>
      </c>
      <c r="J865">
        <f>vlookup("232-002300-000",B:AZ,column(i1),0)*e865</f>
        <v>0</v>
      </c>
      <c r="K865">
        <f>vlookup("232-002300-000",B:AZ,column(j1),0)*e865</f>
        <v>0</v>
      </c>
      <c r="L865">
        <f>vlookup("232-002300-000",B:AZ,column(k1),0)*e865</f>
        <v>0</v>
      </c>
      <c r="M865">
        <f>vlookup("232-002300-000",B:AZ,column(l1),0)*e865</f>
        <v>0</v>
      </c>
      <c r="N865">
        <f>vlookup("232-002300-000",B:AZ,column(m1),0)*e865</f>
        <v>0</v>
      </c>
      <c r="O865">
        <f>vlookup("232-002300-000",B:AZ,column(n1),0)*e865</f>
        <v>0</v>
      </c>
      <c r="P865">
        <f>vlookup("232-002300-000",B:AZ,column(o1),0)*e865</f>
        <v>0</v>
      </c>
      <c r="Q865">
        <f>vlookup("232-002300-000",B:AZ,column(p1),0)*e865</f>
        <v>0</v>
      </c>
      <c r="R865">
        <f>vlookup("232-002300-000",B:AZ,column(q1),0)*e865</f>
        <v>0</v>
      </c>
      <c r="S865">
        <f>vlookup("232-002300-000",B:AZ,column(r1),0)*e865</f>
        <v>0</v>
      </c>
      <c r="T865">
        <f>vlookup("232-002300-000",B:AZ,column(s1),0)*e865</f>
        <v>0</v>
      </c>
      <c r="U865">
        <f>vlookup("232-002300-000",B:AZ,column(t1),0)*e865</f>
        <v>0</v>
      </c>
      <c r="V865">
        <f>vlookup("232-002300-000",B:AZ,column(u1),0)*e865</f>
        <v>0</v>
      </c>
      <c r="W865">
        <f>vlookup("232-002300-000",B:AZ,column(v1),0)*e865</f>
        <v>0</v>
      </c>
      <c r="X865">
        <f>vlookup("232-002300-000",B:AZ,column(w1),0)*e865</f>
        <v>0</v>
      </c>
      <c r="Y865">
        <f>vlookup("232-002300-000",B:AZ,column(x1),0)*e865</f>
        <v>0</v>
      </c>
      <c r="Z865">
        <f>vlookup("232-002300-000",B:AZ,column(y1),0)*e865</f>
        <v>0</v>
      </c>
      <c r="AA865">
        <f>vlookup("232-002300-000",B:AZ,column(z1),0)*e865</f>
        <v>0</v>
      </c>
      <c r="AB865">
        <f>vlookup("232-002300-000",B:AZ,column(aa1),0)*e865</f>
        <v>0</v>
      </c>
      <c r="AC865">
        <f>vlookup("232-002300-000",B:AZ,column(ab1),0)*e865</f>
        <v>0</v>
      </c>
      <c r="AD865">
        <f>vlookup("232-002300-000",B:AZ,column(ac1),0)*e865</f>
        <v>0</v>
      </c>
      <c r="AE865">
        <f>vlookup("232-002300-000",B:AZ,column(ad1),0)*e865</f>
        <v>0</v>
      </c>
      <c r="AF865">
        <f>vlookup("232-002300-000",B:AZ,column(ae1),0)*e865</f>
        <v>0</v>
      </c>
      <c r="AG865">
        <f>vlookup("232-002300-000",B:AZ,column(af1),0)*e865</f>
        <v>0</v>
      </c>
      <c r="AH865">
        <f>vlookup("232-002300-000",B:AZ,column(ag1),0)*e865</f>
        <v>0</v>
      </c>
      <c r="AI865">
        <f>vlookup("232-002300-000",B:AZ,column(ah1),0)*e865</f>
        <v>0</v>
      </c>
      <c r="AJ865">
        <f>vlookup("232-002300-000",B:AZ,column(ai1),0)*e865</f>
        <v>0</v>
      </c>
      <c r="AK865">
        <f>vlookup("232-002300-000",B:AZ,column(aj1),0)*e865</f>
        <v>0</v>
      </c>
      <c r="AL865">
        <f>vlookup("232-002300-000",B:AZ,column(ak1),0)*e865</f>
        <v>0</v>
      </c>
      <c r="AM865">
        <f>vlookup("232-002300-000",B:AZ,column(al1),0)*e865</f>
        <v>0</v>
      </c>
      <c r="AN865">
        <f>vlookup("232-002300-000",B:AZ,column(am1),0)*e865</f>
        <v>0</v>
      </c>
      <c r="AO865">
        <f>vlookup("232-002300-000",B:AZ,column(an1),0)*e865</f>
        <v>0</v>
      </c>
    </row>
    <row r="866" spans="1:41">
      <c r="A866" t="s">
        <v>22</v>
      </c>
      <c r="B866" t="s">
        <v>868</v>
      </c>
      <c r="C866" t="s">
        <v>869</v>
      </c>
      <c r="E866">
        <v>2</v>
      </c>
      <c r="F866" t="s">
        <v>13</v>
      </c>
      <c r="I866" t="s">
        <v>15</v>
      </c>
      <c r="J866">
        <f>vlookup("232-002300-000",B:AZ,column(i1),0)*e866</f>
        <v>0</v>
      </c>
      <c r="K866">
        <f>vlookup("232-002300-000",B:AZ,column(j1),0)*e866</f>
        <v>0</v>
      </c>
      <c r="L866">
        <f>vlookup("232-002300-000",B:AZ,column(k1),0)*e866</f>
        <v>0</v>
      </c>
      <c r="M866">
        <f>vlookup("232-002300-000",B:AZ,column(l1),0)*e866</f>
        <v>0</v>
      </c>
      <c r="N866">
        <f>vlookup("232-002300-000",B:AZ,column(m1),0)*e866</f>
        <v>0</v>
      </c>
      <c r="O866">
        <f>vlookup("232-002300-000",B:AZ,column(n1),0)*e866</f>
        <v>0</v>
      </c>
      <c r="P866">
        <f>vlookup("232-002300-000",B:AZ,column(o1),0)*e866</f>
        <v>0</v>
      </c>
      <c r="Q866">
        <f>vlookup("232-002300-000",B:AZ,column(p1),0)*e866</f>
        <v>0</v>
      </c>
      <c r="R866">
        <f>vlookup("232-002300-000",B:AZ,column(q1),0)*e866</f>
        <v>0</v>
      </c>
      <c r="S866">
        <f>vlookup("232-002300-000",B:AZ,column(r1),0)*e866</f>
        <v>0</v>
      </c>
      <c r="T866">
        <f>vlookup("232-002300-000",B:AZ,column(s1),0)*e866</f>
        <v>0</v>
      </c>
      <c r="U866">
        <f>vlookup("232-002300-000",B:AZ,column(t1),0)*e866</f>
        <v>0</v>
      </c>
      <c r="V866">
        <f>vlookup("232-002300-000",B:AZ,column(u1),0)*e866</f>
        <v>0</v>
      </c>
      <c r="W866">
        <f>vlookup("232-002300-000",B:AZ,column(v1),0)*e866</f>
        <v>0</v>
      </c>
      <c r="X866">
        <f>vlookup("232-002300-000",B:AZ,column(w1),0)*e866</f>
        <v>0</v>
      </c>
      <c r="Y866">
        <f>vlookup("232-002300-000",B:AZ,column(x1),0)*e866</f>
        <v>0</v>
      </c>
      <c r="Z866">
        <f>vlookup("232-002300-000",B:AZ,column(y1),0)*e866</f>
        <v>0</v>
      </c>
      <c r="AA866">
        <f>vlookup("232-002300-000",B:AZ,column(z1),0)*e866</f>
        <v>0</v>
      </c>
      <c r="AB866">
        <f>vlookup("232-002300-000",B:AZ,column(aa1),0)*e866</f>
        <v>0</v>
      </c>
      <c r="AC866">
        <f>vlookup("232-002300-000",B:AZ,column(ab1),0)*e866</f>
        <v>0</v>
      </c>
      <c r="AD866">
        <f>vlookup("232-002300-000",B:AZ,column(ac1),0)*e866</f>
        <v>0</v>
      </c>
      <c r="AE866">
        <f>vlookup("232-002300-000",B:AZ,column(ad1),0)*e866</f>
        <v>0</v>
      </c>
      <c r="AF866">
        <f>vlookup("232-002300-000",B:AZ,column(ae1),0)*e866</f>
        <v>0</v>
      </c>
      <c r="AG866">
        <f>vlookup("232-002300-000",B:AZ,column(af1),0)*e866</f>
        <v>0</v>
      </c>
      <c r="AH866">
        <f>vlookup("232-002300-000",B:AZ,column(ag1),0)*e866</f>
        <v>0</v>
      </c>
      <c r="AI866">
        <f>vlookup("232-002300-000",B:AZ,column(ah1),0)*e866</f>
        <v>0</v>
      </c>
      <c r="AJ866">
        <f>vlookup("232-002300-000",B:AZ,column(ai1),0)*e866</f>
        <v>0</v>
      </c>
      <c r="AK866">
        <f>vlookup("232-002300-000",B:AZ,column(aj1),0)*e866</f>
        <v>0</v>
      </c>
      <c r="AL866">
        <f>vlookup("232-002300-000",B:AZ,column(ak1),0)*e866</f>
        <v>0</v>
      </c>
      <c r="AM866">
        <f>vlookup("232-002300-000",B:AZ,column(al1),0)*e866</f>
        <v>0</v>
      </c>
      <c r="AN866">
        <f>vlookup("232-002300-000",B:AZ,column(am1),0)*e866</f>
        <v>0</v>
      </c>
      <c r="AO866">
        <f>vlookup("232-002300-000",B:AZ,column(an1),0)*e866</f>
        <v>0</v>
      </c>
    </row>
    <row r="867" spans="1:41">
      <c r="A867" t="s">
        <v>22</v>
      </c>
      <c r="B867" t="s">
        <v>878</v>
      </c>
      <c r="C867" t="s">
        <v>879</v>
      </c>
      <c r="E867">
        <v>1</v>
      </c>
      <c r="F867" t="s">
        <v>13</v>
      </c>
      <c r="I867" t="s">
        <v>15</v>
      </c>
      <c r="J867">
        <f>vlookup("232-002300-000",B:AZ,column(i1),0)*e867</f>
        <v>0</v>
      </c>
      <c r="K867">
        <f>vlookup("232-002300-000",B:AZ,column(j1),0)*e867</f>
        <v>0</v>
      </c>
      <c r="L867">
        <f>vlookup("232-002300-000",B:AZ,column(k1),0)*e867</f>
        <v>0</v>
      </c>
      <c r="M867">
        <f>vlookup("232-002300-000",B:AZ,column(l1),0)*e867</f>
        <v>0</v>
      </c>
      <c r="N867">
        <f>vlookup("232-002300-000",B:AZ,column(m1),0)*e867</f>
        <v>0</v>
      </c>
      <c r="O867">
        <f>vlookup("232-002300-000",B:AZ,column(n1),0)*e867</f>
        <v>0</v>
      </c>
      <c r="P867">
        <f>vlookup("232-002300-000",B:AZ,column(o1),0)*e867</f>
        <v>0</v>
      </c>
      <c r="Q867">
        <f>vlookup("232-002300-000",B:AZ,column(p1),0)*e867</f>
        <v>0</v>
      </c>
      <c r="R867">
        <f>vlookup("232-002300-000",B:AZ,column(q1),0)*e867</f>
        <v>0</v>
      </c>
      <c r="S867">
        <f>vlookup("232-002300-000",B:AZ,column(r1),0)*e867</f>
        <v>0</v>
      </c>
      <c r="T867">
        <f>vlookup("232-002300-000",B:AZ,column(s1),0)*e867</f>
        <v>0</v>
      </c>
      <c r="U867">
        <f>vlookup("232-002300-000",B:AZ,column(t1),0)*e867</f>
        <v>0</v>
      </c>
      <c r="V867">
        <f>vlookup("232-002300-000",B:AZ,column(u1),0)*e867</f>
        <v>0</v>
      </c>
      <c r="W867">
        <f>vlookup("232-002300-000",B:AZ,column(v1),0)*e867</f>
        <v>0</v>
      </c>
      <c r="X867">
        <f>vlookup("232-002300-000",B:AZ,column(w1),0)*e867</f>
        <v>0</v>
      </c>
      <c r="Y867">
        <f>vlookup("232-002300-000",B:AZ,column(x1),0)*e867</f>
        <v>0</v>
      </c>
      <c r="Z867">
        <f>vlookup("232-002300-000",B:AZ,column(y1),0)*e867</f>
        <v>0</v>
      </c>
      <c r="AA867">
        <f>vlookup("232-002300-000",B:AZ,column(z1),0)*e867</f>
        <v>0</v>
      </c>
      <c r="AB867">
        <f>vlookup("232-002300-000",B:AZ,column(aa1),0)*e867</f>
        <v>0</v>
      </c>
      <c r="AC867">
        <f>vlookup("232-002300-000",B:AZ,column(ab1),0)*e867</f>
        <v>0</v>
      </c>
      <c r="AD867">
        <f>vlookup("232-002300-000",B:AZ,column(ac1),0)*e867</f>
        <v>0</v>
      </c>
      <c r="AE867">
        <f>vlookup("232-002300-000",B:AZ,column(ad1),0)*e867</f>
        <v>0</v>
      </c>
      <c r="AF867">
        <f>vlookup("232-002300-000",B:AZ,column(ae1),0)*e867</f>
        <v>0</v>
      </c>
      <c r="AG867">
        <f>vlookup("232-002300-000",B:AZ,column(af1),0)*e867</f>
        <v>0</v>
      </c>
      <c r="AH867">
        <f>vlookup("232-002300-000",B:AZ,column(ag1),0)*e867</f>
        <v>0</v>
      </c>
      <c r="AI867">
        <f>vlookup("232-002300-000",B:AZ,column(ah1),0)*e867</f>
        <v>0</v>
      </c>
      <c r="AJ867">
        <f>vlookup("232-002300-000",B:AZ,column(ai1),0)*e867</f>
        <v>0</v>
      </c>
      <c r="AK867">
        <f>vlookup("232-002300-000",B:AZ,column(aj1),0)*e867</f>
        <v>0</v>
      </c>
      <c r="AL867">
        <f>vlookup("232-002300-000",B:AZ,column(ak1),0)*e867</f>
        <v>0</v>
      </c>
      <c r="AM867">
        <f>vlookup("232-002300-000",B:AZ,column(al1),0)*e867</f>
        <v>0</v>
      </c>
      <c r="AN867">
        <f>vlookup("232-002300-000",B:AZ,column(am1),0)*e867</f>
        <v>0</v>
      </c>
      <c r="AO867">
        <f>vlookup("232-002300-000",B:AZ,column(an1),0)*e867</f>
        <v>0</v>
      </c>
    </row>
    <row r="868" spans="1:41">
      <c r="A868" t="s">
        <v>22</v>
      </c>
      <c r="B868" t="s">
        <v>874</v>
      </c>
      <c r="C868" t="s">
        <v>875</v>
      </c>
      <c r="E868">
        <v>1</v>
      </c>
      <c r="F868" t="s">
        <v>13</v>
      </c>
      <c r="I868" t="s">
        <v>15</v>
      </c>
      <c r="J868">
        <f>vlookup("232-002300-000",B:AZ,column(i1),0)*e868</f>
        <v>0</v>
      </c>
      <c r="K868">
        <f>vlookup("232-002300-000",B:AZ,column(j1),0)*e868</f>
        <v>0</v>
      </c>
      <c r="L868">
        <f>vlookup("232-002300-000",B:AZ,column(k1),0)*e868</f>
        <v>0</v>
      </c>
      <c r="M868">
        <f>vlookup("232-002300-000",B:AZ,column(l1),0)*e868</f>
        <v>0</v>
      </c>
      <c r="N868">
        <f>vlookup("232-002300-000",B:AZ,column(m1),0)*e868</f>
        <v>0</v>
      </c>
      <c r="O868">
        <f>vlookup("232-002300-000",B:AZ,column(n1),0)*e868</f>
        <v>0</v>
      </c>
      <c r="P868">
        <f>vlookup("232-002300-000",B:AZ,column(o1),0)*e868</f>
        <v>0</v>
      </c>
      <c r="Q868">
        <f>vlookup("232-002300-000",B:AZ,column(p1),0)*e868</f>
        <v>0</v>
      </c>
      <c r="R868">
        <f>vlookup("232-002300-000",B:AZ,column(q1),0)*e868</f>
        <v>0</v>
      </c>
      <c r="S868">
        <f>vlookup("232-002300-000",B:AZ,column(r1),0)*e868</f>
        <v>0</v>
      </c>
      <c r="T868">
        <f>vlookup("232-002300-000",B:AZ,column(s1),0)*e868</f>
        <v>0</v>
      </c>
      <c r="U868">
        <f>vlookup("232-002300-000",B:AZ,column(t1),0)*e868</f>
        <v>0</v>
      </c>
      <c r="V868">
        <f>vlookup("232-002300-000",B:AZ,column(u1),0)*e868</f>
        <v>0</v>
      </c>
      <c r="W868">
        <f>vlookup("232-002300-000",B:AZ,column(v1),0)*e868</f>
        <v>0</v>
      </c>
      <c r="X868">
        <f>vlookup("232-002300-000",B:AZ,column(w1),0)*e868</f>
        <v>0</v>
      </c>
      <c r="Y868">
        <f>vlookup("232-002300-000",B:AZ,column(x1),0)*e868</f>
        <v>0</v>
      </c>
      <c r="Z868">
        <f>vlookup("232-002300-000",B:AZ,column(y1),0)*e868</f>
        <v>0</v>
      </c>
      <c r="AA868">
        <f>vlookup("232-002300-000",B:AZ,column(z1),0)*e868</f>
        <v>0</v>
      </c>
      <c r="AB868">
        <f>vlookup("232-002300-000",B:AZ,column(aa1),0)*e868</f>
        <v>0</v>
      </c>
      <c r="AC868">
        <f>vlookup("232-002300-000",B:AZ,column(ab1),0)*e868</f>
        <v>0</v>
      </c>
      <c r="AD868">
        <f>vlookup("232-002300-000",B:AZ,column(ac1),0)*e868</f>
        <v>0</v>
      </c>
      <c r="AE868">
        <f>vlookup("232-002300-000",B:AZ,column(ad1),0)*e868</f>
        <v>0</v>
      </c>
      <c r="AF868">
        <f>vlookup("232-002300-000",B:AZ,column(ae1),0)*e868</f>
        <v>0</v>
      </c>
      <c r="AG868">
        <f>vlookup("232-002300-000",B:AZ,column(af1),0)*e868</f>
        <v>0</v>
      </c>
      <c r="AH868">
        <f>vlookup("232-002300-000",B:AZ,column(ag1),0)*e868</f>
        <v>0</v>
      </c>
      <c r="AI868">
        <f>vlookup("232-002300-000",B:AZ,column(ah1),0)*e868</f>
        <v>0</v>
      </c>
      <c r="AJ868">
        <f>vlookup("232-002300-000",B:AZ,column(ai1),0)*e868</f>
        <v>0</v>
      </c>
      <c r="AK868">
        <f>vlookup("232-002300-000",B:AZ,column(aj1),0)*e868</f>
        <v>0</v>
      </c>
      <c r="AL868">
        <f>vlookup("232-002300-000",B:AZ,column(ak1),0)*e868</f>
        <v>0</v>
      </c>
      <c r="AM868">
        <f>vlookup("232-002300-000",B:AZ,column(al1),0)*e868</f>
        <v>0</v>
      </c>
      <c r="AN868">
        <f>vlookup("232-002300-000",B:AZ,column(am1),0)*e868</f>
        <v>0</v>
      </c>
      <c r="AO868">
        <f>vlookup("232-002300-000",B:AZ,column(an1),0)*e868</f>
        <v>0</v>
      </c>
    </row>
    <row r="869" spans="1:41">
      <c r="A869" t="s">
        <v>22</v>
      </c>
      <c r="B869" t="s">
        <v>876</v>
      </c>
      <c r="C869" t="s">
        <v>877</v>
      </c>
      <c r="E869">
        <v>1</v>
      </c>
      <c r="F869" t="s">
        <v>13</v>
      </c>
      <c r="I869" t="s">
        <v>15</v>
      </c>
      <c r="J869">
        <f>vlookup("232-002300-000",B:AZ,column(i1),0)*e869</f>
        <v>0</v>
      </c>
      <c r="K869">
        <f>vlookup("232-002300-000",B:AZ,column(j1),0)*e869</f>
        <v>0</v>
      </c>
      <c r="L869">
        <f>vlookup("232-002300-000",B:AZ,column(k1),0)*e869</f>
        <v>0</v>
      </c>
      <c r="M869">
        <f>vlookup("232-002300-000",B:AZ,column(l1),0)*e869</f>
        <v>0</v>
      </c>
      <c r="N869">
        <f>vlookup("232-002300-000",B:AZ,column(m1),0)*e869</f>
        <v>0</v>
      </c>
      <c r="O869">
        <f>vlookup("232-002300-000",B:AZ,column(n1),0)*e869</f>
        <v>0</v>
      </c>
      <c r="P869">
        <f>vlookup("232-002300-000",B:AZ,column(o1),0)*e869</f>
        <v>0</v>
      </c>
      <c r="Q869">
        <f>vlookup("232-002300-000",B:AZ,column(p1),0)*e869</f>
        <v>0</v>
      </c>
      <c r="R869">
        <f>vlookup("232-002300-000",B:AZ,column(q1),0)*e869</f>
        <v>0</v>
      </c>
      <c r="S869">
        <f>vlookup("232-002300-000",B:AZ,column(r1),0)*e869</f>
        <v>0</v>
      </c>
      <c r="T869">
        <f>vlookup("232-002300-000",B:AZ,column(s1),0)*e869</f>
        <v>0</v>
      </c>
      <c r="U869">
        <f>vlookup("232-002300-000",B:AZ,column(t1),0)*e869</f>
        <v>0</v>
      </c>
      <c r="V869">
        <f>vlookup("232-002300-000",B:AZ,column(u1),0)*e869</f>
        <v>0</v>
      </c>
      <c r="W869">
        <f>vlookup("232-002300-000",B:AZ,column(v1),0)*e869</f>
        <v>0</v>
      </c>
      <c r="X869">
        <f>vlookup("232-002300-000",B:AZ,column(w1),0)*e869</f>
        <v>0</v>
      </c>
      <c r="Y869">
        <f>vlookup("232-002300-000",B:AZ,column(x1),0)*e869</f>
        <v>0</v>
      </c>
      <c r="Z869">
        <f>vlookup("232-002300-000",B:AZ,column(y1),0)*e869</f>
        <v>0</v>
      </c>
      <c r="AA869">
        <f>vlookup("232-002300-000",B:AZ,column(z1),0)*e869</f>
        <v>0</v>
      </c>
      <c r="AB869">
        <f>vlookup("232-002300-000",B:AZ,column(aa1),0)*e869</f>
        <v>0</v>
      </c>
      <c r="AC869">
        <f>vlookup("232-002300-000",B:AZ,column(ab1),0)*e869</f>
        <v>0</v>
      </c>
      <c r="AD869">
        <f>vlookup("232-002300-000",B:AZ,column(ac1),0)*e869</f>
        <v>0</v>
      </c>
      <c r="AE869">
        <f>vlookup("232-002300-000",B:AZ,column(ad1),0)*e869</f>
        <v>0</v>
      </c>
      <c r="AF869">
        <f>vlookup("232-002300-000",B:AZ,column(ae1),0)*e869</f>
        <v>0</v>
      </c>
      <c r="AG869">
        <f>vlookup("232-002300-000",B:AZ,column(af1),0)*e869</f>
        <v>0</v>
      </c>
      <c r="AH869">
        <f>vlookup("232-002300-000",B:AZ,column(ag1),0)*e869</f>
        <v>0</v>
      </c>
      <c r="AI869">
        <f>vlookup("232-002300-000",B:AZ,column(ah1),0)*e869</f>
        <v>0</v>
      </c>
      <c r="AJ869">
        <f>vlookup("232-002300-000",B:AZ,column(ai1),0)*e869</f>
        <v>0</v>
      </c>
      <c r="AK869">
        <f>vlookup("232-002300-000",B:AZ,column(aj1),0)*e869</f>
        <v>0</v>
      </c>
      <c r="AL869">
        <f>vlookup("232-002300-000",B:AZ,column(ak1),0)*e869</f>
        <v>0</v>
      </c>
      <c r="AM869">
        <f>vlookup("232-002300-000",B:AZ,column(al1),0)*e869</f>
        <v>0</v>
      </c>
      <c r="AN869">
        <f>vlookup("232-002300-000",B:AZ,column(am1),0)*e869</f>
        <v>0</v>
      </c>
      <c r="AO869">
        <f>vlookup("232-002300-000",B:AZ,column(an1),0)*e869</f>
        <v>0</v>
      </c>
    </row>
    <row r="870" spans="1:41">
      <c r="A870" t="s">
        <v>10</v>
      </c>
      <c r="B870" t="s">
        <v>876</v>
      </c>
      <c r="C870" t="s">
        <v>880</v>
      </c>
      <c r="E870" t="s">
        <v>851</v>
      </c>
      <c r="F870" t="s">
        <v>13</v>
      </c>
      <c r="I870" t="s">
        <v>14</v>
      </c>
      <c r="AO870">
        <f>sum(j870:an870)</f>
        <v>0</v>
      </c>
    </row>
    <row r="871" spans="1:41">
      <c r="I871" t="s">
        <v>15</v>
      </c>
      <c r="J871">
        <f>vlookup("232-002300-000",Out!B:AZ,column(i1),0)</f>
        <v>0</v>
      </c>
      <c r="K871">
        <f>vlookup("232-002300-000",Out!B:AZ,column(j1),0)</f>
        <v>0</v>
      </c>
      <c r="L871">
        <f>vlookup("232-002300-000",Out!B:AZ,column(k1),0)</f>
        <v>0</v>
      </c>
      <c r="M871">
        <f>vlookup("232-002300-000",Out!B:AZ,column(l1),0)</f>
        <v>0</v>
      </c>
      <c r="N871">
        <f>vlookup("232-002300-000",Out!B:AZ,column(m1),0)</f>
        <v>0</v>
      </c>
      <c r="O871">
        <f>vlookup("232-002300-000",Out!B:AZ,column(n1),0)</f>
        <v>0</v>
      </c>
      <c r="P871">
        <f>vlookup("232-002300-000",Out!B:AZ,column(o1),0)</f>
        <v>0</v>
      </c>
      <c r="Q871">
        <f>vlookup("232-002300-000",Out!B:AZ,column(p1),0)</f>
        <v>0</v>
      </c>
      <c r="R871">
        <f>vlookup("232-002300-000",Out!B:AZ,column(q1),0)</f>
        <v>0</v>
      </c>
      <c r="S871">
        <f>vlookup("232-002300-000",Out!B:AZ,column(r1),0)</f>
        <v>0</v>
      </c>
      <c r="T871">
        <f>vlookup("232-002300-000",Out!B:AZ,column(s1),0)</f>
        <v>0</v>
      </c>
      <c r="U871">
        <f>vlookup("232-002300-000",Out!B:AZ,column(t1),0)</f>
        <v>0</v>
      </c>
      <c r="V871">
        <f>vlookup("232-002300-000",Out!B:AZ,column(u1),0)</f>
        <v>0</v>
      </c>
      <c r="W871">
        <f>vlookup("232-002300-000",Out!B:AZ,column(v1),0)</f>
        <v>0</v>
      </c>
      <c r="X871">
        <f>vlookup("232-002300-000",Out!B:AZ,column(w1),0)</f>
        <v>0</v>
      </c>
      <c r="Y871">
        <f>vlookup("232-002300-000",Out!B:AZ,column(x1),0)</f>
        <v>0</v>
      </c>
      <c r="Z871">
        <f>vlookup("232-002300-000",Out!B:AZ,column(y1),0)</f>
        <v>0</v>
      </c>
      <c r="AA871">
        <f>vlookup("232-002300-000",Out!B:AZ,column(z1),0)</f>
        <v>0</v>
      </c>
      <c r="AB871">
        <f>vlookup("232-002300-000",Out!B:AZ,column(aa1),0)</f>
        <v>0</v>
      </c>
      <c r="AC871">
        <f>vlookup("232-002300-000",Out!B:AZ,column(ab1),0)</f>
        <v>0</v>
      </c>
      <c r="AD871">
        <f>vlookup("232-002300-000",Out!B:AZ,column(ac1),0)</f>
        <v>0</v>
      </c>
      <c r="AE871">
        <f>vlookup("232-002300-000",Out!B:AZ,column(ad1),0)</f>
        <v>0</v>
      </c>
      <c r="AF871">
        <f>vlookup("232-002300-000",Out!B:AZ,column(ae1),0)</f>
        <v>0</v>
      </c>
      <c r="AG871">
        <f>vlookup("232-002300-000",Out!B:AZ,column(af1),0)</f>
        <v>0</v>
      </c>
      <c r="AH871">
        <f>vlookup("232-002300-000",Out!B:AZ,column(ag1),0)</f>
        <v>0</v>
      </c>
      <c r="AI871">
        <f>vlookup("232-002300-000",Out!B:AZ,column(ah1),0)</f>
        <v>0</v>
      </c>
      <c r="AJ871">
        <f>vlookup("232-002300-000",Out!B:AZ,column(ai1),0)</f>
        <v>0</v>
      </c>
      <c r="AK871">
        <f>vlookup("232-002300-000",Out!B:AZ,column(aj1),0)</f>
        <v>0</v>
      </c>
      <c r="AL871">
        <f>vlookup("232-002300-000",Out!B:AZ,column(ak1),0)</f>
        <v>0</v>
      </c>
      <c r="AM871">
        <f>vlookup("232-002300-000",Out!B:AZ,column(al1),0)</f>
        <v>0</v>
      </c>
      <c r="AN871">
        <f>vlookup("232-002300-000",Out!B:AZ,column(am1),0)</f>
        <v>0</v>
      </c>
      <c r="AO871">
        <f>vlookup("232-002300-000",Out!B:AZ,column(an1),0)</f>
        <v>0</v>
      </c>
    </row>
    <row r="872" spans="1:41">
      <c r="H872" t="s">
        <v>16</v>
      </c>
      <c r="J872">
        <f>indirect(address(872,9))+indirect(address(870,10))-indirect(address(871,10))</f>
        <v>0</v>
      </c>
      <c r="K872">
        <f>indirect(address(872,10))+indirect(address(870,11))-indirect(address(871,11))</f>
        <v>0</v>
      </c>
      <c r="L872">
        <f>indirect(address(872,11))+indirect(address(870,12))-indirect(address(871,12))</f>
        <v>0</v>
      </c>
      <c r="M872">
        <f>indirect(address(872,12))+indirect(address(870,13))-indirect(address(871,13))</f>
        <v>0</v>
      </c>
      <c r="N872">
        <f>indirect(address(872,13))+indirect(address(870,14))-indirect(address(871,14))</f>
        <v>0</v>
      </c>
      <c r="O872">
        <f>indirect(address(872,14))+indirect(address(870,15))-indirect(address(871,15))</f>
        <v>0</v>
      </c>
      <c r="P872">
        <f>indirect(address(872,15))+indirect(address(870,16))-indirect(address(871,16))</f>
        <v>0</v>
      </c>
      <c r="Q872">
        <f>indirect(address(872,16))+indirect(address(870,17))-indirect(address(871,17))</f>
        <v>0</v>
      </c>
      <c r="R872">
        <f>indirect(address(872,17))+indirect(address(870,18))-indirect(address(871,18))</f>
        <v>0</v>
      </c>
      <c r="S872">
        <f>indirect(address(872,18))+indirect(address(870,19))-indirect(address(871,19))</f>
        <v>0</v>
      </c>
      <c r="T872">
        <f>indirect(address(872,19))+indirect(address(870,20))-indirect(address(871,20))</f>
        <v>0</v>
      </c>
      <c r="U872">
        <f>indirect(address(872,20))+indirect(address(870,21))-indirect(address(871,21))</f>
        <v>0</v>
      </c>
      <c r="V872">
        <f>indirect(address(872,21))+indirect(address(870,22))-indirect(address(871,22))</f>
        <v>0</v>
      </c>
      <c r="W872">
        <f>indirect(address(872,22))+indirect(address(870,23))-indirect(address(871,23))</f>
        <v>0</v>
      </c>
      <c r="X872">
        <f>indirect(address(872,23))+indirect(address(870,24))-indirect(address(871,24))</f>
        <v>0</v>
      </c>
      <c r="Y872">
        <f>indirect(address(872,24))+indirect(address(870,25))-indirect(address(871,25))</f>
        <v>0</v>
      </c>
      <c r="Z872">
        <f>indirect(address(872,25))+indirect(address(870,26))-indirect(address(871,26))</f>
        <v>0</v>
      </c>
      <c r="AA872">
        <f>indirect(address(872,26))+indirect(address(870,27))-indirect(address(871,27))</f>
        <v>0</v>
      </c>
      <c r="AB872">
        <f>indirect(address(872,27))+indirect(address(870,28))-indirect(address(871,28))</f>
        <v>0</v>
      </c>
      <c r="AC872">
        <f>indirect(address(872,28))+indirect(address(870,29))-indirect(address(871,29))</f>
        <v>0</v>
      </c>
      <c r="AD872">
        <f>indirect(address(872,29))+indirect(address(870,30))-indirect(address(871,30))</f>
        <v>0</v>
      </c>
      <c r="AE872">
        <f>indirect(address(872,30))+indirect(address(870,31))-indirect(address(871,31))</f>
        <v>0</v>
      </c>
      <c r="AF872">
        <f>indirect(address(872,31))+indirect(address(870,32))-indirect(address(871,32))</f>
        <v>0</v>
      </c>
      <c r="AG872">
        <f>indirect(address(872,32))+indirect(address(870,33))-indirect(address(871,33))</f>
        <v>0</v>
      </c>
      <c r="AH872">
        <f>indirect(address(872,33))+indirect(address(870,34))-indirect(address(871,34))</f>
        <v>0</v>
      </c>
      <c r="AI872">
        <f>indirect(address(872,34))+indirect(address(870,35))-indirect(address(871,35))</f>
        <v>0</v>
      </c>
      <c r="AJ872">
        <f>indirect(address(872,35))+indirect(address(870,36))-indirect(address(871,36))</f>
        <v>0</v>
      </c>
      <c r="AK872">
        <f>indirect(address(872,36))+indirect(address(870,37))-indirect(address(871,37))</f>
        <v>0</v>
      </c>
      <c r="AL872">
        <f>indirect(address(872,37))+indirect(address(870,38))-indirect(address(871,38))</f>
        <v>0</v>
      </c>
      <c r="AM872">
        <f>indirect(address(872,38))+indirect(address(870,39))-indirect(address(871,39))</f>
        <v>0</v>
      </c>
      <c r="AN872">
        <f>indirect(address(872,39))+indirect(address(870,40))-indirect(address(871,40))</f>
        <v>0</v>
      </c>
      <c r="AO872">
        <f>indirect(address(872,40))</f>
        <v>0</v>
      </c>
    </row>
    <row r="873" spans="1:41">
      <c r="A873" t="s">
        <v>17</v>
      </c>
      <c r="B873" t="s">
        <v>881</v>
      </c>
      <c r="C873" t="s">
        <v>882</v>
      </c>
      <c r="E873">
        <v>1</v>
      </c>
      <c r="F873" t="s">
        <v>13</v>
      </c>
      <c r="I873" t="s">
        <v>15</v>
      </c>
      <c r="J873">
        <f>vlookup("232-002300-000",B:AZ,column(i1),0)*e873</f>
        <v>0</v>
      </c>
      <c r="K873">
        <f>vlookup("232-002300-000",B:AZ,column(j1),0)*e873</f>
        <v>0</v>
      </c>
      <c r="L873">
        <f>vlookup("232-002300-000",B:AZ,column(k1),0)*e873</f>
        <v>0</v>
      </c>
      <c r="M873">
        <f>vlookup("232-002300-000",B:AZ,column(l1),0)*e873</f>
        <v>0</v>
      </c>
      <c r="N873">
        <f>vlookup("232-002300-000",B:AZ,column(m1),0)*e873</f>
        <v>0</v>
      </c>
      <c r="O873">
        <f>vlookup("232-002300-000",B:AZ,column(n1),0)*e873</f>
        <v>0</v>
      </c>
      <c r="P873">
        <f>vlookup("232-002300-000",B:AZ,column(o1),0)*e873</f>
        <v>0</v>
      </c>
      <c r="Q873">
        <f>vlookup("232-002300-000",B:AZ,column(p1),0)*e873</f>
        <v>0</v>
      </c>
      <c r="R873">
        <f>vlookup("232-002300-000",B:AZ,column(q1),0)*e873</f>
        <v>0</v>
      </c>
      <c r="S873">
        <f>vlookup("232-002300-000",B:AZ,column(r1),0)*e873</f>
        <v>0</v>
      </c>
      <c r="T873">
        <f>vlookup("232-002300-000",B:AZ,column(s1),0)*e873</f>
        <v>0</v>
      </c>
      <c r="U873">
        <f>vlookup("232-002300-000",B:AZ,column(t1),0)*e873</f>
        <v>0</v>
      </c>
      <c r="V873">
        <f>vlookup("232-002300-000",B:AZ,column(u1),0)*e873</f>
        <v>0</v>
      </c>
      <c r="W873">
        <f>vlookup("232-002300-000",B:AZ,column(v1),0)*e873</f>
        <v>0</v>
      </c>
      <c r="X873">
        <f>vlookup("232-002300-000",B:AZ,column(w1),0)*e873</f>
        <v>0</v>
      </c>
      <c r="Y873">
        <f>vlookup("232-002300-000",B:AZ,column(x1),0)*e873</f>
        <v>0</v>
      </c>
      <c r="Z873">
        <f>vlookup("232-002300-000",B:AZ,column(y1),0)*e873</f>
        <v>0</v>
      </c>
      <c r="AA873">
        <f>vlookup("232-002300-000",B:AZ,column(z1),0)*e873</f>
        <v>0</v>
      </c>
      <c r="AB873">
        <f>vlookup("232-002300-000",B:AZ,column(aa1),0)*e873</f>
        <v>0</v>
      </c>
      <c r="AC873">
        <f>vlookup("232-002300-000",B:AZ,column(ab1),0)*e873</f>
        <v>0</v>
      </c>
      <c r="AD873">
        <f>vlookup("232-002300-000",B:AZ,column(ac1),0)*e873</f>
        <v>0</v>
      </c>
      <c r="AE873">
        <f>vlookup("232-002300-000",B:AZ,column(ad1),0)*e873</f>
        <v>0</v>
      </c>
      <c r="AF873">
        <f>vlookup("232-002300-000",B:AZ,column(ae1),0)*e873</f>
        <v>0</v>
      </c>
      <c r="AG873">
        <f>vlookup("232-002300-000",B:AZ,column(af1),0)*e873</f>
        <v>0</v>
      </c>
      <c r="AH873">
        <f>vlookup("232-002300-000",B:AZ,column(ag1),0)*e873</f>
        <v>0</v>
      </c>
      <c r="AI873">
        <f>vlookup("232-002300-000",B:AZ,column(ah1),0)*e873</f>
        <v>0</v>
      </c>
      <c r="AJ873">
        <f>vlookup("232-002300-000",B:AZ,column(ai1),0)*e873</f>
        <v>0</v>
      </c>
      <c r="AK873">
        <f>vlookup("232-002300-000",B:AZ,column(aj1),0)*e873</f>
        <v>0</v>
      </c>
      <c r="AL873">
        <f>vlookup("232-002300-000",B:AZ,column(ak1),0)*e873</f>
        <v>0</v>
      </c>
      <c r="AM873">
        <f>vlookup("232-002300-000",B:AZ,column(al1),0)*e873</f>
        <v>0</v>
      </c>
      <c r="AN873">
        <f>vlookup("232-002300-000",B:AZ,column(am1),0)*e873</f>
        <v>0</v>
      </c>
      <c r="AO873">
        <f>vlookup("232-002300-000",B:AZ,column(an1),0)*e873</f>
        <v>0</v>
      </c>
    </row>
    <row r="874" spans="1:41">
      <c r="A874" t="s">
        <v>22</v>
      </c>
      <c r="B874" t="s">
        <v>876</v>
      </c>
      <c r="C874" t="s">
        <v>883</v>
      </c>
      <c r="E874">
        <v>6</v>
      </c>
      <c r="F874" t="s">
        <v>13</v>
      </c>
      <c r="I874" t="s">
        <v>15</v>
      </c>
      <c r="J874">
        <f>vlookup("232-002300-000",B:AZ,column(i1),0)*e874</f>
        <v>0</v>
      </c>
      <c r="K874">
        <f>vlookup("232-002300-000",B:AZ,column(j1),0)*e874</f>
        <v>0</v>
      </c>
      <c r="L874">
        <f>vlookup("232-002300-000",B:AZ,column(k1),0)*e874</f>
        <v>0</v>
      </c>
      <c r="M874">
        <f>vlookup("232-002300-000",B:AZ,column(l1),0)*e874</f>
        <v>0</v>
      </c>
      <c r="N874">
        <f>vlookup("232-002300-000",B:AZ,column(m1),0)*e874</f>
        <v>0</v>
      </c>
      <c r="O874">
        <f>vlookup("232-002300-000",B:AZ,column(n1),0)*e874</f>
        <v>0</v>
      </c>
      <c r="P874">
        <f>vlookup("232-002300-000",B:AZ,column(o1),0)*e874</f>
        <v>0</v>
      </c>
      <c r="Q874">
        <f>vlookup("232-002300-000",B:AZ,column(p1),0)*e874</f>
        <v>0</v>
      </c>
      <c r="R874">
        <f>vlookup("232-002300-000",B:AZ,column(q1),0)*e874</f>
        <v>0</v>
      </c>
      <c r="S874">
        <f>vlookup("232-002300-000",B:AZ,column(r1),0)*e874</f>
        <v>0</v>
      </c>
      <c r="T874">
        <f>vlookup("232-002300-000",B:AZ,column(s1),0)*e874</f>
        <v>0</v>
      </c>
      <c r="U874">
        <f>vlookup("232-002300-000",B:AZ,column(t1),0)*e874</f>
        <v>0</v>
      </c>
      <c r="V874">
        <f>vlookup("232-002300-000",B:AZ,column(u1),0)*e874</f>
        <v>0</v>
      </c>
      <c r="W874">
        <f>vlookup("232-002300-000",B:AZ,column(v1),0)*e874</f>
        <v>0</v>
      </c>
      <c r="X874">
        <f>vlookup("232-002300-000",B:AZ,column(w1),0)*e874</f>
        <v>0</v>
      </c>
      <c r="Y874">
        <f>vlookup("232-002300-000",B:AZ,column(x1),0)*e874</f>
        <v>0</v>
      </c>
      <c r="Z874">
        <f>vlookup("232-002300-000",B:AZ,column(y1),0)*e874</f>
        <v>0</v>
      </c>
      <c r="AA874">
        <f>vlookup("232-002300-000",B:AZ,column(z1),0)*e874</f>
        <v>0</v>
      </c>
      <c r="AB874">
        <f>vlookup("232-002300-000",B:AZ,column(aa1),0)*e874</f>
        <v>0</v>
      </c>
      <c r="AC874">
        <f>vlookup("232-002300-000",B:AZ,column(ab1),0)*e874</f>
        <v>0</v>
      </c>
      <c r="AD874">
        <f>vlookup("232-002300-000",B:AZ,column(ac1),0)*e874</f>
        <v>0</v>
      </c>
      <c r="AE874">
        <f>vlookup("232-002300-000",B:AZ,column(ad1),0)*e874</f>
        <v>0</v>
      </c>
      <c r="AF874">
        <f>vlookup("232-002300-000",B:AZ,column(ae1),0)*e874</f>
        <v>0</v>
      </c>
      <c r="AG874">
        <f>vlookup("232-002300-000",B:AZ,column(af1),0)*e874</f>
        <v>0</v>
      </c>
      <c r="AH874">
        <f>vlookup("232-002300-000",B:AZ,column(ag1),0)*e874</f>
        <v>0</v>
      </c>
      <c r="AI874">
        <f>vlookup("232-002300-000",B:AZ,column(ah1),0)*e874</f>
        <v>0</v>
      </c>
      <c r="AJ874">
        <f>vlookup("232-002300-000",B:AZ,column(ai1),0)*e874</f>
        <v>0</v>
      </c>
      <c r="AK874">
        <f>vlookup("232-002300-000",B:AZ,column(aj1),0)*e874</f>
        <v>0</v>
      </c>
      <c r="AL874">
        <f>vlookup("232-002300-000",B:AZ,column(ak1),0)*e874</f>
        <v>0</v>
      </c>
      <c r="AM874">
        <f>vlookup("232-002300-000",B:AZ,column(al1),0)*e874</f>
        <v>0</v>
      </c>
      <c r="AN874">
        <f>vlookup("232-002300-000",B:AZ,column(am1),0)*e874</f>
        <v>0</v>
      </c>
      <c r="AO874">
        <f>vlookup("232-002300-000",B:AZ,column(an1),0)*e874</f>
        <v>0</v>
      </c>
    </row>
    <row r="875" spans="1:41">
      <c r="A875" t="s">
        <v>22</v>
      </c>
      <c r="B875" t="s">
        <v>884</v>
      </c>
      <c r="C875" t="s">
        <v>885</v>
      </c>
      <c r="E875">
        <v>1</v>
      </c>
      <c r="F875" t="s">
        <v>13</v>
      </c>
      <c r="I875" t="s">
        <v>15</v>
      </c>
      <c r="J875">
        <f>vlookup("232-002300-000",B:AZ,column(i1),0)*e875</f>
        <v>0</v>
      </c>
      <c r="K875">
        <f>vlookup("232-002300-000",B:AZ,column(j1),0)*e875</f>
        <v>0</v>
      </c>
      <c r="L875">
        <f>vlookup("232-002300-000",B:AZ,column(k1),0)*e875</f>
        <v>0</v>
      </c>
      <c r="M875">
        <f>vlookup("232-002300-000",B:AZ,column(l1),0)*e875</f>
        <v>0</v>
      </c>
      <c r="N875">
        <f>vlookup("232-002300-000",B:AZ,column(m1),0)*e875</f>
        <v>0</v>
      </c>
      <c r="O875">
        <f>vlookup("232-002300-000",B:AZ,column(n1),0)*e875</f>
        <v>0</v>
      </c>
      <c r="P875">
        <f>vlookup("232-002300-000",B:AZ,column(o1),0)*e875</f>
        <v>0</v>
      </c>
      <c r="Q875">
        <f>vlookup("232-002300-000",B:AZ,column(p1),0)*e875</f>
        <v>0</v>
      </c>
      <c r="R875">
        <f>vlookup("232-002300-000",B:AZ,column(q1),0)*e875</f>
        <v>0</v>
      </c>
      <c r="S875">
        <f>vlookup("232-002300-000",B:AZ,column(r1),0)*e875</f>
        <v>0</v>
      </c>
      <c r="T875">
        <f>vlookup("232-002300-000",B:AZ,column(s1),0)*e875</f>
        <v>0</v>
      </c>
      <c r="U875">
        <f>vlookup("232-002300-000",B:AZ,column(t1),0)*e875</f>
        <v>0</v>
      </c>
      <c r="V875">
        <f>vlookup("232-002300-000",B:AZ,column(u1),0)*e875</f>
        <v>0</v>
      </c>
      <c r="W875">
        <f>vlookup("232-002300-000",B:AZ,column(v1),0)*e875</f>
        <v>0</v>
      </c>
      <c r="X875">
        <f>vlookup("232-002300-000",B:AZ,column(w1),0)*e875</f>
        <v>0</v>
      </c>
      <c r="Y875">
        <f>vlookup("232-002300-000",B:AZ,column(x1),0)*e875</f>
        <v>0</v>
      </c>
      <c r="Z875">
        <f>vlookup("232-002300-000",B:AZ,column(y1),0)*e875</f>
        <v>0</v>
      </c>
      <c r="AA875">
        <f>vlookup("232-002300-000",B:AZ,column(z1),0)*e875</f>
        <v>0</v>
      </c>
      <c r="AB875">
        <f>vlookup("232-002300-000",B:AZ,column(aa1),0)*e875</f>
        <v>0</v>
      </c>
      <c r="AC875">
        <f>vlookup("232-002300-000",B:AZ,column(ab1),0)*e875</f>
        <v>0</v>
      </c>
      <c r="AD875">
        <f>vlookup("232-002300-000",B:AZ,column(ac1),0)*e875</f>
        <v>0</v>
      </c>
      <c r="AE875">
        <f>vlookup("232-002300-000",B:AZ,column(ad1),0)*e875</f>
        <v>0</v>
      </c>
      <c r="AF875">
        <f>vlookup("232-002300-000",B:AZ,column(ae1),0)*e875</f>
        <v>0</v>
      </c>
      <c r="AG875">
        <f>vlookup("232-002300-000",B:AZ,column(af1),0)*e875</f>
        <v>0</v>
      </c>
      <c r="AH875">
        <f>vlookup("232-002300-000",B:AZ,column(ag1),0)*e875</f>
        <v>0</v>
      </c>
      <c r="AI875">
        <f>vlookup("232-002300-000",B:AZ,column(ah1),0)*e875</f>
        <v>0</v>
      </c>
      <c r="AJ875">
        <f>vlookup("232-002300-000",B:AZ,column(ai1),0)*e875</f>
        <v>0</v>
      </c>
      <c r="AK875">
        <f>vlookup("232-002300-000",B:AZ,column(aj1),0)*e875</f>
        <v>0</v>
      </c>
      <c r="AL875">
        <f>vlookup("232-002300-000",B:AZ,column(ak1),0)*e875</f>
        <v>0</v>
      </c>
      <c r="AM875">
        <f>vlookup("232-002300-000",B:AZ,column(al1),0)*e875</f>
        <v>0</v>
      </c>
      <c r="AN875">
        <f>vlookup("232-002300-000",B:AZ,column(am1),0)*e875</f>
        <v>0</v>
      </c>
      <c r="AO875">
        <f>vlookup("232-002300-000",B:AZ,column(an1),0)*e875</f>
        <v>0</v>
      </c>
    </row>
    <row r="876" spans="1:41">
      <c r="A876" t="s">
        <v>22</v>
      </c>
      <c r="B876" t="s">
        <v>872</v>
      </c>
      <c r="C876" t="s">
        <v>886</v>
      </c>
      <c r="E876">
        <v>1</v>
      </c>
      <c r="F876" t="s">
        <v>13</v>
      </c>
      <c r="I876" t="s">
        <v>15</v>
      </c>
      <c r="J876">
        <f>vlookup("232-002300-000",B:AZ,column(i1),0)*e876</f>
        <v>0</v>
      </c>
      <c r="K876">
        <f>vlookup("232-002300-000",B:AZ,column(j1),0)*e876</f>
        <v>0</v>
      </c>
      <c r="L876">
        <f>vlookup("232-002300-000",B:AZ,column(k1),0)*e876</f>
        <v>0</v>
      </c>
      <c r="M876">
        <f>vlookup("232-002300-000",B:AZ,column(l1),0)*e876</f>
        <v>0</v>
      </c>
      <c r="N876">
        <f>vlookup("232-002300-000",B:AZ,column(m1),0)*e876</f>
        <v>0</v>
      </c>
      <c r="O876">
        <f>vlookup("232-002300-000",B:AZ,column(n1),0)*e876</f>
        <v>0</v>
      </c>
      <c r="P876">
        <f>vlookup("232-002300-000",B:AZ,column(o1),0)*e876</f>
        <v>0</v>
      </c>
      <c r="Q876">
        <f>vlookup("232-002300-000",B:AZ,column(p1),0)*e876</f>
        <v>0</v>
      </c>
      <c r="R876">
        <f>vlookup("232-002300-000",B:AZ,column(q1),0)*e876</f>
        <v>0</v>
      </c>
      <c r="S876">
        <f>vlookup("232-002300-000",B:AZ,column(r1),0)*e876</f>
        <v>0</v>
      </c>
      <c r="T876">
        <f>vlookup("232-002300-000",B:AZ,column(s1),0)*e876</f>
        <v>0</v>
      </c>
      <c r="U876">
        <f>vlookup("232-002300-000",B:AZ,column(t1),0)*e876</f>
        <v>0</v>
      </c>
      <c r="V876">
        <f>vlookup("232-002300-000",B:AZ,column(u1),0)*e876</f>
        <v>0</v>
      </c>
      <c r="W876">
        <f>vlookup("232-002300-000",B:AZ,column(v1),0)*e876</f>
        <v>0</v>
      </c>
      <c r="X876">
        <f>vlookup("232-002300-000",B:AZ,column(w1),0)*e876</f>
        <v>0</v>
      </c>
      <c r="Y876">
        <f>vlookup("232-002300-000",B:AZ,column(x1),0)*e876</f>
        <v>0</v>
      </c>
      <c r="Z876">
        <f>vlookup("232-002300-000",B:AZ,column(y1),0)*e876</f>
        <v>0</v>
      </c>
      <c r="AA876">
        <f>vlookup("232-002300-000",B:AZ,column(z1),0)*e876</f>
        <v>0</v>
      </c>
      <c r="AB876">
        <f>vlookup("232-002300-000",B:AZ,column(aa1),0)*e876</f>
        <v>0</v>
      </c>
      <c r="AC876">
        <f>vlookup("232-002300-000",B:AZ,column(ab1),0)*e876</f>
        <v>0</v>
      </c>
      <c r="AD876">
        <f>vlookup("232-002300-000",B:AZ,column(ac1),0)*e876</f>
        <v>0</v>
      </c>
      <c r="AE876">
        <f>vlookup("232-002300-000",B:AZ,column(ad1),0)*e876</f>
        <v>0</v>
      </c>
      <c r="AF876">
        <f>vlookup("232-002300-000",B:AZ,column(ae1),0)*e876</f>
        <v>0</v>
      </c>
      <c r="AG876">
        <f>vlookup("232-002300-000",B:AZ,column(af1),0)*e876</f>
        <v>0</v>
      </c>
      <c r="AH876">
        <f>vlookup("232-002300-000",B:AZ,column(ag1),0)*e876</f>
        <v>0</v>
      </c>
      <c r="AI876">
        <f>vlookup("232-002300-000",B:AZ,column(ah1),0)*e876</f>
        <v>0</v>
      </c>
      <c r="AJ876">
        <f>vlookup("232-002300-000",B:AZ,column(ai1),0)*e876</f>
        <v>0</v>
      </c>
      <c r="AK876">
        <f>vlookup("232-002300-000",B:AZ,column(aj1),0)*e876</f>
        <v>0</v>
      </c>
      <c r="AL876">
        <f>vlookup("232-002300-000",B:AZ,column(ak1),0)*e876</f>
        <v>0</v>
      </c>
      <c r="AM876">
        <f>vlookup("232-002300-000",B:AZ,column(al1),0)*e876</f>
        <v>0</v>
      </c>
      <c r="AN876">
        <f>vlookup("232-002300-000",B:AZ,column(am1),0)*e876</f>
        <v>0</v>
      </c>
      <c r="AO876">
        <f>vlookup("232-002300-000",B:AZ,column(an1),0)*e876</f>
        <v>0</v>
      </c>
    </row>
    <row r="877" spans="1:41">
      <c r="A877" t="s">
        <v>22</v>
      </c>
      <c r="B877" t="s">
        <v>878</v>
      </c>
      <c r="C877" t="s">
        <v>887</v>
      </c>
      <c r="E877">
        <v>1</v>
      </c>
      <c r="F877" t="s">
        <v>13</v>
      </c>
      <c r="I877" t="s">
        <v>15</v>
      </c>
      <c r="J877">
        <f>vlookup("232-002300-000",B:AZ,column(i1),0)*e877</f>
        <v>0</v>
      </c>
      <c r="K877">
        <f>vlookup("232-002300-000",B:AZ,column(j1),0)*e877</f>
        <v>0</v>
      </c>
      <c r="L877">
        <f>vlookup("232-002300-000",B:AZ,column(k1),0)*e877</f>
        <v>0</v>
      </c>
      <c r="M877">
        <f>vlookup("232-002300-000",B:AZ,column(l1),0)*e877</f>
        <v>0</v>
      </c>
      <c r="N877">
        <f>vlookup("232-002300-000",B:AZ,column(m1),0)*e877</f>
        <v>0</v>
      </c>
      <c r="O877">
        <f>vlookup("232-002300-000",B:AZ,column(n1),0)*e877</f>
        <v>0</v>
      </c>
      <c r="P877">
        <f>vlookup("232-002300-000",B:AZ,column(o1),0)*e877</f>
        <v>0</v>
      </c>
      <c r="Q877">
        <f>vlookup("232-002300-000",B:AZ,column(p1),0)*e877</f>
        <v>0</v>
      </c>
      <c r="R877">
        <f>vlookup("232-002300-000",B:AZ,column(q1),0)*e877</f>
        <v>0</v>
      </c>
      <c r="S877">
        <f>vlookup("232-002300-000",B:AZ,column(r1),0)*e877</f>
        <v>0</v>
      </c>
      <c r="T877">
        <f>vlookup("232-002300-000",B:AZ,column(s1),0)*e877</f>
        <v>0</v>
      </c>
      <c r="U877">
        <f>vlookup("232-002300-000",B:AZ,column(t1),0)*e877</f>
        <v>0</v>
      </c>
      <c r="V877">
        <f>vlookup("232-002300-000",B:AZ,column(u1),0)*e877</f>
        <v>0</v>
      </c>
      <c r="W877">
        <f>vlookup("232-002300-000",B:AZ,column(v1),0)*e877</f>
        <v>0</v>
      </c>
      <c r="X877">
        <f>vlookup("232-002300-000",B:AZ,column(w1),0)*e877</f>
        <v>0</v>
      </c>
      <c r="Y877">
        <f>vlookup("232-002300-000",B:AZ,column(x1),0)*e877</f>
        <v>0</v>
      </c>
      <c r="Z877">
        <f>vlookup("232-002300-000",B:AZ,column(y1),0)*e877</f>
        <v>0</v>
      </c>
      <c r="AA877">
        <f>vlookup("232-002300-000",B:AZ,column(z1),0)*e877</f>
        <v>0</v>
      </c>
      <c r="AB877">
        <f>vlookup("232-002300-000",B:AZ,column(aa1),0)*e877</f>
        <v>0</v>
      </c>
      <c r="AC877">
        <f>vlookup("232-002300-000",B:AZ,column(ab1),0)*e877</f>
        <v>0</v>
      </c>
      <c r="AD877">
        <f>vlookup("232-002300-000",B:AZ,column(ac1),0)*e877</f>
        <v>0</v>
      </c>
      <c r="AE877">
        <f>vlookup("232-002300-000",B:AZ,column(ad1),0)*e877</f>
        <v>0</v>
      </c>
      <c r="AF877">
        <f>vlookup("232-002300-000",B:AZ,column(ae1),0)*e877</f>
        <v>0</v>
      </c>
      <c r="AG877">
        <f>vlookup("232-002300-000",B:AZ,column(af1),0)*e877</f>
        <v>0</v>
      </c>
      <c r="AH877">
        <f>vlookup("232-002300-000",B:AZ,column(ag1),0)*e877</f>
        <v>0</v>
      </c>
      <c r="AI877">
        <f>vlookup("232-002300-000",B:AZ,column(ah1),0)*e877</f>
        <v>0</v>
      </c>
      <c r="AJ877">
        <f>vlookup("232-002300-000",B:AZ,column(ai1),0)*e877</f>
        <v>0</v>
      </c>
      <c r="AK877">
        <f>vlookup("232-002300-000",B:AZ,column(aj1),0)*e877</f>
        <v>0</v>
      </c>
      <c r="AL877">
        <f>vlookup("232-002300-000",B:AZ,column(ak1),0)*e877</f>
        <v>0</v>
      </c>
      <c r="AM877">
        <f>vlookup("232-002300-000",B:AZ,column(al1),0)*e877</f>
        <v>0</v>
      </c>
      <c r="AN877">
        <f>vlookup("232-002300-000",B:AZ,column(am1),0)*e877</f>
        <v>0</v>
      </c>
      <c r="AO877">
        <f>vlookup("232-002300-000",B:AZ,column(an1),0)*e877</f>
        <v>0</v>
      </c>
    </row>
    <row r="878" spans="1:41">
      <c r="A878" t="s">
        <v>22</v>
      </c>
      <c r="B878" t="s">
        <v>870</v>
      </c>
      <c r="C878" t="s">
        <v>888</v>
      </c>
      <c r="E878">
        <v>1</v>
      </c>
      <c r="F878" t="s">
        <v>13</v>
      </c>
      <c r="I878" t="s">
        <v>15</v>
      </c>
      <c r="J878">
        <f>vlookup("232-002300-000",B:AZ,column(i1),0)*e878</f>
        <v>0</v>
      </c>
      <c r="K878">
        <f>vlookup("232-002300-000",B:AZ,column(j1),0)*e878</f>
        <v>0</v>
      </c>
      <c r="L878">
        <f>vlookup("232-002300-000",B:AZ,column(k1),0)*e878</f>
        <v>0</v>
      </c>
      <c r="M878">
        <f>vlookup("232-002300-000",B:AZ,column(l1),0)*e878</f>
        <v>0</v>
      </c>
      <c r="N878">
        <f>vlookup("232-002300-000",B:AZ,column(m1),0)*e878</f>
        <v>0</v>
      </c>
      <c r="O878">
        <f>vlookup("232-002300-000",B:AZ,column(n1),0)*e878</f>
        <v>0</v>
      </c>
      <c r="P878">
        <f>vlookup("232-002300-000",B:AZ,column(o1),0)*e878</f>
        <v>0</v>
      </c>
      <c r="Q878">
        <f>vlookup("232-002300-000",B:AZ,column(p1),0)*e878</f>
        <v>0</v>
      </c>
      <c r="R878">
        <f>vlookup("232-002300-000",B:AZ,column(q1),0)*e878</f>
        <v>0</v>
      </c>
      <c r="S878">
        <f>vlookup("232-002300-000",B:AZ,column(r1),0)*e878</f>
        <v>0</v>
      </c>
      <c r="T878">
        <f>vlookup("232-002300-000",B:AZ,column(s1),0)*e878</f>
        <v>0</v>
      </c>
      <c r="U878">
        <f>vlookup("232-002300-000",B:AZ,column(t1),0)*e878</f>
        <v>0</v>
      </c>
      <c r="V878">
        <f>vlookup("232-002300-000",B:AZ,column(u1),0)*e878</f>
        <v>0</v>
      </c>
      <c r="W878">
        <f>vlookup("232-002300-000",B:AZ,column(v1),0)*e878</f>
        <v>0</v>
      </c>
      <c r="X878">
        <f>vlookup("232-002300-000",B:AZ,column(w1),0)*e878</f>
        <v>0</v>
      </c>
      <c r="Y878">
        <f>vlookup("232-002300-000",B:AZ,column(x1),0)*e878</f>
        <v>0</v>
      </c>
      <c r="Z878">
        <f>vlookup("232-002300-000",B:AZ,column(y1),0)*e878</f>
        <v>0</v>
      </c>
      <c r="AA878">
        <f>vlookup("232-002300-000",B:AZ,column(z1),0)*e878</f>
        <v>0</v>
      </c>
      <c r="AB878">
        <f>vlookup("232-002300-000",B:AZ,column(aa1),0)*e878</f>
        <v>0</v>
      </c>
      <c r="AC878">
        <f>vlookup("232-002300-000",B:AZ,column(ab1),0)*e878</f>
        <v>0</v>
      </c>
      <c r="AD878">
        <f>vlookup("232-002300-000",B:AZ,column(ac1),0)*e878</f>
        <v>0</v>
      </c>
      <c r="AE878">
        <f>vlookup("232-002300-000",B:AZ,column(ad1),0)*e878</f>
        <v>0</v>
      </c>
      <c r="AF878">
        <f>vlookup("232-002300-000",B:AZ,column(ae1),0)*e878</f>
        <v>0</v>
      </c>
      <c r="AG878">
        <f>vlookup("232-002300-000",B:AZ,column(af1),0)*e878</f>
        <v>0</v>
      </c>
      <c r="AH878">
        <f>vlookup("232-002300-000",B:AZ,column(ag1),0)*e878</f>
        <v>0</v>
      </c>
      <c r="AI878">
        <f>vlookup("232-002300-000",B:AZ,column(ah1),0)*e878</f>
        <v>0</v>
      </c>
      <c r="AJ878">
        <f>vlookup("232-002300-000",B:AZ,column(ai1),0)*e878</f>
        <v>0</v>
      </c>
      <c r="AK878">
        <f>vlookup("232-002300-000",B:AZ,column(aj1),0)*e878</f>
        <v>0</v>
      </c>
      <c r="AL878">
        <f>vlookup("232-002300-000",B:AZ,column(ak1),0)*e878</f>
        <v>0</v>
      </c>
      <c r="AM878">
        <f>vlookup("232-002300-000",B:AZ,column(al1),0)*e878</f>
        <v>0</v>
      </c>
      <c r="AN878">
        <f>vlookup("232-002300-000",B:AZ,column(am1),0)*e878</f>
        <v>0</v>
      </c>
      <c r="AO878">
        <f>vlookup("232-002300-000",B:AZ,column(an1),0)*e878</f>
        <v>0</v>
      </c>
    </row>
    <row r="879" spans="1:41">
      <c r="A879" t="s">
        <v>22</v>
      </c>
      <c r="B879" t="s">
        <v>889</v>
      </c>
      <c r="C879" t="s">
        <v>890</v>
      </c>
      <c r="E879">
        <v>2</v>
      </c>
      <c r="F879" t="s">
        <v>13</v>
      </c>
      <c r="I879" t="s">
        <v>15</v>
      </c>
      <c r="J879">
        <f>vlookup("232-002300-000",B:AZ,column(i1),0)*e879</f>
        <v>0</v>
      </c>
      <c r="K879">
        <f>vlookup("232-002300-000",B:AZ,column(j1),0)*e879</f>
        <v>0</v>
      </c>
      <c r="L879">
        <f>vlookup("232-002300-000",B:AZ,column(k1),0)*e879</f>
        <v>0</v>
      </c>
      <c r="M879">
        <f>vlookup("232-002300-000",B:AZ,column(l1),0)*e879</f>
        <v>0</v>
      </c>
      <c r="N879">
        <f>vlookup("232-002300-000",B:AZ,column(m1),0)*e879</f>
        <v>0</v>
      </c>
      <c r="O879">
        <f>vlookup("232-002300-000",B:AZ,column(n1),0)*e879</f>
        <v>0</v>
      </c>
      <c r="P879">
        <f>vlookup("232-002300-000",B:AZ,column(o1),0)*e879</f>
        <v>0</v>
      </c>
      <c r="Q879">
        <f>vlookup("232-002300-000",B:AZ,column(p1),0)*e879</f>
        <v>0</v>
      </c>
      <c r="R879">
        <f>vlookup("232-002300-000",B:AZ,column(q1),0)*e879</f>
        <v>0</v>
      </c>
      <c r="S879">
        <f>vlookup("232-002300-000",B:AZ,column(r1),0)*e879</f>
        <v>0</v>
      </c>
      <c r="T879">
        <f>vlookup("232-002300-000",B:AZ,column(s1),0)*e879</f>
        <v>0</v>
      </c>
      <c r="U879">
        <f>vlookup("232-002300-000",B:AZ,column(t1),0)*e879</f>
        <v>0</v>
      </c>
      <c r="V879">
        <f>vlookup("232-002300-000",B:AZ,column(u1),0)*e879</f>
        <v>0</v>
      </c>
      <c r="W879">
        <f>vlookup("232-002300-000",B:AZ,column(v1),0)*e879</f>
        <v>0</v>
      </c>
      <c r="X879">
        <f>vlookup("232-002300-000",B:AZ,column(w1),0)*e879</f>
        <v>0</v>
      </c>
      <c r="Y879">
        <f>vlookup("232-002300-000",B:AZ,column(x1),0)*e879</f>
        <v>0</v>
      </c>
      <c r="Z879">
        <f>vlookup("232-002300-000",B:AZ,column(y1),0)*e879</f>
        <v>0</v>
      </c>
      <c r="AA879">
        <f>vlookup("232-002300-000",B:AZ,column(z1),0)*e879</f>
        <v>0</v>
      </c>
      <c r="AB879">
        <f>vlookup("232-002300-000",B:AZ,column(aa1),0)*e879</f>
        <v>0</v>
      </c>
      <c r="AC879">
        <f>vlookup("232-002300-000",B:AZ,column(ab1),0)*e879</f>
        <v>0</v>
      </c>
      <c r="AD879">
        <f>vlookup("232-002300-000",B:AZ,column(ac1),0)*e879</f>
        <v>0</v>
      </c>
      <c r="AE879">
        <f>vlookup("232-002300-000",B:AZ,column(ad1),0)*e879</f>
        <v>0</v>
      </c>
      <c r="AF879">
        <f>vlookup("232-002300-000",B:AZ,column(ae1),0)*e879</f>
        <v>0</v>
      </c>
      <c r="AG879">
        <f>vlookup("232-002300-000",B:AZ,column(af1),0)*e879</f>
        <v>0</v>
      </c>
      <c r="AH879">
        <f>vlookup("232-002300-000",B:AZ,column(ag1),0)*e879</f>
        <v>0</v>
      </c>
      <c r="AI879">
        <f>vlookup("232-002300-000",B:AZ,column(ah1),0)*e879</f>
        <v>0</v>
      </c>
      <c r="AJ879">
        <f>vlookup("232-002300-000",B:AZ,column(ai1),0)*e879</f>
        <v>0</v>
      </c>
      <c r="AK879">
        <f>vlookup("232-002300-000",B:AZ,column(aj1),0)*e879</f>
        <v>0</v>
      </c>
      <c r="AL879">
        <f>vlookup("232-002300-000",B:AZ,column(ak1),0)*e879</f>
        <v>0</v>
      </c>
      <c r="AM879">
        <f>vlookup("232-002300-000",B:AZ,column(al1),0)*e879</f>
        <v>0</v>
      </c>
      <c r="AN879">
        <f>vlookup("232-002300-000",B:AZ,column(am1),0)*e879</f>
        <v>0</v>
      </c>
      <c r="AO879">
        <f>vlookup("232-002300-000",B:AZ,column(an1),0)*e879</f>
        <v>0</v>
      </c>
    </row>
    <row r="880" spans="1:41">
      <c r="A880" t="s">
        <v>22</v>
      </c>
      <c r="B880" t="s">
        <v>874</v>
      </c>
      <c r="C880" t="s">
        <v>891</v>
      </c>
      <c r="E880">
        <v>2</v>
      </c>
      <c r="F880" t="s">
        <v>13</v>
      </c>
      <c r="I880" t="s">
        <v>15</v>
      </c>
      <c r="J880">
        <f>vlookup("232-002300-000",B:AZ,column(i1),0)*e880</f>
        <v>0</v>
      </c>
      <c r="K880">
        <f>vlookup("232-002300-000",B:AZ,column(j1),0)*e880</f>
        <v>0</v>
      </c>
      <c r="L880">
        <f>vlookup("232-002300-000",B:AZ,column(k1),0)*e880</f>
        <v>0</v>
      </c>
      <c r="M880">
        <f>vlookup("232-002300-000",B:AZ,column(l1),0)*e880</f>
        <v>0</v>
      </c>
      <c r="N880">
        <f>vlookup("232-002300-000",B:AZ,column(m1),0)*e880</f>
        <v>0</v>
      </c>
      <c r="O880">
        <f>vlookup("232-002300-000",B:AZ,column(n1),0)*e880</f>
        <v>0</v>
      </c>
      <c r="P880">
        <f>vlookup("232-002300-000",B:AZ,column(o1),0)*e880</f>
        <v>0</v>
      </c>
      <c r="Q880">
        <f>vlookup("232-002300-000",B:AZ,column(p1),0)*e880</f>
        <v>0</v>
      </c>
      <c r="R880">
        <f>vlookup("232-002300-000",B:AZ,column(q1),0)*e880</f>
        <v>0</v>
      </c>
      <c r="S880">
        <f>vlookup("232-002300-000",B:AZ,column(r1),0)*e880</f>
        <v>0</v>
      </c>
      <c r="T880">
        <f>vlookup("232-002300-000",B:AZ,column(s1),0)*e880</f>
        <v>0</v>
      </c>
      <c r="U880">
        <f>vlookup("232-002300-000",B:AZ,column(t1),0)*e880</f>
        <v>0</v>
      </c>
      <c r="V880">
        <f>vlookup("232-002300-000",B:AZ,column(u1),0)*e880</f>
        <v>0</v>
      </c>
      <c r="W880">
        <f>vlookup("232-002300-000",B:AZ,column(v1),0)*e880</f>
        <v>0</v>
      </c>
      <c r="X880">
        <f>vlookup("232-002300-000",B:AZ,column(w1),0)*e880</f>
        <v>0</v>
      </c>
      <c r="Y880">
        <f>vlookup("232-002300-000",B:AZ,column(x1),0)*e880</f>
        <v>0</v>
      </c>
      <c r="Z880">
        <f>vlookup("232-002300-000",B:AZ,column(y1),0)*e880</f>
        <v>0</v>
      </c>
      <c r="AA880">
        <f>vlookup("232-002300-000",B:AZ,column(z1),0)*e880</f>
        <v>0</v>
      </c>
      <c r="AB880">
        <f>vlookup("232-002300-000",B:AZ,column(aa1),0)*e880</f>
        <v>0</v>
      </c>
      <c r="AC880">
        <f>vlookup("232-002300-000",B:AZ,column(ab1),0)*e880</f>
        <v>0</v>
      </c>
      <c r="AD880">
        <f>vlookup("232-002300-000",B:AZ,column(ac1),0)*e880</f>
        <v>0</v>
      </c>
      <c r="AE880">
        <f>vlookup("232-002300-000",B:AZ,column(ad1),0)*e880</f>
        <v>0</v>
      </c>
      <c r="AF880">
        <f>vlookup("232-002300-000",B:AZ,column(ae1),0)*e880</f>
        <v>0</v>
      </c>
      <c r="AG880">
        <f>vlookup("232-002300-000",B:AZ,column(af1),0)*e880</f>
        <v>0</v>
      </c>
      <c r="AH880">
        <f>vlookup("232-002300-000",B:AZ,column(ag1),0)*e880</f>
        <v>0</v>
      </c>
      <c r="AI880">
        <f>vlookup("232-002300-000",B:AZ,column(ah1),0)*e880</f>
        <v>0</v>
      </c>
      <c r="AJ880">
        <f>vlookup("232-002300-000",B:AZ,column(ai1),0)*e880</f>
        <v>0</v>
      </c>
      <c r="AK880">
        <f>vlookup("232-002300-000",B:AZ,column(aj1),0)*e880</f>
        <v>0</v>
      </c>
      <c r="AL880">
        <f>vlookup("232-002300-000",B:AZ,column(ak1),0)*e880</f>
        <v>0</v>
      </c>
      <c r="AM880">
        <f>vlookup("232-002300-000",B:AZ,column(al1),0)*e880</f>
        <v>0</v>
      </c>
      <c r="AN880">
        <f>vlookup("232-002300-000",B:AZ,column(am1),0)*e880</f>
        <v>0</v>
      </c>
      <c r="AO880">
        <f>vlookup("232-002300-000",B:AZ,column(an1),0)*e880</f>
        <v>0</v>
      </c>
    </row>
    <row r="881" spans="1:41">
      <c r="A881" t="s">
        <v>22</v>
      </c>
      <c r="B881" t="s">
        <v>892</v>
      </c>
      <c r="C881" t="s">
        <v>893</v>
      </c>
      <c r="E881">
        <v>1</v>
      </c>
      <c r="F881" t="s">
        <v>13</v>
      </c>
      <c r="I881" t="s">
        <v>15</v>
      </c>
      <c r="J881">
        <f>vlookup("232-002300-000",B:AZ,column(i1),0)*e881</f>
        <v>0</v>
      </c>
      <c r="K881">
        <f>vlookup("232-002300-000",B:AZ,column(j1),0)*e881</f>
        <v>0</v>
      </c>
      <c r="L881">
        <f>vlookup("232-002300-000",B:AZ,column(k1),0)*e881</f>
        <v>0</v>
      </c>
      <c r="M881">
        <f>vlookup("232-002300-000",B:AZ,column(l1),0)*e881</f>
        <v>0</v>
      </c>
      <c r="N881">
        <f>vlookup("232-002300-000",B:AZ,column(m1),0)*e881</f>
        <v>0</v>
      </c>
      <c r="O881">
        <f>vlookup("232-002300-000",B:AZ,column(n1),0)*e881</f>
        <v>0</v>
      </c>
      <c r="P881">
        <f>vlookup("232-002300-000",B:AZ,column(o1),0)*e881</f>
        <v>0</v>
      </c>
      <c r="Q881">
        <f>vlookup("232-002300-000",B:AZ,column(p1),0)*e881</f>
        <v>0</v>
      </c>
      <c r="R881">
        <f>vlookup("232-002300-000",B:AZ,column(q1),0)*e881</f>
        <v>0</v>
      </c>
      <c r="S881">
        <f>vlookup("232-002300-000",B:AZ,column(r1),0)*e881</f>
        <v>0</v>
      </c>
      <c r="T881">
        <f>vlookup("232-002300-000",B:AZ,column(s1),0)*e881</f>
        <v>0</v>
      </c>
      <c r="U881">
        <f>vlookup("232-002300-000",B:AZ,column(t1),0)*e881</f>
        <v>0</v>
      </c>
      <c r="V881">
        <f>vlookup("232-002300-000",B:AZ,column(u1),0)*e881</f>
        <v>0</v>
      </c>
      <c r="W881">
        <f>vlookup("232-002300-000",B:AZ,column(v1),0)*e881</f>
        <v>0</v>
      </c>
      <c r="X881">
        <f>vlookup("232-002300-000",B:AZ,column(w1),0)*e881</f>
        <v>0</v>
      </c>
      <c r="Y881">
        <f>vlookup("232-002300-000",B:AZ,column(x1),0)*e881</f>
        <v>0</v>
      </c>
      <c r="Z881">
        <f>vlookup("232-002300-000",B:AZ,column(y1),0)*e881</f>
        <v>0</v>
      </c>
      <c r="AA881">
        <f>vlookup("232-002300-000",B:AZ,column(z1),0)*e881</f>
        <v>0</v>
      </c>
      <c r="AB881">
        <f>vlookup("232-002300-000",B:AZ,column(aa1),0)*e881</f>
        <v>0</v>
      </c>
      <c r="AC881">
        <f>vlookup("232-002300-000",B:AZ,column(ab1),0)*e881</f>
        <v>0</v>
      </c>
      <c r="AD881">
        <f>vlookup("232-002300-000",B:AZ,column(ac1),0)*e881</f>
        <v>0</v>
      </c>
      <c r="AE881">
        <f>vlookup("232-002300-000",B:AZ,column(ad1),0)*e881</f>
        <v>0</v>
      </c>
      <c r="AF881">
        <f>vlookup("232-002300-000",B:AZ,column(ae1),0)*e881</f>
        <v>0</v>
      </c>
      <c r="AG881">
        <f>vlookup("232-002300-000",B:AZ,column(af1),0)*e881</f>
        <v>0</v>
      </c>
      <c r="AH881">
        <f>vlookup("232-002300-000",B:AZ,column(ag1),0)*e881</f>
        <v>0</v>
      </c>
      <c r="AI881">
        <f>vlookup("232-002300-000",B:AZ,column(ah1),0)*e881</f>
        <v>0</v>
      </c>
      <c r="AJ881">
        <f>vlookup("232-002300-000",B:AZ,column(ai1),0)*e881</f>
        <v>0</v>
      </c>
      <c r="AK881">
        <f>vlookup("232-002300-000",B:AZ,column(aj1),0)*e881</f>
        <v>0</v>
      </c>
      <c r="AL881">
        <f>vlookup("232-002300-000",B:AZ,column(ak1),0)*e881</f>
        <v>0</v>
      </c>
      <c r="AM881">
        <f>vlookup("232-002300-000",B:AZ,column(al1),0)*e881</f>
        <v>0</v>
      </c>
      <c r="AN881">
        <f>vlookup("232-002300-000",B:AZ,column(am1),0)*e881</f>
        <v>0</v>
      </c>
      <c r="AO881">
        <f>vlookup("232-002300-000",B:AZ,column(an1),0)*e881</f>
        <v>0</v>
      </c>
    </row>
    <row r="882" spans="1:41">
      <c r="A882" t="s">
        <v>10</v>
      </c>
      <c r="B882" t="s">
        <v>892</v>
      </c>
      <c r="C882" t="s">
        <v>894</v>
      </c>
      <c r="E882">
        <v>1</v>
      </c>
      <c r="F882" t="s">
        <v>13</v>
      </c>
      <c r="I882" t="s">
        <v>14</v>
      </c>
      <c r="AO882">
        <f>sum(j882:an882)</f>
        <v>0</v>
      </c>
    </row>
    <row r="883" spans="1:41">
      <c r="I883" t="s">
        <v>15</v>
      </c>
      <c r="J883">
        <f>vlookup("221-027300-000",Out!B:AZ,column(i1),0)</f>
        <v>0</v>
      </c>
      <c r="K883">
        <f>vlookup("221-027300-000",Out!B:AZ,column(j1),0)</f>
        <v>0</v>
      </c>
      <c r="L883">
        <f>vlookup("221-027300-000",Out!B:AZ,column(k1),0)</f>
        <v>0</v>
      </c>
      <c r="M883">
        <f>vlookup("221-027300-000",Out!B:AZ,column(l1),0)</f>
        <v>0</v>
      </c>
      <c r="N883">
        <f>vlookup("221-027300-000",Out!B:AZ,column(m1),0)</f>
        <v>0</v>
      </c>
      <c r="O883">
        <f>vlookup("221-027300-000",Out!B:AZ,column(n1),0)</f>
        <v>0</v>
      </c>
      <c r="P883">
        <f>vlookup("221-027300-000",Out!B:AZ,column(o1),0)</f>
        <v>0</v>
      </c>
      <c r="Q883">
        <f>vlookup("221-027300-000",Out!B:AZ,column(p1),0)</f>
        <v>0</v>
      </c>
      <c r="R883">
        <f>vlookup("221-027300-000",Out!B:AZ,column(q1),0)</f>
        <v>0</v>
      </c>
      <c r="S883">
        <f>vlookup("221-027300-000",Out!B:AZ,column(r1),0)</f>
        <v>0</v>
      </c>
      <c r="T883">
        <f>vlookup("221-027300-000",Out!B:AZ,column(s1),0)</f>
        <v>0</v>
      </c>
      <c r="U883">
        <f>vlookup("221-027300-000",Out!B:AZ,column(t1),0)</f>
        <v>0</v>
      </c>
      <c r="V883">
        <f>vlookup("221-027300-000",Out!B:AZ,column(u1),0)</f>
        <v>0</v>
      </c>
      <c r="W883">
        <f>vlookup("221-027300-000",Out!B:AZ,column(v1),0)</f>
        <v>0</v>
      </c>
      <c r="X883">
        <f>vlookup("221-027300-000",Out!B:AZ,column(w1),0)</f>
        <v>0</v>
      </c>
      <c r="Y883">
        <f>vlookup("221-027300-000",Out!B:AZ,column(x1),0)</f>
        <v>0</v>
      </c>
      <c r="Z883">
        <f>vlookup("221-027300-000",Out!B:AZ,column(y1),0)</f>
        <v>0</v>
      </c>
      <c r="AA883">
        <f>vlookup("221-027300-000",Out!B:AZ,column(z1),0)</f>
        <v>0</v>
      </c>
      <c r="AB883">
        <f>vlookup("221-027300-000",Out!B:AZ,column(aa1),0)</f>
        <v>0</v>
      </c>
      <c r="AC883">
        <f>vlookup("221-027300-000",Out!B:AZ,column(ab1),0)</f>
        <v>0</v>
      </c>
      <c r="AD883">
        <f>vlookup("221-027300-000",Out!B:AZ,column(ac1),0)</f>
        <v>0</v>
      </c>
      <c r="AE883">
        <f>vlookup("221-027300-000",Out!B:AZ,column(ad1),0)</f>
        <v>0</v>
      </c>
      <c r="AF883">
        <f>vlookup("221-027300-000",Out!B:AZ,column(ae1),0)</f>
        <v>0</v>
      </c>
      <c r="AG883">
        <f>vlookup("221-027300-000",Out!B:AZ,column(af1),0)</f>
        <v>0</v>
      </c>
      <c r="AH883">
        <f>vlookup("221-027300-000",Out!B:AZ,column(ag1),0)</f>
        <v>0</v>
      </c>
      <c r="AI883">
        <f>vlookup("221-027300-000",Out!B:AZ,column(ah1),0)</f>
        <v>0</v>
      </c>
      <c r="AJ883">
        <f>vlookup("221-027300-000",Out!B:AZ,column(ai1),0)</f>
        <v>0</v>
      </c>
      <c r="AK883">
        <f>vlookup("221-027300-000",Out!B:AZ,column(aj1),0)</f>
        <v>0</v>
      </c>
      <c r="AL883">
        <f>vlookup("221-027300-000",Out!B:AZ,column(ak1),0)</f>
        <v>0</v>
      </c>
      <c r="AM883">
        <f>vlookup("221-027300-000",Out!B:AZ,column(al1),0)</f>
        <v>0</v>
      </c>
      <c r="AN883">
        <f>vlookup("221-027300-000",Out!B:AZ,column(am1),0)</f>
        <v>0</v>
      </c>
      <c r="AO883">
        <f>vlookup("221-027300-000",Out!B:AZ,column(an1),0)</f>
        <v>0</v>
      </c>
    </row>
    <row r="884" spans="1:41">
      <c r="H884" t="s">
        <v>16</v>
      </c>
      <c r="J884">
        <f>indirect(address(884,9))+indirect(address(882,10))-indirect(address(883,10))</f>
        <v>0</v>
      </c>
      <c r="K884">
        <f>indirect(address(884,10))+indirect(address(882,11))-indirect(address(883,11))</f>
        <v>0</v>
      </c>
      <c r="L884">
        <f>indirect(address(884,11))+indirect(address(882,12))-indirect(address(883,12))</f>
        <v>0</v>
      </c>
      <c r="M884">
        <f>indirect(address(884,12))+indirect(address(882,13))-indirect(address(883,13))</f>
        <v>0</v>
      </c>
      <c r="N884">
        <f>indirect(address(884,13))+indirect(address(882,14))-indirect(address(883,14))</f>
        <v>0</v>
      </c>
      <c r="O884">
        <f>indirect(address(884,14))+indirect(address(882,15))-indirect(address(883,15))</f>
        <v>0</v>
      </c>
      <c r="P884">
        <f>indirect(address(884,15))+indirect(address(882,16))-indirect(address(883,16))</f>
        <v>0</v>
      </c>
      <c r="Q884">
        <f>indirect(address(884,16))+indirect(address(882,17))-indirect(address(883,17))</f>
        <v>0</v>
      </c>
      <c r="R884">
        <f>indirect(address(884,17))+indirect(address(882,18))-indirect(address(883,18))</f>
        <v>0</v>
      </c>
      <c r="S884">
        <f>indirect(address(884,18))+indirect(address(882,19))-indirect(address(883,19))</f>
        <v>0</v>
      </c>
      <c r="T884">
        <f>indirect(address(884,19))+indirect(address(882,20))-indirect(address(883,20))</f>
        <v>0</v>
      </c>
      <c r="U884">
        <f>indirect(address(884,20))+indirect(address(882,21))-indirect(address(883,21))</f>
        <v>0</v>
      </c>
      <c r="V884">
        <f>indirect(address(884,21))+indirect(address(882,22))-indirect(address(883,22))</f>
        <v>0</v>
      </c>
      <c r="W884">
        <f>indirect(address(884,22))+indirect(address(882,23))-indirect(address(883,23))</f>
        <v>0</v>
      </c>
      <c r="X884">
        <f>indirect(address(884,23))+indirect(address(882,24))-indirect(address(883,24))</f>
        <v>0</v>
      </c>
      <c r="Y884">
        <f>indirect(address(884,24))+indirect(address(882,25))-indirect(address(883,25))</f>
        <v>0</v>
      </c>
      <c r="Z884">
        <f>indirect(address(884,25))+indirect(address(882,26))-indirect(address(883,26))</f>
        <v>0</v>
      </c>
      <c r="AA884">
        <f>indirect(address(884,26))+indirect(address(882,27))-indirect(address(883,27))</f>
        <v>0</v>
      </c>
      <c r="AB884">
        <f>indirect(address(884,27))+indirect(address(882,28))-indirect(address(883,28))</f>
        <v>0</v>
      </c>
      <c r="AC884">
        <f>indirect(address(884,28))+indirect(address(882,29))-indirect(address(883,29))</f>
        <v>0</v>
      </c>
      <c r="AD884">
        <f>indirect(address(884,29))+indirect(address(882,30))-indirect(address(883,30))</f>
        <v>0</v>
      </c>
      <c r="AE884">
        <f>indirect(address(884,30))+indirect(address(882,31))-indirect(address(883,31))</f>
        <v>0</v>
      </c>
      <c r="AF884">
        <f>indirect(address(884,31))+indirect(address(882,32))-indirect(address(883,32))</f>
        <v>0</v>
      </c>
      <c r="AG884">
        <f>indirect(address(884,32))+indirect(address(882,33))-indirect(address(883,33))</f>
        <v>0</v>
      </c>
      <c r="AH884">
        <f>indirect(address(884,33))+indirect(address(882,34))-indirect(address(883,34))</f>
        <v>0</v>
      </c>
      <c r="AI884">
        <f>indirect(address(884,34))+indirect(address(882,35))-indirect(address(883,35))</f>
        <v>0</v>
      </c>
      <c r="AJ884">
        <f>indirect(address(884,35))+indirect(address(882,36))-indirect(address(883,36))</f>
        <v>0</v>
      </c>
      <c r="AK884">
        <f>indirect(address(884,36))+indirect(address(882,37))-indirect(address(883,37))</f>
        <v>0</v>
      </c>
      <c r="AL884">
        <f>indirect(address(884,37))+indirect(address(882,38))-indirect(address(883,38))</f>
        <v>0</v>
      </c>
      <c r="AM884">
        <f>indirect(address(884,38))+indirect(address(882,39))-indirect(address(883,39))</f>
        <v>0</v>
      </c>
      <c r="AN884">
        <f>indirect(address(884,39))+indirect(address(882,40))-indirect(address(883,40))</f>
        <v>0</v>
      </c>
      <c r="AO884">
        <f>indirect(address(884,40))</f>
        <v>0</v>
      </c>
    </row>
    <row r="885" spans="1:41">
      <c r="A885" t="s">
        <v>17</v>
      </c>
      <c r="B885" t="s">
        <v>895</v>
      </c>
      <c r="C885" t="s">
        <v>896</v>
      </c>
      <c r="E885">
        <v>1</v>
      </c>
      <c r="F885" t="s">
        <v>13</v>
      </c>
      <c r="I885" t="s">
        <v>15</v>
      </c>
      <c r="J885">
        <f>vlookup("221-027300-000",B:AZ,column(i1),0)*e885</f>
        <v>0</v>
      </c>
      <c r="K885">
        <f>vlookup("221-027300-000",B:AZ,column(j1),0)*e885</f>
        <v>0</v>
      </c>
      <c r="L885">
        <f>vlookup("221-027300-000",B:AZ,column(k1),0)*e885</f>
        <v>0</v>
      </c>
      <c r="M885">
        <f>vlookup("221-027300-000",B:AZ,column(l1),0)*e885</f>
        <v>0</v>
      </c>
      <c r="N885">
        <f>vlookup("221-027300-000",B:AZ,column(m1),0)*e885</f>
        <v>0</v>
      </c>
      <c r="O885">
        <f>vlookup("221-027300-000",B:AZ,column(n1),0)*e885</f>
        <v>0</v>
      </c>
      <c r="P885">
        <f>vlookup("221-027300-000",B:AZ,column(o1),0)*e885</f>
        <v>0</v>
      </c>
      <c r="Q885">
        <f>vlookup("221-027300-000",B:AZ,column(p1),0)*e885</f>
        <v>0</v>
      </c>
      <c r="R885">
        <f>vlookup("221-027300-000",B:AZ,column(q1),0)*e885</f>
        <v>0</v>
      </c>
      <c r="S885">
        <f>vlookup("221-027300-000",B:AZ,column(r1),0)*e885</f>
        <v>0</v>
      </c>
      <c r="T885">
        <f>vlookup("221-027300-000",B:AZ,column(s1),0)*e885</f>
        <v>0</v>
      </c>
      <c r="U885">
        <f>vlookup("221-027300-000",B:AZ,column(t1),0)*e885</f>
        <v>0</v>
      </c>
      <c r="V885">
        <f>vlookup("221-027300-000",B:AZ,column(u1),0)*e885</f>
        <v>0</v>
      </c>
      <c r="W885">
        <f>vlookup("221-027300-000",B:AZ,column(v1),0)*e885</f>
        <v>0</v>
      </c>
      <c r="X885">
        <f>vlookup("221-027300-000",B:AZ,column(w1),0)*e885</f>
        <v>0</v>
      </c>
      <c r="Y885">
        <f>vlookup("221-027300-000",B:AZ,column(x1),0)*e885</f>
        <v>0</v>
      </c>
      <c r="Z885">
        <f>vlookup("221-027300-000",B:AZ,column(y1),0)*e885</f>
        <v>0</v>
      </c>
      <c r="AA885">
        <f>vlookup("221-027300-000",B:AZ,column(z1),0)*e885</f>
        <v>0</v>
      </c>
      <c r="AB885">
        <f>vlookup("221-027300-000",B:AZ,column(aa1),0)*e885</f>
        <v>0</v>
      </c>
      <c r="AC885">
        <f>vlookup("221-027300-000",B:AZ,column(ab1),0)*e885</f>
        <v>0</v>
      </c>
      <c r="AD885">
        <f>vlookup("221-027300-000",B:AZ,column(ac1),0)*e885</f>
        <v>0</v>
      </c>
      <c r="AE885">
        <f>vlookup("221-027300-000",B:AZ,column(ad1),0)*e885</f>
        <v>0</v>
      </c>
      <c r="AF885">
        <f>vlookup("221-027300-000",B:AZ,column(ae1),0)*e885</f>
        <v>0</v>
      </c>
      <c r="AG885">
        <f>vlookup("221-027300-000",B:AZ,column(af1),0)*e885</f>
        <v>0</v>
      </c>
      <c r="AH885">
        <f>vlookup("221-027300-000",B:AZ,column(ag1),0)*e885</f>
        <v>0</v>
      </c>
      <c r="AI885">
        <f>vlookup("221-027300-000",B:AZ,column(ah1),0)*e885</f>
        <v>0</v>
      </c>
      <c r="AJ885">
        <f>vlookup("221-027300-000",B:AZ,column(ai1),0)*e885</f>
        <v>0</v>
      </c>
      <c r="AK885">
        <f>vlookup("221-027300-000",B:AZ,column(aj1),0)*e885</f>
        <v>0</v>
      </c>
      <c r="AL885">
        <f>vlookup("221-027300-000",B:AZ,column(ak1),0)*e885</f>
        <v>0</v>
      </c>
      <c r="AM885">
        <f>vlookup("221-027300-000",B:AZ,column(al1),0)*e885</f>
        <v>0</v>
      </c>
      <c r="AN885">
        <f>vlookup("221-027300-000",B:AZ,column(am1),0)*e885</f>
        <v>0</v>
      </c>
      <c r="AO885">
        <f>vlookup("221-027300-000",B:AZ,column(an1),0)*e885</f>
        <v>0</v>
      </c>
    </row>
    <row r="886" spans="1:41">
      <c r="A886" t="s">
        <v>22</v>
      </c>
      <c r="B886" t="s">
        <v>897</v>
      </c>
      <c r="C886" t="s">
        <v>651</v>
      </c>
      <c r="E886">
        <v>1</v>
      </c>
      <c r="F886" t="s">
        <v>13</v>
      </c>
      <c r="I886" t="s">
        <v>15</v>
      </c>
      <c r="J886">
        <f>vlookup("221-027300-000",B:AZ,column(i1),0)*e886</f>
        <v>0</v>
      </c>
      <c r="K886">
        <f>vlookup("221-027300-000",B:AZ,column(j1),0)*e886</f>
        <v>0</v>
      </c>
      <c r="L886">
        <f>vlookup("221-027300-000",B:AZ,column(k1),0)*e886</f>
        <v>0</v>
      </c>
      <c r="M886">
        <f>vlookup("221-027300-000",B:AZ,column(l1),0)*e886</f>
        <v>0</v>
      </c>
      <c r="N886">
        <f>vlookup("221-027300-000",B:AZ,column(m1),0)*e886</f>
        <v>0</v>
      </c>
      <c r="O886">
        <f>vlookup("221-027300-000",B:AZ,column(n1),0)*e886</f>
        <v>0</v>
      </c>
      <c r="P886">
        <f>vlookup("221-027300-000",B:AZ,column(o1),0)*e886</f>
        <v>0</v>
      </c>
      <c r="Q886">
        <f>vlookup("221-027300-000",B:AZ,column(p1),0)*e886</f>
        <v>0</v>
      </c>
      <c r="R886">
        <f>vlookup("221-027300-000",B:AZ,column(q1),0)*e886</f>
        <v>0</v>
      </c>
      <c r="S886">
        <f>vlookup("221-027300-000",B:AZ,column(r1),0)*e886</f>
        <v>0</v>
      </c>
      <c r="T886">
        <f>vlookup("221-027300-000",B:AZ,column(s1),0)*e886</f>
        <v>0</v>
      </c>
      <c r="U886">
        <f>vlookup("221-027300-000",B:AZ,column(t1),0)*e886</f>
        <v>0</v>
      </c>
      <c r="V886">
        <f>vlookup("221-027300-000",B:AZ,column(u1),0)*e886</f>
        <v>0</v>
      </c>
      <c r="W886">
        <f>vlookup("221-027300-000",B:AZ,column(v1),0)*e886</f>
        <v>0</v>
      </c>
      <c r="X886">
        <f>vlookup("221-027300-000",B:AZ,column(w1),0)*e886</f>
        <v>0</v>
      </c>
      <c r="Y886">
        <f>vlookup("221-027300-000",B:AZ,column(x1),0)*e886</f>
        <v>0</v>
      </c>
      <c r="Z886">
        <f>vlookup("221-027300-000",B:AZ,column(y1),0)*e886</f>
        <v>0</v>
      </c>
      <c r="AA886">
        <f>vlookup("221-027300-000",B:AZ,column(z1),0)*e886</f>
        <v>0</v>
      </c>
      <c r="AB886">
        <f>vlookup("221-027300-000",B:AZ,column(aa1),0)*e886</f>
        <v>0</v>
      </c>
      <c r="AC886">
        <f>vlookup("221-027300-000",B:AZ,column(ab1),0)*e886</f>
        <v>0</v>
      </c>
      <c r="AD886">
        <f>vlookup("221-027300-000",B:AZ,column(ac1),0)*e886</f>
        <v>0</v>
      </c>
      <c r="AE886">
        <f>vlookup("221-027300-000",B:AZ,column(ad1),0)*e886</f>
        <v>0</v>
      </c>
      <c r="AF886">
        <f>vlookup("221-027300-000",B:AZ,column(ae1),0)*e886</f>
        <v>0</v>
      </c>
      <c r="AG886">
        <f>vlookup("221-027300-000",B:AZ,column(af1),0)*e886</f>
        <v>0</v>
      </c>
      <c r="AH886">
        <f>vlookup("221-027300-000",B:AZ,column(ag1),0)*e886</f>
        <v>0</v>
      </c>
      <c r="AI886">
        <f>vlookup("221-027300-000",B:AZ,column(ah1),0)*e886</f>
        <v>0</v>
      </c>
      <c r="AJ886">
        <f>vlookup("221-027300-000",B:AZ,column(ai1),0)*e886</f>
        <v>0</v>
      </c>
      <c r="AK886">
        <f>vlookup("221-027300-000",B:AZ,column(aj1),0)*e886</f>
        <v>0</v>
      </c>
      <c r="AL886">
        <f>vlookup("221-027300-000",B:AZ,column(ak1),0)*e886</f>
        <v>0</v>
      </c>
      <c r="AM886">
        <f>vlookup("221-027300-000",B:AZ,column(al1),0)*e886</f>
        <v>0</v>
      </c>
      <c r="AN886">
        <f>vlookup("221-027300-000",B:AZ,column(am1),0)*e886</f>
        <v>0</v>
      </c>
      <c r="AO886">
        <f>vlookup("221-027300-000",B:AZ,column(an1),0)*e886</f>
        <v>0</v>
      </c>
    </row>
    <row r="887" spans="1:41">
      <c r="A887" t="s">
        <v>22</v>
      </c>
      <c r="B887" t="s">
        <v>898</v>
      </c>
      <c r="C887" t="s">
        <v>651</v>
      </c>
      <c r="E887">
        <v>1</v>
      </c>
      <c r="F887" t="s">
        <v>13</v>
      </c>
      <c r="I887" t="s">
        <v>15</v>
      </c>
      <c r="J887">
        <f>vlookup("221-027300-000",B:AZ,column(i1),0)*e887</f>
        <v>0</v>
      </c>
      <c r="K887">
        <f>vlookup("221-027300-000",B:AZ,column(j1),0)*e887</f>
        <v>0</v>
      </c>
      <c r="L887">
        <f>vlookup("221-027300-000",B:AZ,column(k1),0)*e887</f>
        <v>0</v>
      </c>
      <c r="M887">
        <f>vlookup("221-027300-000",B:AZ,column(l1),0)*e887</f>
        <v>0</v>
      </c>
      <c r="N887">
        <f>vlookup("221-027300-000",B:AZ,column(m1),0)*e887</f>
        <v>0</v>
      </c>
      <c r="O887">
        <f>vlookup("221-027300-000",B:AZ,column(n1),0)*e887</f>
        <v>0</v>
      </c>
      <c r="P887">
        <f>vlookup("221-027300-000",B:AZ,column(o1),0)*e887</f>
        <v>0</v>
      </c>
      <c r="Q887">
        <f>vlookup("221-027300-000",B:AZ,column(p1),0)*e887</f>
        <v>0</v>
      </c>
      <c r="R887">
        <f>vlookup("221-027300-000",B:AZ,column(q1),0)*e887</f>
        <v>0</v>
      </c>
      <c r="S887">
        <f>vlookup("221-027300-000",B:AZ,column(r1),0)*e887</f>
        <v>0</v>
      </c>
      <c r="T887">
        <f>vlookup("221-027300-000",B:AZ,column(s1),0)*e887</f>
        <v>0</v>
      </c>
      <c r="U887">
        <f>vlookup("221-027300-000",B:AZ,column(t1),0)*e887</f>
        <v>0</v>
      </c>
      <c r="V887">
        <f>vlookup("221-027300-000",B:AZ,column(u1),0)*e887</f>
        <v>0</v>
      </c>
      <c r="W887">
        <f>vlookup("221-027300-000",B:AZ,column(v1),0)*e887</f>
        <v>0</v>
      </c>
      <c r="X887">
        <f>vlookup("221-027300-000",B:AZ,column(w1),0)*e887</f>
        <v>0</v>
      </c>
      <c r="Y887">
        <f>vlookup("221-027300-000",B:AZ,column(x1),0)*e887</f>
        <v>0</v>
      </c>
      <c r="Z887">
        <f>vlookup("221-027300-000",B:AZ,column(y1),0)*e887</f>
        <v>0</v>
      </c>
      <c r="AA887">
        <f>vlookup("221-027300-000",B:AZ,column(z1),0)*e887</f>
        <v>0</v>
      </c>
      <c r="AB887">
        <f>vlookup("221-027300-000",B:AZ,column(aa1),0)*e887</f>
        <v>0</v>
      </c>
      <c r="AC887">
        <f>vlookup("221-027300-000",B:AZ,column(ab1),0)*e887</f>
        <v>0</v>
      </c>
      <c r="AD887">
        <f>vlookup("221-027300-000",B:AZ,column(ac1),0)*e887</f>
        <v>0</v>
      </c>
      <c r="AE887">
        <f>vlookup("221-027300-000",B:AZ,column(ad1),0)*e887</f>
        <v>0</v>
      </c>
      <c r="AF887">
        <f>vlookup("221-027300-000",B:AZ,column(ae1),0)*e887</f>
        <v>0</v>
      </c>
      <c r="AG887">
        <f>vlookup("221-027300-000",B:AZ,column(af1),0)*e887</f>
        <v>0</v>
      </c>
      <c r="AH887">
        <f>vlookup("221-027300-000",B:AZ,column(ag1),0)*e887</f>
        <v>0</v>
      </c>
      <c r="AI887">
        <f>vlookup("221-027300-000",B:AZ,column(ah1),0)*e887</f>
        <v>0</v>
      </c>
      <c r="AJ887">
        <f>vlookup("221-027300-000",B:AZ,column(ai1),0)*e887</f>
        <v>0</v>
      </c>
      <c r="AK887">
        <f>vlookup("221-027300-000",B:AZ,column(aj1),0)*e887</f>
        <v>0</v>
      </c>
      <c r="AL887">
        <f>vlookup("221-027300-000",B:AZ,column(ak1),0)*e887</f>
        <v>0</v>
      </c>
      <c r="AM887">
        <f>vlookup("221-027300-000",B:AZ,column(al1),0)*e887</f>
        <v>0</v>
      </c>
      <c r="AN887">
        <f>vlookup("221-027300-000",B:AZ,column(am1),0)*e887</f>
        <v>0</v>
      </c>
      <c r="AO887">
        <f>vlookup("221-027300-000",B:AZ,column(an1),0)*e887</f>
        <v>0</v>
      </c>
    </row>
    <row r="888" spans="1:41">
      <c r="A888" t="s">
        <v>22</v>
      </c>
      <c r="B888" t="s">
        <v>899</v>
      </c>
      <c r="C888" t="s">
        <v>651</v>
      </c>
      <c r="E888">
        <v>1</v>
      </c>
      <c r="F888" t="s">
        <v>13</v>
      </c>
      <c r="I888" t="s">
        <v>15</v>
      </c>
      <c r="J888">
        <f>vlookup("221-027300-000",B:AZ,column(i1),0)*e888</f>
        <v>0</v>
      </c>
      <c r="K888">
        <f>vlookup("221-027300-000",B:AZ,column(j1),0)*e888</f>
        <v>0</v>
      </c>
      <c r="L888">
        <f>vlookup("221-027300-000",B:AZ,column(k1),0)*e888</f>
        <v>0</v>
      </c>
      <c r="M888">
        <f>vlookup("221-027300-000",B:AZ,column(l1),0)*e888</f>
        <v>0</v>
      </c>
      <c r="N888">
        <f>vlookup("221-027300-000",B:AZ,column(m1),0)*e888</f>
        <v>0</v>
      </c>
      <c r="O888">
        <f>vlookup("221-027300-000",B:AZ,column(n1),0)*e888</f>
        <v>0</v>
      </c>
      <c r="P888">
        <f>vlookup("221-027300-000",B:AZ,column(o1),0)*e888</f>
        <v>0</v>
      </c>
      <c r="Q888">
        <f>vlookup("221-027300-000",B:AZ,column(p1),0)*e888</f>
        <v>0</v>
      </c>
      <c r="R888">
        <f>vlookup("221-027300-000",B:AZ,column(q1),0)*e888</f>
        <v>0</v>
      </c>
      <c r="S888">
        <f>vlookup("221-027300-000",B:AZ,column(r1),0)*e888</f>
        <v>0</v>
      </c>
      <c r="T888">
        <f>vlookup("221-027300-000",B:AZ,column(s1),0)*e888</f>
        <v>0</v>
      </c>
      <c r="U888">
        <f>vlookup("221-027300-000",B:AZ,column(t1),0)*e888</f>
        <v>0</v>
      </c>
      <c r="V888">
        <f>vlookup("221-027300-000",B:AZ,column(u1),0)*e888</f>
        <v>0</v>
      </c>
      <c r="W888">
        <f>vlookup("221-027300-000",B:AZ,column(v1),0)*e888</f>
        <v>0</v>
      </c>
      <c r="X888">
        <f>vlookup("221-027300-000",B:AZ,column(w1),0)*e888</f>
        <v>0</v>
      </c>
      <c r="Y888">
        <f>vlookup("221-027300-000",B:AZ,column(x1),0)*e888</f>
        <v>0</v>
      </c>
      <c r="Z888">
        <f>vlookup("221-027300-000",B:AZ,column(y1),0)*e888</f>
        <v>0</v>
      </c>
      <c r="AA888">
        <f>vlookup("221-027300-000",B:AZ,column(z1),0)*e888</f>
        <v>0</v>
      </c>
      <c r="AB888">
        <f>vlookup("221-027300-000",B:AZ,column(aa1),0)*e888</f>
        <v>0</v>
      </c>
      <c r="AC888">
        <f>vlookup("221-027300-000",B:AZ,column(ab1),0)*e888</f>
        <v>0</v>
      </c>
      <c r="AD888">
        <f>vlookup("221-027300-000",B:AZ,column(ac1),0)*e888</f>
        <v>0</v>
      </c>
      <c r="AE888">
        <f>vlookup("221-027300-000",B:AZ,column(ad1),0)*e888</f>
        <v>0</v>
      </c>
      <c r="AF888">
        <f>vlookup("221-027300-000",B:AZ,column(ae1),0)*e888</f>
        <v>0</v>
      </c>
      <c r="AG888">
        <f>vlookup("221-027300-000",B:AZ,column(af1),0)*e888</f>
        <v>0</v>
      </c>
      <c r="AH888">
        <f>vlookup("221-027300-000",B:AZ,column(ag1),0)*e888</f>
        <v>0</v>
      </c>
      <c r="AI888">
        <f>vlookup("221-027300-000",B:AZ,column(ah1),0)*e888</f>
        <v>0</v>
      </c>
      <c r="AJ888">
        <f>vlookup("221-027300-000",B:AZ,column(ai1),0)*e888</f>
        <v>0</v>
      </c>
      <c r="AK888">
        <f>vlookup("221-027300-000",B:AZ,column(aj1),0)*e888</f>
        <v>0</v>
      </c>
      <c r="AL888">
        <f>vlookup("221-027300-000",B:AZ,column(ak1),0)*e888</f>
        <v>0</v>
      </c>
      <c r="AM888">
        <f>vlookup("221-027300-000",B:AZ,column(al1),0)*e888</f>
        <v>0</v>
      </c>
      <c r="AN888">
        <f>vlookup("221-027300-000",B:AZ,column(am1),0)*e888</f>
        <v>0</v>
      </c>
      <c r="AO888">
        <f>vlookup("221-027300-000",B:AZ,column(an1),0)*e888</f>
        <v>0</v>
      </c>
    </row>
    <row r="889" spans="1:41">
      <c r="A889" t="s">
        <v>22</v>
      </c>
      <c r="B889" t="s">
        <v>900</v>
      </c>
      <c r="C889" t="s">
        <v>651</v>
      </c>
      <c r="E889">
        <v>1</v>
      </c>
      <c r="F889" t="s">
        <v>13</v>
      </c>
      <c r="I889" t="s">
        <v>15</v>
      </c>
      <c r="J889">
        <f>vlookup("221-027300-000",B:AZ,column(i1),0)*e889</f>
        <v>0</v>
      </c>
      <c r="K889">
        <f>vlookup("221-027300-000",B:AZ,column(j1),0)*e889</f>
        <v>0</v>
      </c>
      <c r="L889">
        <f>vlookup("221-027300-000",B:AZ,column(k1),0)*e889</f>
        <v>0</v>
      </c>
      <c r="M889">
        <f>vlookup("221-027300-000",B:AZ,column(l1),0)*e889</f>
        <v>0</v>
      </c>
      <c r="N889">
        <f>vlookup("221-027300-000",B:AZ,column(m1),0)*e889</f>
        <v>0</v>
      </c>
      <c r="O889">
        <f>vlookup("221-027300-000",B:AZ,column(n1),0)*e889</f>
        <v>0</v>
      </c>
      <c r="P889">
        <f>vlookup("221-027300-000",B:AZ,column(o1),0)*e889</f>
        <v>0</v>
      </c>
      <c r="Q889">
        <f>vlookup("221-027300-000",B:AZ,column(p1),0)*e889</f>
        <v>0</v>
      </c>
      <c r="R889">
        <f>vlookup("221-027300-000",B:AZ,column(q1),0)*e889</f>
        <v>0</v>
      </c>
      <c r="S889">
        <f>vlookup("221-027300-000",B:AZ,column(r1),0)*e889</f>
        <v>0</v>
      </c>
      <c r="T889">
        <f>vlookup("221-027300-000",B:AZ,column(s1),0)*e889</f>
        <v>0</v>
      </c>
      <c r="U889">
        <f>vlookup("221-027300-000",B:AZ,column(t1),0)*e889</f>
        <v>0</v>
      </c>
      <c r="V889">
        <f>vlookup("221-027300-000",B:AZ,column(u1),0)*e889</f>
        <v>0</v>
      </c>
      <c r="W889">
        <f>vlookup("221-027300-000",B:AZ,column(v1),0)*e889</f>
        <v>0</v>
      </c>
      <c r="X889">
        <f>vlookup("221-027300-000",B:AZ,column(w1),0)*e889</f>
        <v>0</v>
      </c>
      <c r="Y889">
        <f>vlookup("221-027300-000",B:AZ,column(x1),0)*e889</f>
        <v>0</v>
      </c>
      <c r="Z889">
        <f>vlookup("221-027300-000",B:AZ,column(y1),0)*e889</f>
        <v>0</v>
      </c>
      <c r="AA889">
        <f>vlookup("221-027300-000",B:AZ,column(z1),0)*e889</f>
        <v>0</v>
      </c>
      <c r="AB889">
        <f>vlookup("221-027300-000",B:AZ,column(aa1),0)*e889</f>
        <v>0</v>
      </c>
      <c r="AC889">
        <f>vlookup("221-027300-000",B:AZ,column(ab1),0)*e889</f>
        <v>0</v>
      </c>
      <c r="AD889">
        <f>vlookup("221-027300-000",B:AZ,column(ac1),0)*e889</f>
        <v>0</v>
      </c>
      <c r="AE889">
        <f>vlookup("221-027300-000",B:AZ,column(ad1),0)*e889</f>
        <v>0</v>
      </c>
      <c r="AF889">
        <f>vlookup("221-027300-000",B:AZ,column(ae1),0)*e889</f>
        <v>0</v>
      </c>
      <c r="AG889">
        <f>vlookup("221-027300-000",B:AZ,column(af1),0)*e889</f>
        <v>0</v>
      </c>
      <c r="AH889">
        <f>vlookup("221-027300-000",B:AZ,column(ag1),0)*e889</f>
        <v>0</v>
      </c>
      <c r="AI889">
        <f>vlookup("221-027300-000",B:AZ,column(ah1),0)*e889</f>
        <v>0</v>
      </c>
      <c r="AJ889">
        <f>vlookup("221-027300-000",B:AZ,column(ai1),0)*e889</f>
        <v>0</v>
      </c>
      <c r="AK889">
        <f>vlookup("221-027300-000",B:AZ,column(aj1),0)*e889</f>
        <v>0</v>
      </c>
      <c r="AL889">
        <f>vlookup("221-027300-000",B:AZ,column(ak1),0)*e889</f>
        <v>0</v>
      </c>
      <c r="AM889">
        <f>vlookup("221-027300-000",B:AZ,column(al1),0)*e889</f>
        <v>0</v>
      </c>
      <c r="AN889">
        <f>vlookup("221-027300-000",B:AZ,column(am1),0)*e889</f>
        <v>0</v>
      </c>
      <c r="AO889">
        <f>vlookup("221-027300-000",B:AZ,column(an1),0)*e889</f>
        <v>0</v>
      </c>
    </row>
    <row r="890" spans="1:41">
      <c r="A890" t="s">
        <v>22</v>
      </c>
      <c r="B890" t="s">
        <v>901</v>
      </c>
      <c r="C890" t="s">
        <v>902</v>
      </c>
      <c r="E890">
        <v>0.001</v>
      </c>
      <c r="F890" t="s">
        <v>13</v>
      </c>
      <c r="I890" t="s">
        <v>15</v>
      </c>
      <c r="J890">
        <f>vlookup("221-027300-000",B:AZ,column(i1),0)*e890</f>
        <v>0</v>
      </c>
      <c r="K890">
        <f>vlookup("221-027300-000",B:AZ,column(j1),0)*e890</f>
        <v>0</v>
      </c>
      <c r="L890">
        <f>vlookup("221-027300-000",B:AZ,column(k1),0)*e890</f>
        <v>0</v>
      </c>
      <c r="M890">
        <f>vlookup("221-027300-000",B:AZ,column(l1),0)*e890</f>
        <v>0</v>
      </c>
      <c r="N890">
        <f>vlookup("221-027300-000",B:AZ,column(m1),0)*e890</f>
        <v>0</v>
      </c>
      <c r="O890">
        <f>vlookup("221-027300-000",B:AZ,column(n1),0)*e890</f>
        <v>0</v>
      </c>
      <c r="P890">
        <f>vlookup("221-027300-000",B:AZ,column(o1),0)*e890</f>
        <v>0</v>
      </c>
      <c r="Q890">
        <f>vlookup("221-027300-000",B:AZ,column(p1),0)*e890</f>
        <v>0</v>
      </c>
      <c r="R890">
        <f>vlookup("221-027300-000",B:AZ,column(q1),0)*e890</f>
        <v>0</v>
      </c>
      <c r="S890">
        <f>vlookup("221-027300-000",B:AZ,column(r1),0)*e890</f>
        <v>0</v>
      </c>
      <c r="T890">
        <f>vlookup("221-027300-000",B:AZ,column(s1),0)*e890</f>
        <v>0</v>
      </c>
      <c r="U890">
        <f>vlookup("221-027300-000",B:AZ,column(t1),0)*e890</f>
        <v>0</v>
      </c>
      <c r="V890">
        <f>vlookup("221-027300-000",B:AZ,column(u1),0)*e890</f>
        <v>0</v>
      </c>
      <c r="W890">
        <f>vlookup("221-027300-000",B:AZ,column(v1),0)*e890</f>
        <v>0</v>
      </c>
      <c r="X890">
        <f>vlookup("221-027300-000",B:AZ,column(w1),0)*e890</f>
        <v>0</v>
      </c>
      <c r="Y890">
        <f>vlookup("221-027300-000",B:AZ,column(x1),0)*e890</f>
        <v>0</v>
      </c>
      <c r="Z890">
        <f>vlookup("221-027300-000",B:AZ,column(y1),0)*e890</f>
        <v>0</v>
      </c>
      <c r="AA890">
        <f>vlookup("221-027300-000",B:AZ,column(z1),0)*e890</f>
        <v>0</v>
      </c>
      <c r="AB890">
        <f>vlookup("221-027300-000",B:AZ,column(aa1),0)*e890</f>
        <v>0</v>
      </c>
      <c r="AC890">
        <f>vlookup("221-027300-000",B:AZ,column(ab1),0)*e890</f>
        <v>0</v>
      </c>
      <c r="AD890">
        <f>vlookup("221-027300-000",B:AZ,column(ac1),0)*e890</f>
        <v>0</v>
      </c>
      <c r="AE890">
        <f>vlookup("221-027300-000",B:AZ,column(ad1),0)*e890</f>
        <v>0</v>
      </c>
      <c r="AF890">
        <f>vlookup("221-027300-000",B:AZ,column(ae1),0)*e890</f>
        <v>0</v>
      </c>
      <c r="AG890">
        <f>vlookup("221-027300-000",B:AZ,column(af1),0)*e890</f>
        <v>0</v>
      </c>
      <c r="AH890">
        <f>vlookup("221-027300-000",B:AZ,column(ag1),0)*e890</f>
        <v>0</v>
      </c>
      <c r="AI890">
        <f>vlookup("221-027300-000",B:AZ,column(ah1),0)*e890</f>
        <v>0</v>
      </c>
      <c r="AJ890">
        <f>vlookup("221-027300-000",B:AZ,column(ai1),0)*e890</f>
        <v>0</v>
      </c>
      <c r="AK890">
        <f>vlookup("221-027300-000",B:AZ,column(aj1),0)*e890</f>
        <v>0</v>
      </c>
      <c r="AL890">
        <f>vlookup("221-027300-000",B:AZ,column(ak1),0)*e890</f>
        <v>0</v>
      </c>
      <c r="AM890">
        <f>vlookup("221-027300-000",B:AZ,column(al1),0)*e890</f>
        <v>0</v>
      </c>
      <c r="AN890">
        <f>vlookup("221-027300-000",B:AZ,column(am1),0)*e890</f>
        <v>0</v>
      </c>
      <c r="AO890">
        <f>vlookup("221-027300-000",B:AZ,column(an1),0)*e890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03"/>
  <sheetViews>
    <sheetView workbookViewId="0"/>
  </sheetViews>
  <sheetFormatPr defaultRowHeight="15"/>
  <sheetData>
    <row r="1" spans="1:41">
      <c r="A1" t="s">
        <v>903</v>
      </c>
    </row>
    <row r="2" spans="1:41">
      <c r="A2" t="s">
        <v>904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 t="s">
        <v>9</v>
      </c>
    </row>
    <row r="4" spans="1:41">
      <c r="A4" t="s">
        <v>10</v>
      </c>
      <c r="B4" t="s">
        <v>11</v>
      </c>
      <c r="C4" t="s">
        <v>12</v>
      </c>
      <c r="E4">
        <v>1</v>
      </c>
      <c r="F4" t="s">
        <v>13</v>
      </c>
      <c r="I4" t="s">
        <v>15</v>
      </c>
      <c r="AO4">
        <f>sum(j4:an4)</f>
        <v>0</v>
      </c>
    </row>
    <row r="5" spans="1:41">
      <c r="A5" t="s">
        <v>10</v>
      </c>
      <c r="B5" t="s">
        <v>44</v>
      </c>
      <c r="C5" t="s">
        <v>12</v>
      </c>
      <c r="E5">
        <v>1</v>
      </c>
      <c r="F5" t="s">
        <v>13</v>
      </c>
      <c r="I5" t="s">
        <v>15</v>
      </c>
      <c r="AO5">
        <f>sum(j5:an5)</f>
        <v>0</v>
      </c>
    </row>
    <row r="6" spans="1:41">
      <c r="A6" t="s">
        <v>10</v>
      </c>
      <c r="B6" t="s">
        <v>51</v>
      </c>
      <c r="C6" t="s">
        <v>52</v>
      </c>
      <c r="E6">
        <v>1</v>
      </c>
      <c r="F6" t="s">
        <v>13</v>
      </c>
      <c r="I6" t="s">
        <v>15</v>
      </c>
      <c r="AO6">
        <f>sum(j6:an6)</f>
        <v>0</v>
      </c>
    </row>
    <row r="7" spans="1:41">
      <c r="A7" t="s">
        <v>10</v>
      </c>
      <c r="B7" t="s">
        <v>64</v>
      </c>
      <c r="C7" t="s">
        <v>65</v>
      </c>
      <c r="E7">
        <v>1</v>
      </c>
      <c r="F7" t="s">
        <v>13</v>
      </c>
      <c r="I7" t="s">
        <v>15</v>
      </c>
      <c r="AO7">
        <f>sum(j7:an7)</f>
        <v>0</v>
      </c>
    </row>
    <row r="8" spans="1:41">
      <c r="A8" t="s">
        <v>10</v>
      </c>
      <c r="B8" t="s">
        <v>80</v>
      </c>
      <c r="C8" t="s">
        <v>81</v>
      </c>
      <c r="E8">
        <v>1</v>
      </c>
      <c r="F8" t="s">
        <v>13</v>
      </c>
      <c r="I8" t="s">
        <v>15</v>
      </c>
      <c r="AO8">
        <f>sum(j8:an8)</f>
        <v>0</v>
      </c>
    </row>
    <row r="9" spans="1:41">
      <c r="A9" t="s">
        <v>10</v>
      </c>
      <c r="B9" t="s">
        <v>89</v>
      </c>
      <c r="C9" t="s">
        <v>90</v>
      </c>
      <c r="E9">
        <v>1</v>
      </c>
      <c r="F9" t="s">
        <v>13</v>
      </c>
      <c r="I9" t="s">
        <v>15</v>
      </c>
      <c r="AO9">
        <f>sum(j9:an9)</f>
        <v>0</v>
      </c>
    </row>
    <row r="10" spans="1:41">
      <c r="A10" t="s">
        <v>10</v>
      </c>
      <c r="B10" t="s">
        <v>107</v>
      </c>
      <c r="C10" t="s">
        <v>108</v>
      </c>
      <c r="E10">
        <v>1</v>
      </c>
      <c r="F10" t="s">
        <v>13</v>
      </c>
      <c r="I10" t="s">
        <v>15</v>
      </c>
      <c r="AO10">
        <f>sum(j10:an10)</f>
        <v>0</v>
      </c>
    </row>
    <row r="11" spans="1:41">
      <c r="A11" t="s">
        <v>10</v>
      </c>
      <c r="B11" t="s">
        <v>118</v>
      </c>
      <c r="C11" t="s">
        <v>119</v>
      </c>
      <c r="E11">
        <v>1</v>
      </c>
      <c r="F11" t="s">
        <v>13</v>
      </c>
      <c r="I11" t="s">
        <v>15</v>
      </c>
      <c r="AO11">
        <f>sum(j11:an11)</f>
        <v>0</v>
      </c>
    </row>
    <row r="12" spans="1:41">
      <c r="A12" t="s">
        <v>10</v>
      </c>
      <c r="B12" t="s">
        <v>126</v>
      </c>
      <c r="C12" t="s">
        <v>127</v>
      </c>
      <c r="E12">
        <v>1</v>
      </c>
      <c r="F12" t="s">
        <v>13</v>
      </c>
      <c r="I12" t="s">
        <v>15</v>
      </c>
      <c r="AO12">
        <f>sum(j12:an12)</f>
        <v>0</v>
      </c>
    </row>
    <row r="13" spans="1:41">
      <c r="A13" t="s">
        <v>10</v>
      </c>
      <c r="B13" t="s">
        <v>140</v>
      </c>
      <c r="C13" t="s">
        <v>141</v>
      </c>
      <c r="E13">
        <v>1</v>
      </c>
      <c r="F13" t="s">
        <v>13</v>
      </c>
      <c r="I13" t="s">
        <v>15</v>
      </c>
      <c r="AO13">
        <f>sum(j13:an13)</f>
        <v>0</v>
      </c>
    </row>
    <row r="14" spans="1:41">
      <c r="A14" t="s">
        <v>10</v>
      </c>
      <c r="B14" t="s">
        <v>140</v>
      </c>
      <c r="C14" t="s">
        <v>154</v>
      </c>
      <c r="E14">
        <v>1</v>
      </c>
      <c r="F14" t="s">
        <v>13</v>
      </c>
      <c r="I14" t="s">
        <v>15</v>
      </c>
      <c r="AO14">
        <f>sum(j14:an14)</f>
        <v>0</v>
      </c>
    </row>
    <row r="15" spans="1:41">
      <c r="A15" t="s">
        <v>10</v>
      </c>
      <c r="B15" t="s">
        <v>161</v>
      </c>
      <c r="C15" t="s">
        <v>162</v>
      </c>
      <c r="E15">
        <v>1</v>
      </c>
      <c r="F15" t="s">
        <v>13</v>
      </c>
      <c r="I15" t="s">
        <v>15</v>
      </c>
      <c r="AO15">
        <f>sum(j15:an15)</f>
        <v>0</v>
      </c>
    </row>
    <row r="16" spans="1:41">
      <c r="A16" t="s">
        <v>10</v>
      </c>
      <c r="B16" t="s">
        <v>175</v>
      </c>
      <c r="C16" t="s">
        <v>176</v>
      </c>
      <c r="E16">
        <v>1</v>
      </c>
      <c r="I16" t="s">
        <v>15</v>
      </c>
      <c r="AO16">
        <f>sum(j16:an16)</f>
        <v>0</v>
      </c>
    </row>
    <row r="17" spans="1:41">
      <c r="A17" t="s">
        <v>10</v>
      </c>
      <c r="B17" t="s">
        <v>179</v>
      </c>
      <c r="C17" t="s">
        <v>162</v>
      </c>
      <c r="E17">
        <v>1</v>
      </c>
      <c r="I17" t="s">
        <v>15</v>
      </c>
      <c r="AO17">
        <f>sum(j17:an17)</f>
        <v>0</v>
      </c>
    </row>
    <row r="18" spans="1:41">
      <c r="A18" t="s">
        <v>10</v>
      </c>
      <c r="B18" t="s">
        <v>183</v>
      </c>
      <c r="C18" t="s">
        <v>176</v>
      </c>
      <c r="E18">
        <v>1</v>
      </c>
      <c r="I18" t="s">
        <v>15</v>
      </c>
      <c r="AO18">
        <f>sum(j18:an18)</f>
        <v>0</v>
      </c>
    </row>
    <row r="19" spans="1:41">
      <c r="A19" t="s">
        <v>10</v>
      </c>
      <c r="B19" t="s">
        <v>185</v>
      </c>
      <c r="C19" t="s">
        <v>186</v>
      </c>
      <c r="E19">
        <v>1</v>
      </c>
      <c r="I19" t="s">
        <v>15</v>
      </c>
      <c r="AO19">
        <f>sum(j19:an19)</f>
        <v>0</v>
      </c>
    </row>
    <row r="20" spans="1:41">
      <c r="A20" t="s">
        <v>10</v>
      </c>
      <c r="B20" t="s">
        <v>207</v>
      </c>
      <c r="C20" t="s">
        <v>208</v>
      </c>
      <c r="E20">
        <v>1</v>
      </c>
      <c r="I20" t="s">
        <v>15</v>
      </c>
      <c r="AO20">
        <f>sum(j20:an20)</f>
        <v>0</v>
      </c>
    </row>
    <row r="21" spans="1:41">
      <c r="A21" t="s">
        <v>10</v>
      </c>
      <c r="B21" t="s">
        <v>211</v>
      </c>
      <c r="C21" t="s">
        <v>212</v>
      </c>
      <c r="E21">
        <v>1</v>
      </c>
      <c r="I21" t="s">
        <v>15</v>
      </c>
      <c r="AO21">
        <f>sum(j21:an21)</f>
        <v>0</v>
      </c>
    </row>
    <row r="22" spans="1:41">
      <c r="A22" t="s">
        <v>10</v>
      </c>
      <c r="B22" t="s">
        <v>232</v>
      </c>
      <c r="C22" t="s">
        <v>212</v>
      </c>
      <c r="E22">
        <v>1</v>
      </c>
      <c r="F22" t="s">
        <v>13</v>
      </c>
      <c r="I22" t="s">
        <v>15</v>
      </c>
      <c r="AO22">
        <f>sum(j22:an22)</f>
        <v>0</v>
      </c>
    </row>
    <row r="23" spans="1:41">
      <c r="A23" t="s">
        <v>10</v>
      </c>
      <c r="B23" t="s">
        <v>248</v>
      </c>
      <c r="C23" t="s">
        <v>249</v>
      </c>
      <c r="E23">
        <v>1</v>
      </c>
      <c r="F23" t="s">
        <v>13</v>
      </c>
      <c r="I23" t="s">
        <v>15</v>
      </c>
      <c r="AO23">
        <f>sum(j23:an23)</f>
        <v>0</v>
      </c>
    </row>
    <row r="24" spans="1:41">
      <c r="A24" t="s">
        <v>10</v>
      </c>
      <c r="B24" t="s">
        <v>263</v>
      </c>
      <c r="C24" t="s">
        <v>264</v>
      </c>
      <c r="E24">
        <v>1</v>
      </c>
      <c r="F24" t="s">
        <v>13</v>
      </c>
      <c r="I24" t="s">
        <v>15</v>
      </c>
      <c r="AO24">
        <f>sum(j24:an24)</f>
        <v>0</v>
      </c>
    </row>
    <row r="25" spans="1:41">
      <c r="A25" t="s">
        <v>10</v>
      </c>
      <c r="B25" t="s">
        <v>281</v>
      </c>
      <c r="C25" t="s">
        <v>282</v>
      </c>
      <c r="E25">
        <v>1</v>
      </c>
      <c r="F25" t="s">
        <v>13</v>
      </c>
      <c r="I25" t="s">
        <v>15</v>
      </c>
      <c r="AO25">
        <f>sum(j25:an25)</f>
        <v>0</v>
      </c>
    </row>
    <row r="26" spans="1:41">
      <c r="A26" t="s">
        <v>10</v>
      </c>
      <c r="B26" t="s">
        <v>285</v>
      </c>
      <c r="C26" t="s">
        <v>286</v>
      </c>
      <c r="E26">
        <v>1</v>
      </c>
      <c r="F26" t="s">
        <v>13</v>
      </c>
      <c r="I26" t="s">
        <v>15</v>
      </c>
      <c r="AO26">
        <f>sum(j26:an26)</f>
        <v>0</v>
      </c>
    </row>
    <row r="27" spans="1:41">
      <c r="A27" t="s">
        <v>10</v>
      </c>
      <c r="B27" t="s">
        <v>287</v>
      </c>
      <c r="C27" t="s">
        <v>288</v>
      </c>
      <c r="E27">
        <v>1</v>
      </c>
      <c r="F27" t="s">
        <v>13</v>
      </c>
      <c r="I27" t="s">
        <v>15</v>
      </c>
      <c r="AO27">
        <f>sum(j27:an27)</f>
        <v>0</v>
      </c>
    </row>
    <row r="28" spans="1:41">
      <c r="A28" t="s">
        <v>10</v>
      </c>
      <c r="B28" t="s">
        <v>289</v>
      </c>
      <c r="C28" t="s">
        <v>290</v>
      </c>
      <c r="E28">
        <v>1</v>
      </c>
      <c r="F28" t="s">
        <v>13</v>
      </c>
      <c r="I28" t="s">
        <v>15</v>
      </c>
      <c r="AO28">
        <f>sum(j28:an28)</f>
        <v>0</v>
      </c>
    </row>
    <row r="29" spans="1:41">
      <c r="A29" t="s">
        <v>10</v>
      </c>
      <c r="B29" t="s">
        <v>297</v>
      </c>
      <c r="C29" t="s">
        <v>298</v>
      </c>
      <c r="E29">
        <v>1</v>
      </c>
      <c r="F29" t="s">
        <v>13</v>
      </c>
      <c r="I29" t="s">
        <v>15</v>
      </c>
      <c r="AO29">
        <f>sum(j29:an29)</f>
        <v>0</v>
      </c>
    </row>
    <row r="30" spans="1:41">
      <c r="A30" t="s">
        <v>10</v>
      </c>
      <c r="B30" t="s">
        <v>302</v>
      </c>
      <c r="C30" t="s">
        <v>290</v>
      </c>
      <c r="E30">
        <v>1</v>
      </c>
      <c r="F30" t="s">
        <v>13</v>
      </c>
      <c r="I30" t="s">
        <v>15</v>
      </c>
      <c r="AO30">
        <f>sum(j30:an30)</f>
        <v>0</v>
      </c>
    </row>
    <row r="31" spans="1:41">
      <c r="A31" t="s">
        <v>10</v>
      </c>
      <c r="B31" t="s">
        <v>308</v>
      </c>
      <c r="C31" t="s">
        <v>298</v>
      </c>
      <c r="E31">
        <v>1</v>
      </c>
      <c r="F31" t="s">
        <v>13</v>
      </c>
      <c r="I31" t="s">
        <v>15</v>
      </c>
      <c r="AO31">
        <f>sum(j31:an31)</f>
        <v>0</v>
      </c>
    </row>
    <row r="32" spans="1:41">
      <c r="A32" t="s">
        <v>10</v>
      </c>
      <c r="B32" t="s">
        <v>311</v>
      </c>
      <c r="C32" t="s">
        <v>312</v>
      </c>
      <c r="E32">
        <v>1</v>
      </c>
      <c r="F32" t="s">
        <v>13</v>
      </c>
      <c r="I32" t="s">
        <v>15</v>
      </c>
      <c r="AO32">
        <f>sum(j32:an32)</f>
        <v>0</v>
      </c>
    </row>
    <row r="33" spans="1:41">
      <c r="A33" t="s">
        <v>10</v>
      </c>
      <c r="B33" t="s">
        <v>313</v>
      </c>
      <c r="C33" t="s">
        <v>314</v>
      </c>
      <c r="E33">
        <v>1</v>
      </c>
      <c r="F33" t="s">
        <v>13</v>
      </c>
      <c r="I33" t="s">
        <v>15</v>
      </c>
      <c r="AO33">
        <f>sum(j33:an33)</f>
        <v>0</v>
      </c>
    </row>
    <row r="34" spans="1:41">
      <c r="A34" t="s">
        <v>10</v>
      </c>
      <c r="B34" t="s">
        <v>315</v>
      </c>
      <c r="C34" t="s">
        <v>314</v>
      </c>
      <c r="E34">
        <v>1</v>
      </c>
      <c r="F34" t="s">
        <v>13</v>
      </c>
      <c r="I34" t="s">
        <v>15</v>
      </c>
      <c r="AO34">
        <f>sum(j34:an34)</f>
        <v>0</v>
      </c>
    </row>
    <row r="35" spans="1:41">
      <c r="A35" t="s">
        <v>10</v>
      </c>
      <c r="B35" t="s">
        <v>316</v>
      </c>
      <c r="C35" t="s">
        <v>317</v>
      </c>
      <c r="E35">
        <v>1</v>
      </c>
      <c r="F35" t="s">
        <v>13</v>
      </c>
      <c r="I35" t="s">
        <v>15</v>
      </c>
      <c r="AO35">
        <f>sum(j35:an35)</f>
        <v>0</v>
      </c>
    </row>
    <row r="36" spans="1:41">
      <c r="A36" t="s">
        <v>10</v>
      </c>
      <c r="B36" t="s">
        <v>332</v>
      </c>
      <c r="C36" t="s">
        <v>317</v>
      </c>
      <c r="E36">
        <v>1</v>
      </c>
      <c r="F36" t="s">
        <v>13</v>
      </c>
      <c r="I36" t="s">
        <v>15</v>
      </c>
      <c r="AO36">
        <f>sum(j36:an36)</f>
        <v>0</v>
      </c>
    </row>
    <row r="37" spans="1:41">
      <c r="A37" t="s">
        <v>10</v>
      </c>
      <c r="B37" t="s">
        <v>339</v>
      </c>
      <c r="C37" t="s">
        <v>340</v>
      </c>
      <c r="E37">
        <v>1</v>
      </c>
      <c r="F37" t="s">
        <v>13</v>
      </c>
      <c r="I37" t="s">
        <v>15</v>
      </c>
      <c r="AO37">
        <f>sum(j37:an37)</f>
        <v>0</v>
      </c>
    </row>
    <row r="38" spans="1:41">
      <c r="A38" t="s">
        <v>10</v>
      </c>
      <c r="B38" t="s">
        <v>361</v>
      </c>
      <c r="C38" t="s">
        <v>362</v>
      </c>
      <c r="E38">
        <v>1</v>
      </c>
      <c r="F38" t="s">
        <v>13</v>
      </c>
      <c r="I38" t="s">
        <v>15</v>
      </c>
      <c r="AO38">
        <f>sum(j38:an38)</f>
        <v>0</v>
      </c>
    </row>
    <row r="39" spans="1:41">
      <c r="A39" t="s">
        <v>10</v>
      </c>
      <c r="B39" t="s">
        <v>395</v>
      </c>
      <c r="C39" t="s">
        <v>340</v>
      </c>
      <c r="E39">
        <v>1</v>
      </c>
      <c r="F39" t="s">
        <v>13</v>
      </c>
      <c r="I39" t="s">
        <v>15</v>
      </c>
      <c r="AO39">
        <f>sum(j39:an39)</f>
        <v>0</v>
      </c>
    </row>
    <row r="40" spans="1:41">
      <c r="A40" t="s">
        <v>10</v>
      </c>
      <c r="B40" t="s">
        <v>398</v>
      </c>
      <c r="C40" t="s">
        <v>362</v>
      </c>
      <c r="E40">
        <v>1</v>
      </c>
      <c r="F40" t="s">
        <v>13</v>
      </c>
      <c r="I40" t="s">
        <v>15</v>
      </c>
      <c r="AO40">
        <f>sum(j40:an40)</f>
        <v>0</v>
      </c>
    </row>
    <row r="41" spans="1:41">
      <c r="A41" t="s">
        <v>10</v>
      </c>
      <c r="B41" t="s">
        <v>407</v>
      </c>
      <c r="C41" t="s">
        <v>408</v>
      </c>
      <c r="E41">
        <v>1</v>
      </c>
      <c r="F41" t="s">
        <v>13</v>
      </c>
      <c r="I41" t="s">
        <v>15</v>
      </c>
      <c r="AO41">
        <f>sum(j41:an41)</f>
        <v>0</v>
      </c>
    </row>
    <row r="42" spans="1:41">
      <c r="A42" t="s">
        <v>10</v>
      </c>
      <c r="B42" t="s">
        <v>412</v>
      </c>
      <c r="C42" t="s">
        <v>413</v>
      </c>
      <c r="E42">
        <v>1</v>
      </c>
      <c r="F42" t="s">
        <v>13</v>
      </c>
      <c r="I42" t="s">
        <v>15</v>
      </c>
      <c r="AO42">
        <f>sum(j42:an42)</f>
        <v>0</v>
      </c>
    </row>
    <row r="43" spans="1:41">
      <c r="A43" t="s">
        <v>10</v>
      </c>
      <c r="B43" t="s">
        <v>420</v>
      </c>
      <c r="C43" t="s">
        <v>421</v>
      </c>
      <c r="E43">
        <v>1</v>
      </c>
      <c r="F43" t="s">
        <v>13</v>
      </c>
      <c r="I43" t="s">
        <v>15</v>
      </c>
      <c r="AO43">
        <f>sum(j43:an43)</f>
        <v>0</v>
      </c>
    </row>
    <row r="44" spans="1:41">
      <c r="A44" t="s">
        <v>10</v>
      </c>
      <c r="B44" t="s">
        <v>428</v>
      </c>
      <c r="C44" t="s">
        <v>429</v>
      </c>
      <c r="E44">
        <v>1</v>
      </c>
      <c r="F44" t="s">
        <v>13</v>
      </c>
      <c r="I44" t="s">
        <v>15</v>
      </c>
      <c r="AO44">
        <f>sum(j44:an44)</f>
        <v>0</v>
      </c>
    </row>
    <row r="45" spans="1:41">
      <c r="A45" t="s">
        <v>10</v>
      </c>
      <c r="B45" t="s">
        <v>434</v>
      </c>
      <c r="C45" t="s">
        <v>435</v>
      </c>
      <c r="E45">
        <v>1</v>
      </c>
      <c r="F45" t="s">
        <v>13</v>
      </c>
      <c r="I45" t="s">
        <v>15</v>
      </c>
      <c r="AO45">
        <f>sum(j45:an45)</f>
        <v>0</v>
      </c>
    </row>
    <row r="46" spans="1:41">
      <c r="A46" t="s">
        <v>10</v>
      </c>
      <c r="B46" t="s">
        <v>440</v>
      </c>
      <c r="C46" t="s">
        <v>441</v>
      </c>
      <c r="E46">
        <v>1</v>
      </c>
      <c r="F46" t="s">
        <v>13</v>
      </c>
      <c r="I46" t="s">
        <v>15</v>
      </c>
      <c r="AO46">
        <f>sum(j46:an46)</f>
        <v>0</v>
      </c>
    </row>
    <row r="47" spans="1:41">
      <c r="A47" t="s">
        <v>10</v>
      </c>
      <c r="B47" t="s">
        <v>446</v>
      </c>
      <c r="C47" t="s">
        <v>447</v>
      </c>
      <c r="E47">
        <v>1</v>
      </c>
      <c r="F47" t="s">
        <v>13</v>
      </c>
      <c r="I47" t="s">
        <v>15</v>
      </c>
      <c r="AO47">
        <f>sum(j47:an47)</f>
        <v>0</v>
      </c>
    </row>
    <row r="48" spans="1:41">
      <c r="A48" t="s">
        <v>10</v>
      </c>
      <c r="B48" t="s">
        <v>452</v>
      </c>
      <c r="C48" t="s">
        <v>413</v>
      </c>
      <c r="E48">
        <v>1</v>
      </c>
      <c r="F48" t="s">
        <v>13</v>
      </c>
      <c r="I48" t="s">
        <v>15</v>
      </c>
      <c r="AO48">
        <f>sum(j48:an48)</f>
        <v>0</v>
      </c>
    </row>
    <row r="49" spans="1:41">
      <c r="A49" t="s">
        <v>10</v>
      </c>
      <c r="B49" t="s">
        <v>461</v>
      </c>
      <c r="C49" t="s">
        <v>421</v>
      </c>
      <c r="E49">
        <v>1</v>
      </c>
      <c r="F49" t="s">
        <v>13</v>
      </c>
      <c r="I49" t="s">
        <v>15</v>
      </c>
      <c r="AO49">
        <f>sum(j49:an49)</f>
        <v>0</v>
      </c>
    </row>
    <row r="50" spans="1:41">
      <c r="A50" t="s">
        <v>10</v>
      </c>
      <c r="B50" t="s">
        <v>468</v>
      </c>
      <c r="C50" t="s">
        <v>429</v>
      </c>
      <c r="E50">
        <v>1</v>
      </c>
      <c r="F50" t="s">
        <v>13</v>
      </c>
      <c r="I50" t="s">
        <v>15</v>
      </c>
      <c r="AO50">
        <f>sum(j50:an50)</f>
        <v>0</v>
      </c>
    </row>
    <row r="51" spans="1:41">
      <c r="A51" t="s">
        <v>10</v>
      </c>
      <c r="B51" t="s">
        <v>473</v>
      </c>
      <c r="C51" t="s">
        <v>435</v>
      </c>
      <c r="E51">
        <v>1</v>
      </c>
      <c r="F51" t="s">
        <v>13</v>
      </c>
      <c r="I51" t="s">
        <v>15</v>
      </c>
      <c r="AO51">
        <f>sum(j51:an51)</f>
        <v>0</v>
      </c>
    </row>
    <row r="52" spans="1:41">
      <c r="A52" t="s">
        <v>10</v>
      </c>
      <c r="B52" t="s">
        <v>478</v>
      </c>
      <c r="C52" t="s">
        <v>441</v>
      </c>
      <c r="E52">
        <v>1</v>
      </c>
      <c r="F52" t="s">
        <v>13</v>
      </c>
      <c r="I52" t="s">
        <v>15</v>
      </c>
      <c r="AO52">
        <f>sum(j52:an52)</f>
        <v>0</v>
      </c>
    </row>
    <row r="53" spans="1:41">
      <c r="A53" t="s">
        <v>10</v>
      </c>
      <c r="B53" t="s">
        <v>482</v>
      </c>
      <c r="C53" t="s">
        <v>447</v>
      </c>
      <c r="E53">
        <v>1</v>
      </c>
      <c r="F53" t="s">
        <v>13</v>
      </c>
      <c r="I53" t="s">
        <v>15</v>
      </c>
      <c r="AO53">
        <f>sum(j53:an53)</f>
        <v>0</v>
      </c>
    </row>
    <row r="54" spans="1:41">
      <c r="A54" t="s">
        <v>10</v>
      </c>
      <c r="B54" t="s">
        <v>486</v>
      </c>
      <c r="C54" t="s">
        <v>487</v>
      </c>
      <c r="E54">
        <v>1</v>
      </c>
      <c r="F54" t="s">
        <v>13</v>
      </c>
      <c r="I54" t="s">
        <v>15</v>
      </c>
      <c r="AO54">
        <f>sum(j54:an54)</f>
        <v>0</v>
      </c>
    </row>
    <row r="55" spans="1:41">
      <c r="A55" t="s">
        <v>10</v>
      </c>
      <c r="B55" t="s">
        <v>502</v>
      </c>
      <c r="C55" t="s">
        <v>503</v>
      </c>
      <c r="E55">
        <v>1</v>
      </c>
      <c r="F55" t="s">
        <v>13</v>
      </c>
      <c r="I55" t="s">
        <v>15</v>
      </c>
      <c r="AO55">
        <f>sum(j55:an55)</f>
        <v>0</v>
      </c>
    </row>
    <row r="56" spans="1:41">
      <c r="A56" t="s">
        <v>10</v>
      </c>
      <c r="B56" t="s">
        <v>532</v>
      </c>
      <c r="C56" t="s">
        <v>533</v>
      </c>
      <c r="E56">
        <v>1</v>
      </c>
      <c r="F56" t="s">
        <v>13</v>
      </c>
      <c r="I56" t="s">
        <v>15</v>
      </c>
      <c r="AO56">
        <f>sum(j56:an56)</f>
        <v>0</v>
      </c>
    </row>
    <row r="57" spans="1:41">
      <c r="A57" t="s">
        <v>10</v>
      </c>
      <c r="B57" t="s">
        <v>542</v>
      </c>
      <c r="C57" t="s">
        <v>543</v>
      </c>
      <c r="E57">
        <v>1</v>
      </c>
      <c r="F57" t="s">
        <v>13</v>
      </c>
      <c r="I57" t="s">
        <v>15</v>
      </c>
      <c r="AO57">
        <f>sum(j57:an57)</f>
        <v>0</v>
      </c>
    </row>
    <row r="58" spans="1:41">
      <c r="A58" t="s">
        <v>10</v>
      </c>
      <c r="B58" t="s">
        <v>544</v>
      </c>
      <c r="C58" t="s">
        <v>545</v>
      </c>
      <c r="E58">
        <v>1</v>
      </c>
      <c r="F58" t="s">
        <v>13</v>
      </c>
      <c r="I58" t="s">
        <v>15</v>
      </c>
      <c r="AO58">
        <f>sum(j58:an58)</f>
        <v>0</v>
      </c>
    </row>
    <row r="59" spans="1:41">
      <c r="A59" t="s">
        <v>10</v>
      </c>
      <c r="B59" t="s">
        <v>554</v>
      </c>
      <c r="C59" t="s">
        <v>555</v>
      </c>
      <c r="E59">
        <v>1</v>
      </c>
      <c r="F59" t="s">
        <v>13</v>
      </c>
      <c r="I59" t="s">
        <v>15</v>
      </c>
      <c r="AO59">
        <f>sum(j59:an59)</f>
        <v>0</v>
      </c>
    </row>
    <row r="60" spans="1:41">
      <c r="A60" t="s">
        <v>10</v>
      </c>
      <c r="B60" t="s">
        <v>562</v>
      </c>
      <c r="C60" t="s">
        <v>563</v>
      </c>
      <c r="E60">
        <v>1</v>
      </c>
      <c r="F60" t="s">
        <v>13</v>
      </c>
      <c r="I60" t="s">
        <v>15</v>
      </c>
      <c r="AO60">
        <f>sum(j60:an60)</f>
        <v>0</v>
      </c>
    </row>
    <row r="61" spans="1:41">
      <c r="A61" t="s">
        <v>10</v>
      </c>
      <c r="B61" t="s">
        <v>576</v>
      </c>
      <c r="C61" t="s">
        <v>563</v>
      </c>
      <c r="E61">
        <v>1</v>
      </c>
      <c r="F61" t="s">
        <v>13</v>
      </c>
      <c r="I61" t="s">
        <v>15</v>
      </c>
      <c r="AO61">
        <f>sum(j61:an61)</f>
        <v>0</v>
      </c>
    </row>
    <row r="62" spans="1:41">
      <c r="A62" t="s">
        <v>10</v>
      </c>
      <c r="B62" t="s">
        <v>586</v>
      </c>
      <c r="C62" t="s">
        <v>587</v>
      </c>
      <c r="E62">
        <v>1</v>
      </c>
      <c r="F62" t="s">
        <v>13</v>
      </c>
      <c r="I62" t="s">
        <v>15</v>
      </c>
      <c r="AO62">
        <f>sum(j62:an62)</f>
        <v>0</v>
      </c>
    </row>
    <row r="63" spans="1:41">
      <c r="A63" t="s">
        <v>10</v>
      </c>
      <c r="B63" t="s">
        <v>600</v>
      </c>
      <c r="C63" t="s">
        <v>601</v>
      </c>
      <c r="E63">
        <v>1</v>
      </c>
      <c r="F63" t="s">
        <v>13</v>
      </c>
      <c r="I63" t="s">
        <v>15</v>
      </c>
      <c r="AO63">
        <f>sum(j63:an63)</f>
        <v>0</v>
      </c>
    </row>
    <row r="64" spans="1:41">
      <c r="A64" t="s">
        <v>10</v>
      </c>
      <c r="B64" t="s">
        <v>617</v>
      </c>
      <c r="C64" t="s">
        <v>601</v>
      </c>
      <c r="E64">
        <v>1</v>
      </c>
      <c r="F64" t="s">
        <v>13</v>
      </c>
      <c r="I64" t="s">
        <v>15</v>
      </c>
      <c r="AO64">
        <f>sum(j64:an64)</f>
        <v>0</v>
      </c>
    </row>
    <row r="65" spans="1:41">
      <c r="A65" t="s">
        <v>10</v>
      </c>
      <c r="B65" t="s">
        <v>628</v>
      </c>
      <c r="C65" t="s">
        <v>629</v>
      </c>
      <c r="E65">
        <v>1</v>
      </c>
      <c r="F65" t="s">
        <v>13</v>
      </c>
      <c r="I65" t="s">
        <v>15</v>
      </c>
      <c r="AO65">
        <f>sum(j65:an65)</f>
        <v>0</v>
      </c>
    </row>
    <row r="66" spans="1:41">
      <c r="A66" t="s">
        <v>10</v>
      </c>
      <c r="B66" t="s">
        <v>635</v>
      </c>
      <c r="C66" t="s">
        <v>636</v>
      </c>
      <c r="E66">
        <v>1</v>
      </c>
      <c r="F66" t="s">
        <v>13</v>
      </c>
      <c r="I66" t="s">
        <v>15</v>
      </c>
      <c r="AO66">
        <f>sum(j66:an66)</f>
        <v>0</v>
      </c>
    </row>
    <row r="67" spans="1:41">
      <c r="A67" t="s">
        <v>10</v>
      </c>
      <c r="B67" t="s">
        <v>617</v>
      </c>
      <c r="C67" t="s">
        <v>601</v>
      </c>
      <c r="E67">
        <v>1</v>
      </c>
      <c r="F67" t="s">
        <v>13</v>
      </c>
      <c r="I67" t="s">
        <v>15</v>
      </c>
      <c r="AO67">
        <f>sum(j67:an67)</f>
        <v>0</v>
      </c>
    </row>
    <row r="68" spans="1:41">
      <c r="A68" t="s">
        <v>10</v>
      </c>
      <c r="B68" t="s">
        <v>600</v>
      </c>
      <c r="C68" t="s">
        <v>601</v>
      </c>
      <c r="E68">
        <v>1</v>
      </c>
      <c r="F68" t="s">
        <v>13</v>
      </c>
      <c r="I68" t="s">
        <v>15</v>
      </c>
      <c r="AO68">
        <f>sum(j68:an68)</f>
        <v>0</v>
      </c>
    </row>
    <row r="69" spans="1:41">
      <c r="A69" t="s">
        <v>10</v>
      </c>
      <c r="B69" t="s">
        <v>659</v>
      </c>
      <c r="C69" t="s">
        <v>660</v>
      </c>
      <c r="E69">
        <v>1</v>
      </c>
      <c r="F69" t="s">
        <v>13</v>
      </c>
      <c r="I69" t="s">
        <v>15</v>
      </c>
      <c r="AO69">
        <f>sum(j69:an69)</f>
        <v>0</v>
      </c>
    </row>
    <row r="70" spans="1:41">
      <c r="A70" t="s">
        <v>10</v>
      </c>
      <c r="B70" t="s">
        <v>670</v>
      </c>
      <c r="C70" t="s">
        <v>660</v>
      </c>
      <c r="E70">
        <v>1</v>
      </c>
      <c r="F70" t="s">
        <v>13</v>
      </c>
      <c r="I70" t="s">
        <v>15</v>
      </c>
      <c r="AO70">
        <f>sum(j70:an70)</f>
        <v>0</v>
      </c>
    </row>
    <row r="71" spans="1:41">
      <c r="A71" t="s">
        <v>10</v>
      </c>
      <c r="B71" t="s">
        <v>677</v>
      </c>
      <c r="C71" t="s">
        <v>679</v>
      </c>
      <c r="E71">
        <v>1</v>
      </c>
      <c r="F71" t="s">
        <v>13</v>
      </c>
      <c r="I71" t="s">
        <v>15</v>
      </c>
      <c r="AO71">
        <f>sum(j71:an71)</f>
        <v>0</v>
      </c>
    </row>
    <row r="72" spans="1:41">
      <c r="A72" t="s">
        <v>10</v>
      </c>
      <c r="B72" t="s">
        <v>681</v>
      </c>
      <c r="C72" t="s">
        <v>682</v>
      </c>
      <c r="E72">
        <v>1</v>
      </c>
      <c r="F72" t="s">
        <v>13</v>
      </c>
      <c r="I72" t="s">
        <v>15</v>
      </c>
      <c r="AO72">
        <f>sum(j72:an72)</f>
        <v>0</v>
      </c>
    </row>
    <row r="73" spans="1:41">
      <c r="A73" t="s">
        <v>10</v>
      </c>
      <c r="B73" t="s">
        <v>689</v>
      </c>
      <c r="C73" t="s">
        <v>690</v>
      </c>
      <c r="E73">
        <v>1</v>
      </c>
      <c r="F73" t="s">
        <v>13</v>
      </c>
      <c r="I73" t="s">
        <v>15</v>
      </c>
      <c r="AO73">
        <f>sum(j73:an73)</f>
        <v>0</v>
      </c>
    </row>
    <row r="74" spans="1:41">
      <c r="A74" t="s">
        <v>10</v>
      </c>
      <c r="B74" t="s">
        <v>695</v>
      </c>
      <c r="C74" t="s">
        <v>696</v>
      </c>
      <c r="E74">
        <v>1</v>
      </c>
      <c r="F74" t="s">
        <v>13</v>
      </c>
      <c r="I74" t="s">
        <v>15</v>
      </c>
      <c r="AO74">
        <f>sum(j74:an74)</f>
        <v>0</v>
      </c>
    </row>
    <row r="75" spans="1:41">
      <c r="A75" t="s">
        <v>10</v>
      </c>
      <c r="B75" t="s">
        <v>707</v>
      </c>
      <c r="C75" t="s">
        <v>708</v>
      </c>
      <c r="E75">
        <v>1</v>
      </c>
      <c r="F75" t="s">
        <v>13</v>
      </c>
      <c r="I75" t="s">
        <v>15</v>
      </c>
      <c r="AO75">
        <f>sum(j75:an75)</f>
        <v>0</v>
      </c>
    </row>
    <row r="76" spans="1:41">
      <c r="A76" t="s">
        <v>10</v>
      </c>
      <c r="B76" t="s">
        <v>717</v>
      </c>
      <c r="C76" t="s">
        <v>716</v>
      </c>
      <c r="E76">
        <v>1</v>
      </c>
      <c r="F76" t="s">
        <v>13</v>
      </c>
      <c r="I76" t="s">
        <v>15</v>
      </c>
      <c r="AO76">
        <f>sum(j76:an76)</f>
        <v>0</v>
      </c>
    </row>
    <row r="77" spans="1:41">
      <c r="A77" t="s">
        <v>10</v>
      </c>
      <c r="B77" t="s">
        <v>727</v>
      </c>
      <c r="C77" t="s">
        <v>726</v>
      </c>
      <c r="E77">
        <v>2</v>
      </c>
      <c r="F77" t="s">
        <v>13</v>
      </c>
      <c r="I77" t="s">
        <v>15</v>
      </c>
      <c r="AO77">
        <f>sum(j77:an77)</f>
        <v>0</v>
      </c>
    </row>
    <row r="78" spans="1:41">
      <c r="A78" t="s">
        <v>10</v>
      </c>
      <c r="B78" t="s">
        <v>747</v>
      </c>
      <c r="C78" t="s">
        <v>748</v>
      </c>
      <c r="E78">
        <v>1</v>
      </c>
      <c r="F78" t="s">
        <v>13</v>
      </c>
      <c r="I78" t="s">
        <v>15</v>
      </c>
      <c r="AO78">
        <f>sum(j78:an78)</f>
        <v>0</v>
      </c>
    </row>
    <row r="79" spans="1:41">
      <c r="A79" t="s">
        <v>10</v>
      </c>
      <c r="B79" t="s">
        <v>542</v>
      </c>
      <c r="C79" t="s">
        <v>762</v>
      </c>
      <c r="E79">
        <v>1</v>
      </c>
      <c r="F79" t="s">
        <v>13</v>
      </c>
      <c r="I79" t="s">
        <v>15</v>
      </c>
      <c r="AO79">
        <f>sum(j79:an79)</f>
        <v>0</v>
      </c>
    </row>
    <row r="80" spans="1:41">
      <c r="A80" t="s">
        <v>10</v>
      </c>
      <c r="B80" t="s">
        <v>768</v>
      </c>
      <c r="C80" t="s">
        <v>769</v>
      </c>
      <c r="E80">
        <v>1</v>
      </c>
      <c r="F80" t="s">
        <v>13</v>
      </c>
      <c r="I80" t="s">
        <v>15</v>
      </c>
      <c r="AO80">
        <f>sum(j80:an80)</f>
        <v>0</v>
      </c>
    </row>
    <row r="81" spans="1:41">
      <c r="A81" t="s">
        <v>10</v>
      </c>
      <c r="B81" t="s">
        <v>778</v>
      </c>
      <c r="C81" t="s">
        <v>779</v>
      </c>
      <c r="E81">
        <v>1</v>
      </c>
      <c r="F81" t="s">
        <v>13</v>
      </c>
      <c r="I81" t="s">
        <v>15</v>
      </c>
      <c r="AO81">
        <f>sum(j81:an81)</f>
        <v>0</v>
      </c>
    </row>
    <row r="82" spans="1:41">
      <c r="A82" t="s">
        <v>10</v>
      </c>
      <c r="B82" t="s">
        <v>784</v>
      </c>
      <c r="C82" t="s">
        <v>785</v>
      </c>
      <c r="E82">
        <v>1</v>
      </c>
      <c r="F82" t="s">
        <v>13</v>
      </c>
      <c r="I82" t="s">
        <v>15</v>
      </c>
      <c r="AO82">
        <f>sum(j82:an82)</f>
        <v>0</v>
      </c>
    </row>
    <row r="83" spans="1:41">
      <c r="A83" t="s">
        <v>10</v>
      </c>
      <c r="B83" t="s">
        <v>790</v>
      </c>
      <c r="C83" t="s">
        <v>791</v>
      </c>
      <c r="E83">
        <v>1</v>
      </c>
      <c r="F83" t="s">
        <v>13</v>
      </c>
      <c r="I83" t="s">
        <v>15</v>
      </c>
      <c r="AO83">
        <f>sum(j83:an83)</f>
        <v>0</v>
      </c>
    </row>
    <row r="84" spans="1:41">
      <c r="A84" t="s">
        <v>10</v>
      </c>
      <c r="B84" t="s">
        <v>797</v>
      </c>
      <c r="C84" t="s">
        <v>796</v>
      </c>
      <c r="E84">
        <v>1</v>
      </c>
      <c r="F84" t="s">
        <v>13</v>
      </c>
      <c r="I84" t="s">
        <v>15</v>
      </c>
      <c r="AO84">
        <f>sum(j84:an84)</f>
        <v>0</v>
      </c>
    </row>
    <row r="85" spans="1:41">
      <c r="A85" t="s">
        <v>10</v>
      </c>
      <c r="B85" t="s">
        <v>800</v>
      </c>
      <c r="C85" t="s">
        <v>796</v>
      </c>
      <c r="E85">
        <v>1</v>
      </c>
      <c r="F85" t="s">
        <v>13</v>
      </c>
      <c r="I85" t="s">
        <v>15</v>
      </c>
      <c r="AO85">
        <f>sum(j85:an85)</f>
        <v>0</v>
      </c>
    </row>
    <row r="86" spans="1:41">
      <c r="A86" t="s">
        <v>10</v>
      </c>
      <c r="B86" t="s">
        <v>802</v>
      </c>
      <c r="C86" t="s">
        <v>803</v>
      </c>
      <c r="E86" t="s">
        <v>804</v>
      </c>
      <c r="F86" t="s">
        <v>13</v>
      </c>
      <c r="I86" t="s">
        <v>15</v>
      </c>
      <c r="AO86">
        <f>sum(j86:an86)</f>
        <v>0</v>
      </c>
    </row>
    <row r="87" spans="1:41">
      <c r="A87" t="s">
        <v>10</v>
      </c>
      <c r="B87" t="s">
        <v>802</v>
      </c>
      <c r="C87" t="s">
        <v>811</v>
      </c>
      <c r="E87">
        <v>0.25</v>
      </c>
      <c r="F87" t="s">
        <v>13</v>
      </c>
      <c r="I87" t="s">
        <v>15</v>
      </c>
      <c r="AO87">
        <f>sum(j87:an87)</f>
        <v>0</v>
      </c>
    </row>
    <row r="88" spans="1:41">
      <c r="A88" t="s">
        <v>10</v>
      </c>
      <c r="B88" t="s">
        <v>814</v>
      </c>
      <c r="C88" t="s">
        <v>815</v>
      </c>
      <c r="E88">
        <v>0.25</v>
      </c>
      <c r="F88" t="s">
        <v>13</v>
      </c>
      <c r="I88" t="s">
        <v>15</v>
      </c>
      <c r="AO88">
        <f>sum(j88:an88)</f>
        <v>0</v>
      </c>
    </row>
    <row r="89" spans="1:41">
      <c r="A89" t="s">
        <v>10</v>
      </c>
      <c r="B89" t="s">
        <v>823</v>
      </c>
      <c r="C89" t="s">
        <v>815</v>
      </c>
      <c r="E89">
        <v>0.003</v>
      </c>
      <c r="F89" t="s">
        <v>13</v>
      </c>
      <c r="I89" t="s">
        <v>15</v>
      </c>
      <c r="AO89">
        <f>sum(j89:an89)</f>
        <v>0</v>
      </c>
    </row>
    <row r="90" spans="1:41">
      <c r="A90" t="s">
        <v>10</v>
      </c>
      <c r="B90" t="s">
        <v>825</v>
      </c>
      <c r="C90" t="s">
        <v>815</v>
      </c>
      <c r="E90">
        <v>0.003</v>
      </c>
      <c r="F90" t="s">
        <v>13</v>
      </c>
      <c r="I90" t="s">
        <v>15</v>
      </c>
      <c r="AO90">
        <f>sum(j90:an90)</f>
        <v>0</v>
      </c>
    </row>
    <row r="91" spans="1:41">
      <c r="A91" t="s">
        <v>10</v>
      </c>
      <c r="B91" t="s">
        <v>827</v>
      </c>
      <c r="C91" t="s">
        <v>815</v>
      </c>
      <c r="E91">
        <v>0.003</v>
      </c>
      <c r="F91" t="s">
        <v>13</v>
      </c>
      <c r="I91" t="s">
        <v>15</v>
      </c>
      <c r="AO91">
        <f>sum(j91:an91)</f>
        <v>0</v>
      </c>
    </row>
    <row r="92" spans="1:41">
      <c r="A92" t="s">
        <v>10</v>
      </c>
      <c r="B92" t="s">
        <v>830</v>
      </c>
      <c r="C92" t="s">
        <v>815</v>
      </c>
      <c r="E92">
        <v>0.003</v>
      </c>
      <c r="F92" t="s">
        <v>13</v>
      </c>
      <c r="I92" t="s">
        <v>15</v>
      </c>
      <c r="AO92">
        <f>sum(j92:an92)</f>
        <v>0</v>
      </c>
    </row>
    <row r="93" spans="1:41">
      <c r="A93" t="s">
        <v>10</v>
      </c>
      <c r="B93" t="s">
        <v>833</v>
      </c>
      <c r="C93" t="s">
        <v>815</v>
      </c>
      <c r="E93">
        <v>0.003</v>
      </c>
      <c r="F93" t="s">
        <v>13</v>
      </c>
      <c r="I93" t="s">
        <v>15</v>
      </c>
      <c r="AO93">
        <f>sum(j93:an93)</f>
        <v>0</v>
      </c>
    </row>
    <row r="94" spans="1:41">
      <c r="A94" t="s">
        <v>10</v>
      </c>
      <c r="B94" t="s">
        <v>835</v>
      </c>
      <c r="C94" t="s">
        <v>815</v>
      </c>
      <c r="E94">
        <v>0.003</v>
      </c>
      <c r="F94" t="s">
        <v>13</v>
      </c>
      <c r="I94" t="s">
        <v>15</v>
      </c>
      <c r="AO94">
        <f>sum(j94:an94)</f>
        <v>0</v>
      </c>
    </row>
    <row r="95" spans="1:41">
      <c r="A95" t="s">
        <v>10</v>
      </c>
      <c r="B95" t="s">
        <v>821</v>
      </c>
      <c r="C95" t="s">
        <v>837</v>
      </c>
      <c r="E95">
        <v>0.003</v>
      </c>
      <c r="F95" t="s">
        <v>13</v>
      </c>
      <c r="I95" t="s">
        <v>15</v>
      </c>
      <c r="AO95">
        <f>sum(j95:an95)</f>
        <v>0</v>
      </c>
    </row>
    <row r="96" spans="1:41">
      <c r="A96" t="s">
        <v>10</v>
      </c>
      <c r="B96" t="s">
        <v>841</v>
      </c>
      <c r="C96" t="s">
        <v>843</v>
      </c>
      <c r="E96" t="s">
        <v>804</v>
      </c>
      <c r="F96" t="s">
        <v>13</v>
      </c>
      <c r="I96" t="s">
        <v>15</v>
      </c>
      <c r="AO96">
        <f>sum(j96:an96)</f>
        <v>0</v>
      </c>
    </row>
    <row r="97" spans="1:41">
      <c r="A97" t="s">
        <v>10</v>
      </c>
      <c r="B97" t="s">
        <v>849</v>
      </c>
      <c r="C97" t="s">
        <v>850</v>
      </c>
      <c r="E97" t="s">
        <v>851</v>
      </c>
      <c r="F97" t="s">
        <v>13</v>
      </c>
      <c r="I97" t="s">
        <v>15</v>
      </c>
      <c r="AO97">
        <f>sum(j97:an97)</f>
        <v>0</v>
      </c>
    </row>
    <row r="98" spans="1:41">
      <c r="A98" t="s">
        <v>10</v>
      </c>
      <c r="B98" t="s">
        <v>849</v>
      </c>
      <c r="C98" t="s">
        <v>850</v>
      </c>
      <c r="E98" t="s">
        <v>851</v>
      </c>
      <c r="F98" t="s">
        <v>13</v>
      </c>
      <c r="I98" t="s">
        <v>15</v>
      </c>
      <c r="AO98">
        <f>sum(j98:an98)</f>
        <v>0</v>
      </c>
    </row>
    <row r="99" spans="1:41">
      <c r="A99" t="s">
        <v>10</v>
      </c>
      <c r="B99" t="s">
        <v>856</v>
      </c>
      <c r="C99" t="s">
        <v>858</v>
      </c>
      <c r="E99">
        <v>1</v>
      </c>
      <c r="F99" t="s">
        <v>13</v>
      </c>
      <c r="I99" t="s">
        <v>15</v>
      </c>
      <c r="AO99">
        <f>sum(j99:an99)</f>
        <v>0</v>
      </c>
    </row>
    <row r="100" spans="1:41">
      <c r="A100" t="s">
        <v>10</v>
      </c>
      <c r="B100" t="s">
        <v>861</v>
      </c>
      <c r="C100" t="s">
        <v>863</v>
      </c>
      <c r="E100" t="s">
        <v>851</v>
      </c>
      <c r="F100" t="s">
        <v>13</v>
      </c>
      <c r="I100" t="s">
        <v>15</v>
      </c>
      <c r="AO100">
        <f>sum(j100:an100)</f>
        <v>0</v>
      </c>
    </row>
    <row r="101" spans="1:41">
      <c r="A101" t="s">
        <v>10</v>
      </c>
      <c r="B101" t="s">
        <v>876</v>
      </c>
      <c r="C101" t="s">
        <v>863</v>
      </c>
      <c r="E101" t="s">
        <v>851</v>
      </c>
      <c r="F101" t="s">
        <v>13</v>
      </c>
      <c r="I101" t="s">
        <v>15</v>
      </c>
      <c r="AO101">
        <f>sum(j101:an101)</f>
        <v>0</v>
      </c>
    </row>
    <row r="102" spans="1:41">
      <c r="A102" t="s">
        <v>10</v>
      </c>
      <c r="B102" t="s">
        <v>876</v>
      </c>
      <c r="C102" t="s">
        <v>880</v>
      </c>
      <c r="E102" t="s">
        <v>851</v>
      </c>
      <c r="F102" t="s">
        <v>13</v>
      </c>
      <c r="I102" t="s">
        <v>15</v>
      </c>
      <c r="AO102">
        <f>sum(j102:an102)</f>
        <v>0</v>
      </c>
    </row>
    <row r="103" spans="1:41">
      <c r="A103" t="s">
        <v>10</v>
      </c>
      <c r="B103" t="s">
        <v>892</v>
      </c>
      <c r="C103" t="s">
        <v>894</v>
      </c>
      <c r="E103">
        <v>1</v>
      </c>
      <c r="F103" t="s">
        <v>13</v>
      </c>
      <c r="I103" t="s">
        <v>15</v>
      </c>
      <c r="AO103">
        <f>sum(j103:an103)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380"/>
  <sheetViews>
    <sheetView workbookViewId="0"/>
  </sheetViews>
  <sheetFormatPr defaultRowHeight="15"/>
  <sheetData>
    <row r="1" spans="1:41">
      <c r="A1" t="s">
        <v>905</v>
      </c>
    </row>
    <row r="2" spans="1:41">
      <c r="A2" t="s">
        <v>904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 t="s">
        <v>9</v>
      </c>
    </row>
    <row r="4" spans="1:41">
      <c r="I4" t="s">
        <v>14</v>
      </c>
      <c r="AO4">
        <f>sum(j4:an4)</f>
        <v>0</v>
      </c>
    </row>
    <row r="5" spans="1:41">
      <c r="I5" t="s">
        <v>15</v>
      </c>
      <c r="J5">
        <f>sumif(Plan!B:B,"827-050000-201",Plan!j:j)</f>
        <v>0</v>
      </c>
      <c r="K5">
        <f>sumif(Plan!B:B,"827-050000-201",Plan!k:k)</f>
        <v>0</v>
      </c>
      <c r="L5">
        <f>sumif(Plan!B:B,"827-050000-201",Plan!l:l)</f>
        <v>0</v>
      </c>
      <c r="M5">
        <f>sumif(Plan!B:B,"827-050000-201",Plan!m:m)</f>
        <v>0</v>
      </c>
      <c r="N5">
        <f>sumif(Plan!B:B,"827-050000-201",Plan!n:n)</f>
        <v>0</v>
      </c>
      <c r="O5">
        <f>sumif(Plan!B:B,"827-050000-201",Plan!o:o)</f>
        <v>0</v>
      </c>
      <c r="P5">
        <f>sumif(Plan!B:B,"827-050000-201",Plan!p:p)</f>
        <v>0</v>
      </c>
      <c r="Q5">
        <f>sumif(Plan!B:B,"827-050000-201",Plan!q:q)</f>
        <v>0</v>
      </c>
      <c r="R5">
        <f>sumif(Plan!B:B,"827-050000-201",Plan!r:r)</f>
        <v>0</v>
      </c>
      <c r="S5">
        <f>sumif(Plan!B:B,"827-050000-201",Plan!s:s)</f>
        <v>0</v>
      </c>
      <c r="T5">
        <f>sumif(Plan!B:B,"827-050000-201",Plan!t:t)</f>
        <v>0</v>
      </c>
      <c r="U5">
        <f>sumif(Plan!B:B,"827-050000-201",Plan!u:u)</f>
        <v>0</v>
      </c>
      <c r="V5">
        <f>sumif(Plan!B:B,"827-050000-201",Plan!v:v)</f>
        <v>0</v>
      </c>
      <c r="W5">
        <f>sumif(Plan!B:B,"827-050000-201",Plan!w:w)</f>
        <v>0</v>
      </c>
      <c r="X5">
        <f>sumif(Plan!B:B,"827-050000-201",Plan!x:x)</f>
        <v>0</v>
      </c>
      <c r="Y5">
        <f>sumif(Plan!B:B,"827-050000-201",Plan!y:y)</f>
        <v>0</v>
      </c>
      <c r="Z5">
        <f>sumif(Plan!B:B,"827-050000-201",Plan!z:z)</f>
        <v>0</v>
      </c>
      <c r="AA5">
        <f>sumif(Plan!B:B,"827-050000-201",Plan!aa:aa)</f>
        <v>0</v>
      </c>
      <c r="AB5">
        <f>sumif(Plan!B:B,"827-050000-201",Plan!ab:ab)</f>
        <v>0</v>
      </c>
      <c r="AC5">
        <f>sumif(Plan!B:B,"827-050000-201",Plan!ac:ac)</f>
        <v>0</v>
      </c>
      <c r="AD5">
        <f>sumif(Plan!B:B,"827-050000-201",Plan!ad:ad)</f>
        <v>0</v>
      </c>
      <c r="AE5">
        <f>sumif(Plan!B:B,"827-050000-201",Plan!ae:ae)</f>
        <v>0</v>
      </c>
      <c r="AF5">
        <f>sumif(Plan!B:B,"827-050000-201",Plan!af:af)</f>
        <v>0</v>
      </c>
      <c r="AG5">
        <f>sumif(Plan!B:B,"827-050000-201",Plan!ag:ag)</f>
        <v>0</v>
      </c>
      <c r="AH5">
        <f>sumif(Plan!B:B,"827-050000-201",Plan!ah:ah)</f>
        <v>0</v>
      </c>
      <c r="AI5">
        <f>sumif(Plan!B:B,"827-050000-201",Plan!ai:ai)</f>
        <v>0</v>
      </c>
      <c r="AJ5">
        <f>sumif(Plan!B:B,"827-050000-201",Plan!aj:aj)</f>
        <v>0</v>
      </c>
      <c r="AK5">
        <f>sumif(Plan!B:B,"827-050000-201",Plan!ak:ak)</f>
        <v>0</v>
      </c>
      <c r="AL5">
        <f>sumif(Plan!B:B,"827-050000-201",Plan!al:al)</f>
        <v>0</v>
      </c>
      <c r="AM5">
        <f>sumif(Plan!B:B,"827-050000-201",Plan!am:am)</f>
        <v>0</v>
      </c>
      <c r="AN5">
        <f>sumif(Plan!B:B,"827-050000-201",Plan!an:an)</f>
        <v>0</v>
      </c>
      <c r="AO5">
        <f>sumif(Plan!B:B,"827-050000-201",Plan!ao:ao)</f>
        <v>0</v>
      </c>
    </row>
    <row r="6" spans="1:41">
      <c r="A6" t="s">
        <v>17</v>
      </c>
      <c r="B6" t="s">
        <v>18</v>
      </c>
      <c r="C6" t="s">
        <v>19</v>
      </c>
      <c r="E6">
        <v>1</v>
      </c>
      <c r="F6" t="s">
        <v>13</v>
      </c>
      <c r="H6" t="s">
        <v>16</v>
      </c>
      <c r="J6">
        <f>indirect(address(6,9))+indirect(address(4,10))-indirect(address(5,10))</f>
        <v>0</v>
      </c>
      <c r="K6">
        <f>indirect(address(6,10))+indirect(address(4,11))-indirect(address(5,11))</f>
        <v>0</v>
      </c>
      <c r="L6">
        <f>indirect(address(6,11))+indirect(address(4,12))-indirect(address(5,12))</f>
        <v>0</v>
      </c>
      <c r="M6">
        <f>indirect(address(6,12))+indirect(address(4,13))-indirect(address(5,13))</f>
        <v>0</v>
      </c>
      <c r="N6">
        <f>indirect(address(6,13))+indirect(address(4,14))-indirect(address(5,14))</f>
        <v>0</v>
      </c>
      <c r="O6">
        <f>indirect(address(6,14))+indirect(address(4,15))-indirect(address(5,15))</f>
        <v>0</v>
      </c>
      <c r="P6">
        <f>indirect(address(6,15))+indirect(address(4,16))-indirect(address(5,16))</f>
        <v>0</v>
      </c>
      <c r="Q6">
        <f>indirect(address(6,16))+indirect(address(4,17))-indirect(address(5,17))</f>
        <v>0</v>
      </c>
      <c r="R6">
        <f>indirect(address(6,17))+indirect(address(4,18))-indirect(address(5,18))</f>
        <v>0</v>
      </c>
      <c r="S6">
        <f>indirect(address(6,18))+indirect(address(4,19))-indirect(address(5,19))</f>
        <v>0</v>
      </c>
      <c r="T6">
        <f>indirect(address(6,19))+indirect(address(4,20))-indirect(address(5,20))</f>
        <v>0</v>
      </c>
      <c r="U6">
        <f>indirect(address(6,20))+indirect(address(4,21))-indirect(address(5,21))</f>
        <v>0</v>
      </c>
      <c r="V6">
        <f>indirect(address(6,21))+indirect(address(4,22))-indirect(address(5,22))</f>
        <v>0</v>
      </c>
      <c r="W6">
        <f>indirect(address(6,22))+indirect(address(4,23))-indirect(address(5,23))</f>
        <v>0</v>
      </c>
      <c r="X6">
        <f>indirect(address(6,23))+indirect(address(4,24))-indirect(address(5,24))</f>
        <v>0</v>
      </c>
      <c r="Y6">
        <f>indirect(address(6,24))+indirect(address(4,25))-indirect(address(5,25))</f>
        <v>0</v>
      </c>
      <c r="Z6">
        <f>indirect(address(6,25))+indirect(address(4,26))-indirect(address(5,26))</f>
        <v>0</v>
      </c>
      <c r="AA6">
        <f>indirect(address(6,26))+indirect(address(4,27))-indirect(address(5,27))</f>
        <v>0</v>
      </c>
      <c r="AB6">
        <f>indirect(address(6,27))+indirect(address(4,28))-indirect(address(5,28))</f>
        <v>0</v>
      </c>
      <c r="AC6">
        <f>indirect(address(6,28))+indirect(address(4,29))-indirect(address(5,29))</f>
        <v>0</v>
      </c>
      <c r="AD6">
        <f>indirect(address(6,29))+indirect(address(4,30))-indirect(address(5,30))</f>
        <v>0</v>
      </c>
      <c r="AE6">
        <f>indirect(address(6,30))+indirect(address(4,31))-indirect(address(5,31))</f>
        <v>0</v>
      </c>
      <c r="AF6">
        <f>indirect(address(6,31))+indirect(address(4,32))-indirect(address(5,32))</f>
        <v>0</v>
      </c>
      <c r="AG6">
        <f>indirect(address(6,32))+indirect(address(4,33))-indirect(address(5,33))</f>
        <v>0</v>
      </c>
      <c r="AH6">
        <f>indirect(address(6,33))+indirect(address(4,34))-indirect(address(5,34))</f>
        <v>0</v>
      </c>
      <c r="AI6">
        <f>indirect(address(6,34))+indirect(address(4,35))-indirect(address(5,35))</f>
        <v>0</v>
      </c>
      <c r="AJ6">
        <f>indirect(address(6,35))+indirect(address(4,36))-indirect(address(5,36))</f>
        <v>0</v>
      </c>
      <c r="AK6">
        <f>indirect(address(6,36))+indirect(address(4,37))-indirect(address(5,37))</f>
        <v>0</v>
      </c>
      <c r="AL6">
        <f>indirect(address(6,37))+indirect(address(4,38))-indirect(address(5,38))</f>
        <v>0</v>
      </c>
      <c r="AM6">
        <f>indirect(address(6,38))+indirect(address(4,39))-indirect(address(5,39))</f>
        <v>0</v>
      </c>
      <c r="AN6">
        <f>indirect(address(6,39))+indirect(address(4,40))-indirect(address(5,40))</f>
        <v>0</v>
      </c>
      <c r="AO6">
        <f>indirect(address(6,40))+indirect(address(4,41))-indirect(address(5,41))</f>
        <v>0</v>
      </c>
    </row>
    <row r="7" spans="1:41">
      <c r="I7" t="s">
        <v>14</v>
      </c>
      <c r="AO7">
        <f>sum(j7:an7)</f>
        <v>0</v>
      </c>
    </row>
    <row r="8" spans="1:41">
      <c r="I8" t="s">
        <v>15</v>
      </c>
      <c r="J8">
        <f>sumif(Plan!B:B,"927-068000-100",Plan!j:j)</f>
        <v>0</v>
      </c>
      <c r="K8">
        <f>sumif(Plan!B:B,"927-068000-100",Plan!k:k)</f>
        <v>0</v>
      </c>
      <c r="L8">
        <f>sumif(Plan!B:B,"927-068000-100",Plan!l:l)</f>
        <v>0</v>
      </c>
      <c r="M8">
        <f>sumif(Plan!B:B,"927-068000-100",Plan!m:m)</f>
        <v>0</v>
      </c>
      <c r="N8">
        <f>sumif(Plan!B:B,"927-068000-100",Plan!n:n)</f>
        <v>0</v>
      </c>
      <c r="O8">
        <f>sumif(Plan!B:B,"927-068000-100",Plan!o:o)</f>
        <v>0</v>
      </c>
      <c r="P8">
        <f>sumif(Plan!B:B,"927-068000-100",Plan!p:p)</f>
        <v>0</v>
      </c>
      <c r="Q8">
        <f>sumif(Plan!B:B,"927-068000-100",Plan!q:q)</f>
        <v>0</v>
      </c>
      <c r="R8">
        <f>sumif(Plan!B:B,"927-068000-100",Plan!r:r)</f>
        <v>0</v>
      </c>
      <c r="S8">
        <f>sumif(Plan!B:B,"927-068000-100",Plan!s:s)</f>
        <v>0</v>
      </c>
      <c r="T8">
        <f>sumif(Plan!B:B,"927-068000-100",Plan!t:t)</f>
        <v>0</v>
      </c>
      <c r="U8">
        <f>sumif(Plan!B:B,"927-068000-100",Plan!u:u)</f>
        <v>0</v>
      </c>
      <c r="V8">
        <f>sumif(Plan!B:B,"927-068000-100",Plan!v:v)</f>
        <v>0</v>
      </c>
      <c r="W8">
        <f>sumif(Plan!B:B,"927-068000-100",Plan!w:w)</f>
        <v>0</v>
      </c>
      <c r="X8">
        <f>sumif(Plan!B:B,"927-068000-100",Plan!x:x)</f>
        <v>0</v>
      </c>
      <c r="Y8">
        <f>sumif(Plan!B:B,"927-068000-100",Plan!y:y)</f>
        <v>0</v>
      </c>
      <c r="Z8">
        <f>sumif(Plan!B:B,"927-068000-100",Plan!z:z)</f>
        <v>0</v>
      </c>
      <c r="AA8">
        <f>sumif(Plan!B:B,"927-068000-100",Plan!aa:aa)</f>
        <v>0</v>
      </c>
      <c r="AB8">
        <f>sumif(Plan!B:B,"927-068000-100",Plan!ab:ab)</f>
        <v>0</v>
      </c>
      <c r="AC8">
        <f>sumif(Plan!B:B,"927-068000-100",Plan!ac:ac)</f>
        <v>0</v>
      </c>
      <c r="AD8">
        <f>sumif(Plan!B:B,"927-068000-100",Plan!ad:ad)</f>
        <v>0</v>
      </c>
      <c r="AE8">
        <f>sumif(Plan!B:B,"927-068000-100",Plan!ae:ae)</f>
        <v>0</v>
      </c>
      <c r="AF8">
        <f>sumif(Plan!B:B,"927-068000-100",Plan!af:af)</f>
        <v>0</v>
      </c>
      <c r="AG8">
        <f>sumif(Plan!B:B,"927-068000-100",Plan!ag:ag)</f>
        <v>0</v>
      </c>
      <c r="AH8">
        <f>sumif(Plan!B:B,"927-068000-100",Plan!ah:ah)</f>
        <v>0</v>
      </c>
      <c r="AI8">
        <f>sumif(Plan!B:B,"927-068000-100",Plan!ai:ai)</f>
        <v>0</v>
      </c>
      <c r="AJ8">
        <f>sumif(Plan!B:B,"927-068000-100",Plan!aj:aj)</f>
        <v>0</v>
      </c>
      <c r="AK8">
        <f>sumif(Plan!B:B,"927-068000-100",Plan!ak:ak)</f>
        <v>0</v>
      </c>
      <c r="AL8">
        <f>sumif(Plan!B:B,"927-068000-100",Plan!al:al)</f>
        <v>0</v>
      </c>
      <c r="AM8">
        <f>sumif(Plan!B:B,"927-068000-100",Plan!am:am)</f>
        <v>0</v>
      </c>
      <c r="AN8">
        <f>sumif(Plan!B:B,"927-068000-100",Plan!an:an)</f>
        <v>0</v>
      </c>
      <c r="AO8">
        <f>sumif(Plan!B:B,"927-068000-100",Plan!ao:ao)</f>
        <v>0</v>
      </c>
    </row>
    <row r="9" spans="1:41">
      <c r="A9" t="s">
        <v>17</v>
      </c>
      <c r="B9" t="s">
        <v>20</v>
      </c>
      <c r="C9" t="s">
        <v>21</v>
      </c>
      <c r="E9">
        <v>1</v>
      </c>
      <c r="F9" t="s">
        <v>13</v>
      </c>
      <c r="H9" t="s">
        <v>16</v>
      </c>
      <c r="J9">
        <f>indirect(address(9,9))+indirect(address(7,10))-indirect(address(8,10))</f>
        <v>0</v>
      </c>
      <c r="K9">
        <f>indirect(address(9,10))+indirect(address(7,11))-indirect(address(8,11))</f>
        <v>0</v>
      </c>
      <c r="L9">
        <f>indirect(address(9,11))+indirect(address(7,12))-indirect(address(8,12))</f>
        <v>0</v>
      </c>
      <c r="M9">
        <f>indirect(address(9,12))+indirect(address(7,13))-indirect(address(8,13))</f>
        <v>0</v>
      </c>
      <c r="N9">
        <f>indirect(address(9,13))+indirect(address(7,14))-indirect(address(8,14))</f>
        <v>0</v>
      </c>
      <c r="O9">
        <f>indirect(address(9,14))+indirect(address(7,15))-indirect(address(8,15))</f>
        <v>0</v>
      </c>
      <c r="P9">
        <f>indirect(address(9,15))+indirect(address(7,16))-indirect(address(8,16))</f>
        <v>0</v>
      </c>
      <c r="Q9">
        <f>indirect(address(9,16))+indirect(address(7,17))-indirect(address(8,17))</f>
        <v>0</v>
      </c>
      <c r="R9">
        <f>indirect(address(9,17))+indirect(address(7,18))-indirect(address(8,18))</f>
        <v>0</v>
      </c>
      <c r="S9">
        <f>indirect(address(9,18))+indirect(address(7,19))-indirect(address(8,19))</f>
        <v>0</v>
      </c>
      <c r="T9">
        <f>indirect(address(9,19))+indirect(address(7,20))-indirect(address(8,20))</f>
        <v>0</v>
      </c>
      <c r="U9">
        <f>indirect(address(9,20))+indirect(address(7,21))-indirect(address(8,21))</f>
        <v>0</v>
      </c>
      <c r="V9">
        <f>indirect(address(9,21))+indirect(address(7,22))-indirect(address(8,22))</f>
        <v>0</v>
      </c>
      <c r="W9">
        <f>indirect(address(9,22))+indirect(address(7,23))-indirect(address(8,23))</f>
        <v>0</v>
      </c>
      <c r="X9">
        <f>indirect(address(9,23))+indirect(address(7,24))-indirect(address(8,24))</f>
        <v>0</v>
      </c>
      <c r="Y9">
        <f>indirect(address(9,24))+indirect(address(7,25))-indirect(address(8,25))</f>
        <v>0</v>
      </c>
      <c r="Z9">
        <f>indirect(address(9,25))+indirect(address(7,26))-indirect(address(8,26))</f>
        <v>0</v>
      </c>
      <c r="AA9">
        <f>indirect(address(9,26))+indirect(address(7,27))-indirect(address(8,27))</f>
        <v>0</v>
      </c>
      <c r="AB9">
        <f>indirect(address(9,27))+indirect(address(7,28))-indirect(address(8,28))</f>
        <v>0</v>
      </c>
      <c r="AC9">
        <f>indirect(address(9,28))+indirect(address(7,29))-indirect(address(8,29))</f>
        <v>0</v>
      </c>
      <c r="AD9">
        <f>indirect(address(9,29))+indirect(address(7,30))-indirect(address(8,30))</f>
        <v>0</v>
      </c>
      <c r="AE9">
        <f>indirect(address(9,30))+indirect(address(7,31))-indirect(address(8,31))</f>
        <v>0</v>
      </c>
      <c r="AF9">
        <f>indirect(address(9,31))+indirect(address(7,32))-indirect(address(8,32))</f>
        <v>0</v>
      </c>
      <c r="AG9">
        <f>indirect(address(9,32))+indirect(address(7,33))-indirect(address(8,33))</f>
        <v>0</v>
      </c>
      <c r="AH9">
        <f>indirect(address(9,33))+indirect(address(7,34))-indirect(address(8,34))</f>
        <v>0</v>
      </c>
      <c r="AI9">
        <f>indirect(address(9,34))+indirect(address(7,35))-indirect(address(8,35))</f>
        <v>0</v>
      </c>
      <c r="AJ9">
        <f>indirect(address(9,35))+indirect(address(7,36))-indirect(address(8,36))</f>
        <v>0</v>
      </c>
      <c r="AK9">
        <f>indirect(address(9,36))+indirect(address(7,37))-indirect(address(8,37))</f>
        <v>0</v>
      </c>
      <c r="AL9">
        <f>indirect(address(9,37))+indirect(address(7,38))-indirect(address(8,38))</f>
        <v>0</v>
      </c>
      <c r="AM9">
        <f>indirect(address(9,38))+indirect(address(7,39))-indirect(address(8,39))</f>
        <v>0</v>
      </c>
      <c r="AN9">
        <f>indirect(address(9,39))+indirect(address(7,40))-indirect(address(8,40))</f>
        <v>0</v>
      </c>
      <c r="AO9">
        <f>indirect(address(9,40))+indirect(address(7,41))-indirect(address(8,41))</f>
        <v>0</v>
      </c>
    </row>
    <row r="10" spans="1:41">
      <c r="I10" t="s">
        <v>14</v>
      </c>
      <c r="AO10">
        <f>sum(j10:an10)</f>
        <v>0</v>
      </c>
    </row>
    <row r="11" spans="1:41">
      <c r="I11" t="s">
        <v>15</v>
      </c>
      <c r="J11">
        <f>sumif(Plan!B:B,"827-051000-201",Plan!j:j)</f>
        <v>0</v>
      </c>
      <c r="K11">
        <f>sumif(Plan!B:B,"827-051000-201",Plan!k:k)</f>
        <v>0</v>
      </c>
      <c r="L11">
        <f>sumif(Plan!B:B,"827-051000-201",Plan!l:l)</f>
        <v>0</v>
      </c>
      <c r="M11">
        <f>sumif(Plan!B:B,"827-051000-201",Plan!m:m)</f>
        <v>0</v>
      </c>
      <c r="N11">
        <f>sumif(Plan!B:B,"827-051000-201",Plan!n:n)</f>
        <v>0</v>
      </c>
      <c r="O11">
        <f>sumif(Plan!B:B,"827-051000-201",Plan!o:o)</f>
        <v>0</v>
      </c>
      <c r="P11">
        <f>sumif(Plan!B:B,"827-051000-201",Plan!p:p)</f>
        <v>0</v>
      </c>
      <c r="Q11">
        <f>sumif(Plan!B:B,"827-051000-201",Plan!q:q)</f>
        <v>0</v>
      </c>
      <c r="R11">
        <f>sumif(Plan!B:B,"827-051000-201",Plan!r:r)</f>
        <v>0</v>
      </c>
      <c r="S11">
        <f>sumif(Plan!B:B,"827-051000-201",Plan!s:s)</f>
        <v>0</v>
      </c>
      <c r="T11">
        <f>sumif(Plan!B:B,"827-051000-201",Plan!t:t)</f>
        <v>0</v>
      </c>
      <c r="U11">
        <f>sumif(Plan!B:B,"827-051000-201",Plan!u:u)</f>
        <v>0</v>
      </c>
      <c r="V11">
        <f>sumif(Plan!B:B,"827-051000-201",Plan!v:v)</f>
        <v>0</v>
      </c>
      <c r="W11">
        <f>sumif(Plan!B:B,"827-051000-201",Plan!w:w)</f>
        <v>0</v>
      </c>
      <c r="X11">
        <f>sumif(Plan!B:B,"827-051000-201",Plan!x:x)</f>
        <v>0</v>
      </c>
      <c r="Y11">
        <f>sumif(Plan!B:B,"827-051000-201",Plan!y:y)</f>
        <v>0</v>
      </c>
      <c r="Z11">
        <f>sumif(Plan!B:B,"827-051000-201",Plan!z:z)</f>
        <v>0</v>
      </c>
      <c r="AA11">
        <f>sumif(Plan!B:B,"827-051000-201",Plan!aa:aa)</f>
        <v>0</v>
      </c>
      <c r="AB11">
        <f>sumif(Plan!B:B,"827-051000-201",Plan!ab:ab)</f>
        <v>0</v>
      </c>
      <c r="AC11">
        <f>sumif(Plan!B:B,"827-051000-201",Plan!ac:ac)</f>
        <v>0</v>
      </c>
      <c r="AD11">
        <f>sumif(Plan!B:B,"827-051000-201",Plan!ad:ad)</f>
        <v>0</v>
      </c>
      <c r="AE11">
        <f>sumif(Plan!B:B,"827-051000-201",Plan!ae:ae)</f>
        <v>0</v>
      </c>
      <c r="AF11">
        <f>sumif(Plan!B:B,"827-051000-201",Plan!af:af)</f>
        <v>0</v>
      </c>
      <c r="AG11">
        <f>sumif(Plan!B:B,"827-051000-201",Plan!ag:ag)</f>
        <v>0</v>
      </c>
      <c r="AH11">
        <f>sumif(Plan!B:B,"827-051000-201",Plan!ah:ah)</f>
        <v>0</v>
      </c>
      <c r="AI11">
        <f>sumif(Plan!B:B,"827-051000-201",Plan!ai:ai)</f>
        <v>0</v>
      </c>
      <c r="AJ11">
        <f>sumif(Plan!B:B,"827-051000-201",Plan!aj:aj)</f>
        <v>0</v>
      </c>
      <c r="AK11">
        <f>sumif(Plan!B:B,"827-051000-201",Plan!ak:ak)</f>
        <v>0</v>
      </c>
      <c r="AL11">
        <f>sumif(Plan!B:B,"827-051000-201",Plan!al:al)</f>
        <v>0</v>
      </c>
      <c r="AM11">
        <f>sumif(Plan!B:B,"827-051000-201",Plan!am:am)</f>
        <v>0</v>
      </c>
      <c r="AN11">
        <f>sumif(Plan!B:B,"827-051000-201",Plan!an:an)</f>
        <v>0</v>
      </c>
      <c r="AO11">
        <f>sumif(Plan!B:B,"827-051000-201",Plan!ao:ao)</f>
        <v>0</v>
      </c>
    </row>
    <row r="12" spans="1:41">
      <c r="A12" t="s">
        <v>22</v>
      </c>
      <c r="B12" t="s">
        <v>23</v>
      </c>
      <c r="C12" t="s">
        <v>24</v>
      </c>
      <c r="E12">
        <v>1</v>
      </c>
      <c r="F12" t="s">
        <v>13</v>
      </c>
      <c r="H12" t="s">
        <v>16</v>
      </c>
      <c r="J12">
        <f>indirect(address(12,9))+indirect(address(10,10))-indirect(address(11,10))</f>
        <v>0</v>
      </c>
      <c r="K12">
        <f>indirect(address(12,10))+indirect(address(10,11))-indirect(address(11,11))</f>
        <v>0</v>
      </c>
      <c r="L12">
        <f>indirect(address(12,11))+indirect(address(10,12))-indirect(address(11,12))</f>
        <v>0</v>
      </c>
      <c r="M12">
        <f>indirect(address(12,12))+indirect(address(10,13))-indirect(address(11,13))</f>
        <v>0</v>
      </c>
      <c r="N12">
        <f>indirect(address(12,13))+indirect(address(10,14))-indirect(address(11,14))</f>
        <v>0</v>
      </c>
      <c r="O12">
        <f>indirect(address(12,14))+indirect(address(10,15))-indirect(address(11,15))</f>
        <v>0</v>
      </c>
      <c r="P12">
        <f>indirect(address(12,15))+indirect(address(10,16))-indirect(address(11,16))</f>
        <v>0</v>
      </c>
      <c r="Q12">
        <f>indirect(address(12,16))+indirect(address(10,17))-indirect(address(11,17))</f>
        <v>0</v>
      </c>
      <c r="R12">
        <f>indirect(address(12,17))+indirect(address(10,18))-indirect(address(11,18))</f>
        <v>0</v>
      </c>
      <c r="S12">
        <f>indirect(address(12,18))+indirect(address(10,19))-indirect(address(11,19))</f>
        <v>0</v>
      </c>
      <c r="T12">
        <f>indirect(address(12,19))+indirect(address(10,20))-indirect(address(11,20))</f>
        <v>0</v>
      </c>
      <c r="U12">
        <f>indirect(address(12,20))+indirect(address(10,21))-indirect(address(11,21))</f>
        <v>0</v>
      </c>
      <c r="V12">
        <f>indirect(address(12,21))+indirect(address(10,22))-indirect(address(11,22))</f>
        <v>0</v>
      </c>
      <c r="W12">
        <f>indirect(address(12,22))+indirect(address(10,23))-indirect(address(11,23))</f>
        <v>0</v>
      </c>
      <c r="X12">
        <f>indirect(address(12,23))+indirect(address(10,24))-indirect(address(11,24))</f>
        <v>0</v>
      </c>
      <c r="Y12">
        <f>indirect(address(12,24))+indirect(address(10,25))-indirect(address(11,25))</f>
        <v>0</v>
      </c>
      <c r="Z12">
        <f>indirect(address(12,25))+indirect(address(10,26))-indirect(address(11,26))</f>
        <v>0</v>
      </c>
      <c r="AA12">
        <f>indirect(address(12,26))+indirect(address(10,27))-indirect(address(11,27))</f>
        <v>0</v>
      </c>
      <c r="AB12">
        <f>indirect(address(12,27))+indirect(address(10,28))-indirect(address(11,28))</f>
        <v>0</v>
      </c>
      <c r="AC12">
        <f>indirect(address(12,28))+indirect(address(10,29))-indirect(address(11,29))</f>
        <v>0</v>
      </c>
      <c r="AD12">
        <f>indirect(address(12,29))+indirect(address(10,30))-indirect(address(11,30))</f>
        <v>0</v>
      </c>
      <c r="AE12">
        <f>indirect(address(12,30))+indirect(address(10,31))-indirect(address(11,31))</f>
        <v>0</v>
      </c>
      <c r="AF12">
        <f>indirect(address(12,31))+indirect(address(10,32))-indirect(address(11,32))</f>
        <v>0</v>
      </c>
      <c r="AG12">
        <f>indirect(address(12,32))+indirect(address(10,33))-indirect(address(11,33))</f>
        <v>0</v>
      </c>
      <c r="AH12">
        <f>indirect(address(12,33))+indirect(address(10,34))-indirect(address(11,34))</f>
        <v>0</v>
      </c>
      <c r="AI12">
        <f>indirect(address(12,34))+indirect(address(10,35))-indirect(address(11,35))</f>
        <v>0</v>
      </c>
      <c r="AJ12">
        <f>indirect(address(12,35))+indirect(address(10,36))-indirect(address(11,36))</f>
        <v>0</v>
      </c>
      <c r="AK12">
        <f>indirect(address(12,36))+indirect(address(10,37))-indirect(address(11,37))</f>
        <v>0</v>
      </c>
      <c r="AL12">
        <f>indirect(address(12,37))+indirect(address(10,38))-indirect(address(11,38))</f>
        <v>0</v>
      </c>
      <c r="AM12">
        <f>indirect(address(12,38))+indirect(address(10,39))-indirect(address(11,39))</f>
        <v>0</v>
      </c>
      <c r="AN12">
        <f>indirect(address(12,39))+indirect(address(10,40))-indirect(address(11,40))</f>
        <v>0</v>
      </c>
      <c r="AO12">
        <f>indirect(address(12,40))+indirect(address(10,41))-indirect(address(11,41))</f>
        <v>0</v>
      </c>
    </row>
    <row r="13" spans="1:41">
      <c r="I13" t="s">
        <v>14</v>
      </c>
      <c r="AO13">
        <f>sum(j13:an13)</f>
        <v>0</v>
      </c>
    </row>
    <row r="14" spans="1:41">
      <c r="I14" t="s">
        <v>15</v>
      </c>
      <c r="J14">
        <f>sumif(Plan!B:B,"827-069000-101",Plan!j:j)</f>
        <v>0</v>
      </c>
      <c r="K14">
        <f>sumif(Plan!B:B,"827-069000-101",Plan!k:k)</f>
        <v>0</v>
      </c>
      <c r="L14">
        <f>sumif(Plan!B:B,"827-069000-101",Plan!l:l)</f>
        <v>0</v>
      </c>
      <c r="M14">
        <f>sumif(Plan!B:B,"827-069000-101",Plan!m:m)</f>
        <v>0</v>
      </c>
      <c r="N14">
        <f>sumif(Plan!B:B,"827-069000-101",Plan!n:n)</f>
        <v>0</v>
      </c>
      <c r="O14">
        <f>sumif(Plan!B:B,"827-069000-101",Plan!o:o)</f>
        <v>0</v>
      </c>
      <c r="P14">
        <f>sumif(Plan!B:B,"827-069000-101",Plan!p:p)</f>
        <v>0</v>
      </c>
      <c r="Q14">
        <f>sumif(Plan!B:B,"827-069000-101",Plan!q:q)</f>
        <v>0</v>
      </c>
      <c r="R14">
        <f>sumif(Plan!B:B,"827-069000-101",Plan!r:r)</f>
        <v>0</v>
      </c>
      <c r="S14">
        <f>sumif(Plan!B:B,"827-069000-101",Plan!s:s)</f>
        <v>0</v>
      </c>
      <c r="T14">
        <f>sumif(Plan!B:B,"827-069000-101",Plan!t:t)</f>
        <v>0</v>
      </c>
      <c r="U14">
        <f>sumif(Plan!B:B,"827-069000-101",Plan!u:u)</f>
        <v>0</v>
      </c>
      <c r="V14">
        <f>sumif(Plan!B:B,"827-069000-101",Plan!v:v)</f>
        <v>0</v>
      </c>
      <c r="W14">
        <f>sumif(Plan!B:B,"827-069000-101",Plan!w:w)</f>
        <v>0</v>
      </c>
      <c r="X14">
        <f>sumif(Plan!B:B,"827-069000-101",Plan!x:x)</f>
        <v>0</v>
      </c>
      <c r="Y14">
        <f>sumif(Plan!B:B,"827-069000-101",Plan!y:y)</f>
        <v>0</v>
      </c>
      <c r="Z14">
        <f>sumif(Plan!B:B,"827-069000-101",Plan!z:z)</f>
        <v>0</v>
      </c>
      <c r="AA14">
        <f>sumif(Plan!B:B,"827-069000-101",Plan!aa:aa)</f>
        <v>0</v>
      </c>
      <c r="AB14">
        <f>sumif(Plan!B:B,"827-069000-101",Plan!ab:ab)</f>
        <v>0</v>
      </c>
      <c r="AC14">
        <f>sumif(Plan!B:B,"827-069000-101",Plan!ac:ac)</f>
        <v>0</v>
      </c>
      <c r="AD14">
        <f>sumif(Plan!B:B,"827-069000-101",Plan!ad:ad)</f>
        <v>0</v>
      </c>
      <c r="AE14">
        <f>sumif(Plan!B:B,"827-069000-101",Plan!ae:ae)</f>
        <v>0</v>
      </c>
      <c r="AF14">
        <f>sumif(Plan!B:B,"827-069000-101",Plan!af:af)</f>
        <v>0</v>
      </c>
      <c r="AG14">
        <f>sumif(Plan!B:B,"827-069000-101",Plan!ag:ag)</f>
        <v>0</v>
      </c>
      <c r="AH14">
        <f>sumif(Plan!B:B,"827-069000-101",Plan!ah:ah)</f>
        <v>0</v>
      </c>
      <c r="AI14">
        <f>sumif(Plan!B:B,"827-069000-101",Plan!ai:ai)</f>
        <v>0</v>
      </c>
      <c r="AJ14">
        <f>sumif(Plan!B:B,"827-069000-101",Plan!aj:aj)</f>
        <v>0</v>
      </c>
      <c r="AK14">
        <f>sumif(Plan!B:B,"827-069000-101",Plan!ak:ak)</f>
        <v>0</v>
      </c>
      <c r="AL14">
        <f>sumif(Plan!B:B,"827-069000-101",Plan!al:al)</f>
        <v>0</v>
      </c>
      <c r="AM14">
        <f>sumif(Plan!B:B,"827-069000-101",Plan!am:am)</f>
        <v>0</v>
      </c>
      <c r="AN14">
        <f>sumif(Plan!B:B,"827-069000-101",Plan!an:an)</f>
        <v>0</v>
      </c>
      <c r="AO14">
        <f>sumif(Plan!B:B,"827-069000-101",Plan!ao:ao)</f>
        <v>0</v>
      </c>
    </row>
    <row r="15" spans="1:41">
      <c r="A15" t="s">
        <v>17</v>
      </c>
      <c r="B15" t="s">
        <v>25</v>
      </c>
      <c r="C15" t="s">
        <v>26</v>
      </c>
      <c r="E15">
        <v>1</v>
      </c>
      <c r="F15" t="s">
        <v>13</v>
      </c>
      <c r="H15" t="s">
        <v>16</v>
      </c>
      <c r="J15">
        <f>indirect(address(15,9))+indirect(address(13,10))-indirect(address(14,10))</f>
        <v>0</v>
      </c>
      <c r="K15">
        <f>indirect(address(15,10))+indirect(address(13,11))-indirect(address(14,11))</f>
        <v>0</v>
      </c>
      <c r="L15">
        <f>indirect(address(15,11))+indirect(address(13,12))-indirect(address(14,12))</f>
        <v>0</v>
      </c>
      <c r="M15">
        <f>indirect(address(15,12))+indirect(address(13,13))-indirect(address(14,13))</f>
        <v>0</v>
      </c>
      <c r="N15">
        <f>indirect(address(15,13))+indirect(address(13,14))-indirect(address(14,14))</f>
        <v>0</v>
      </c>
      <c r="O15">
        <f>indirect(address(15,14))+indirect(address(13,15))-indirect(address(14,15))</f>
        <v>0</v>
      </c>
      <c r="P15">
        <f>indirect(address(15,15))+indirect(address(13,16))-indirect(address(14,16))</f>
        <v>0</v>
      </c>
      <c r="Q15">
        <f>indirect(address(15,16))+indirect(address(13,17))-indirect(address(14,17))</f>
        <v>0</v>
      </c>
      <c r="R15">
        <f>indirect(address(15,17))+indirect(address(13,18))-indirect(address(14,18))</f>
        <v>0</v>
      </c>
      <c r="S15">
        <f>indirect(address(15,18))+indirect(address(13,19))-indirect(address(14,19))</f>
        <v>0</v>
      </c>
      <c r="T15">
        <f>indirect(address(15,19))+indirect(address(13,20))-indirect(address(14,20))</f>
        <v>0</v>
      </c>
      <c r="U15">
        <f>indirect(address(15,20))+indirect(address(13,21))-indirect(address(14,21))</f>
        <v>0</v>
      </c>
      <c r="V15">
        <f>indirect(address(15,21))+indirect(address(13,22))-indirect(address(14,22))</f>
        <v>0</v>
      </c>
      <c r="W15">
        <f>indirect(address(15,22))+indirect(address(13,23))-indirect(address(14,23))</f>
        <v>0</v>
      </c>
      <c r="X15">
        <f>indirect(address(15,23))+indirect(address(13,24))-indirect(address(14,24))</f>
        <v>0</v>
      </c>
      <c r="Y15">
        <f>indirect(address(15,24))+indirect(address(13,25))-indirect(address(14,25))</f>
        <v>0</v>
      </c>
      <c r="Z15">
        <f>indirect(address(15,25))+indirect(address(13,26))-indirect(address(14,26))</f>
        <v>0</v>
      </c>
      <c r="AA15">
        <f>indirect(address(15,26))+indirect(address(13,27))-indirect(address(14,27))</f>
        <v>0</v>
      </c>
      <c r="AB15">
        <f>indirect(address(15,27))+indirect(address(13,28))-indirect(address(14,28))</f>
        <v>0</v>
      </c>
      <c r="AC15">
        <f>indirect(address(15,28))+indirect(address(13,29))-indirect(address(14,29))</f>
        <v>0</v>
      </c>
      <c r="AD15">
        <f>indirect(address(15,29))+indirect(address(13,30))-indirect(address(14,30))</f>
        <v>0</v>
      </c>
      <c r="AE15">
        <f>indirect(address(15,30))+indirect(address(13,31))-indirect(address(14,31))</f>
        <v>0</v>
      </c>
      <c r="AF15">
        <f>indirect(address(15,31))+indirect(address(13,32))-indirect(address(14,32))</f>
        <v>0</v>
      </c>
      <c r="AG15">
        <f>indirect(address(15,32))+indirect(address(13,33))-indirect(address(14,33))</f>
        <v>0</v>
      </c>
      <c r="AH15">
        <f>indirect(address(15,33))+indirect(address(13,34))-indirect(address(14,34))</f>
        <v>0</v>
      </c>
      <c r="AI15">
        <f>indirect(address(15,34))+indirect(address(13,35))-indirect(address(14,35))</f>
        <v>0</v>
      </c>
      <c r="AJ15">
        <f>indirect(address(15,35))+indirect(address(13,36))-indirect(address(14,36))</f>
        <v>0</v>
      </c>
      <c r="AK15">
        <f>indirect(address(15,36))+indirect(address(13,37))-indirect(address(14,37))</f>
        <v>0</v>
      </c>
      <c r="AL15">
        <f>indirect(address(15,37))+indirect(address(13,38))-indirect(address(14,38))</f>
        <v>0</v>
      </c>
      <c r="AM15">
        <f>indirect(address(15,38))+indirect(address(13,39))-indirect(address(14,39))</f>
        <v>0</v>
      </c>
      <c r="AN15">
        <f>indirect(address(15,39))+indirect(address(13,40))-indirect(address(14,40))</f>
        <v>0</v>
      </c>
      <c r="AO15">
        <f>indirect(address(15,40))+indirect(address(13,41))-indirect(address(14,41))</f>
        <v>0</v>
      </c>
    </row>
    <row r="16" spans="1:41">
      <c r="I16" t="s">
        <v>14</v>
      </c>
      <c r="AO16">
        <f>sum(j16:an16)</f>
        <v>0</v>
      </c>
    </row>
    <row r="17" spans="1:41">
      <c r="I17" t="s">
        <v>15</v>
      </c>
      <c r="J17">
        <f>sumif(Plan!B:B,"827-070000-100",Plan!j:j)</f>
        <v>0</v>
      </c>
      <c r="K17">
        <f>sumif(Plan!B:B,"827-070000-100",Plan!k:k)</f>
        <v>0</v>
      </c>
      <c r="L17">
        <f>sumif(Plan!B:B,"827-070000-100",Plan!l:l)</f>
        <v>0</v>
      </c>
      <c r="M17">
        <f>sumif(Plan!B:B,"827-070000-100",Plan!m:m)</f>
        <v>0</v>
      </c>
      <c r="N17">
        <f>sumif(Plan!B:B,"827-070000-100",Plan!n:n)</f>
        <v>0</v>
      </c>
      <c r="O17">
        <f>sumif(Plan!B:B,"827-070000-100",Plan!o:o)</f>
        <v>0</v>
      </c>
      <c r="P17">
        <f>sumif(Plan!B:B,"827-070000-100",Plan!p:p)</f>
        <v>0</v>
      </c>
      <c r="Q17">
        <f>sumif(Plan!B:B,"827-070000-100",Plan!q:q)</f>
        <v>0</v>
      </c>
      <c r="R17">
        <f>sumif(Plan!B:B,"827-070000-100",Plan!r:r)</f>
        <v>0</v>
      </c>
      <c r="S17">
        <f>sumif(Plan!B:B,"827-070000-100",Plan!s:s)</f>
        <v>0</v>
      </c>
      <c r="T17">
        <f>sumif(Plan!B:B,"827-070000-100",Plan!t:t)</f>
        <v>0</v>
      </c>
      <c r="U17">
        <f>sumif(Plan!B:B,"827-070000-100",Plan!u:u)</f>
        <v>0</v>
      </c>
      <c r="V17">
        <f>sumif(Plan!B:B,"827-070000-100",Plan!v:v)</f>
        <v>0</v>
      </c>
      <c r="W17">
        <f>sumif(Plan!B:B,"827-070000-100",Plan!w:w)</f>
        <v>0</v>
      </c>
      <c r="X17">
        <f>sumif(Plan!B:B,"827-070000-100",Plan!x:x)</f>
        <v>0</v>
      </c>
      <c r="Y17">
        <f>sumif(Plan!B:B,"827-070000-100",Plan!y:y)</f>
        <v>0</v>
      </c>
      <c r="Z17">
        <f>sumif(Plan!B:B,"827-070000-100",Plan!z:z)</f>
        <v>0</v>
      </c>
      <c r="AA17">
        <f>sumif(Plan!B:B,"827-070000-100",Plan!aa:aa)</f>
        <v>0</v>
      </c>
      <c r="AB17">
        <f>sumif(Plan!B:B,"827-070000-100",Plan!ab:ab)</f>
        <v>0</v>
      </c>
      <c r="AC17">
        <f>sumif(Plan!B:B,"827-070000-100",Plan!ac:ac)</f>
        <v>0</v>
      </c>
      <c r="AD17">
        <f>sumif(Plan!B:B,"827-070000-100",Plan!ad:ad)</f>
        <v>0</v>
      </c>
      <c r="AE17">
        <f>sumif(Plan!B:B,"827-070000-100",Plan!ae:ae)</f>
        <v>0</v>
      </c>
      <c r="AF17">
        <f>sumif(Plan!B:B,"827-070000-100",Plan!af:af)</f>
        <v>0</v>
      </c>
      <c r="AG17">
        <f>sumif(Plan!B:B,"827-070000-100",Plan!ag:ag)</f>
        <v>0</v>
      </c>
      <c r="AH17">
        <f>sumif(Plan!B:B,"827-070000-100",Plan!ah:ah)</f>
        <v>0</v>
      </c>
      <c r="AI17">
        <f>sumif(Plan!B:B,"827-070000-100",Plan!ai:ai)</f>
        <v>0</v>
      </c>
      <c r="AJ17">
        <f>sumif(Plan!B:B,"827-070000-100",Plan!aj:aj)</f>
        <v>0</v>
      </c>
      <c r="AK17">
        <f>sumif(Plan!B:B,"827-070000-100",Plan!ak:ak)</f>
        <v>0</v>
      </c>
      <c r="AL17">
        <f>sumif(Plan!B:B,"827-070000-100",Plan!al:al)</f>
        <v>0</v>
      </c>
      <c r="AM17">
        <f>sumif(Plan!B:B,"827-070000-100",Plan!am:am)</f>
        <v>0</v>
      </c>
      <c r="AN17">
        <f>sumif(Plan!B:B,"827-070000-100",Plan!an:an)</f>
        <v>0</v>
      </c>
      <c r="AO17">
        <f>sumif(Plan!B:B,"827-070000-100",Plan!ao:ao)</f>
        <v>0</v>
      </c>
    </row>
    <row r="18" spans="1:41">
      <c r="A18" t="s">
        <v>17</v>
      </c>
      <c r="B18" t="s">
        <v>27</v>
      </c>
      <c r="C18" t="s">
        <v>28</v>
      </c>
      <c r="E18">
        <v>1</v>
      </c>
      <c r="F18" t="s">
        <v>13</v>
      </c>
      <c r="H18" t="s">
        <v>16</v>
      </c>
      <c r="J18">
        <f>indirect(address(18,9))+indirect(address(16,10))-indirect(address(17,10))</f>
        <v>0</v>
      </c>
      <c r="K18">
        <f>indirect(address(18,10))+indirect(address(16,11))-indirect(address(17,11))</f>
        <v>0</v>
      </c>
      <c r="L18">
        <f>indirect(address(18,11))+indirect(address(16,12))-indirect(address(17,12))</f>
        <v>0</v>
      </c>
      <c r="M18">
        <f>indirect(address(18,12))+indirect(address(16,13))-indirect(address(17,13))</f>
        <v>0</v>
      </c>
      <c r="N18">
        <f>indirect(address(18,13))+indirect(address(16,14))-indirect(address(17,14))</f>
        <v>0</v>
      </c>
      <c r="O18">
        <f>indirect(address(18,14))+indirect(address(16,15))-indirect(address(17,15))</f>
        <v>0</v>
      </c>
      <c r="P18">
        <f>indirect(address(18,15))+indirect(address(16,16))-indirect(address(17,16))</f>
        <v>0</v>
      </c>
      <c r="Q18">
        <f>indirect(address(18,16))+indirect(address(16,17))-indirect(address(17,17))</f>
        <v>0</v>
      </c>
      <c r="R18">
        <f>indirect(address(18,17))+indirect(address(16,18))-indirect(address(17,18))</f>
        <v>0</v>
      </c>
      <c r="S18">
        <f>indirect(address(18,18))+indirect(address(16,19))-indirect(address(17,19))</f>
        <v>0</v>
      </c>
      <c r="T18">
        <f>indirect(address(18,19))+indirect(address(16,20))-indirect(address(17,20))</f>
        <v>0</v>
      </c>
      <c r="U18">
        <f>indirect(address(18,20))+indirect(address(16,21))-indirect(address(17,21))</f>
        <v>0</v>
      </c>
      <c r="V18">
        <f>indirect(address(18,21))+indirect(address(16,22))-indirect(address(17,22))</f>
        <v>0</v>
      </c>
      <c r="W18">
        <f>indirect(address(18,22))+indirect(address(16,23))-indirect(address(17,23))</f>
        <v>0</v>
      </c>
      <c r="X18">
        <f>indirect(address(18,23))+indirect(address(16,24))-indirect(address(17,24))</f>
        <v>0</v>
      </c>
      <c r="Y18">
        <f>indirect(address(18,24))+indirect(address(16,25))-indirect(address(17,25))</f>
        <v>0</v>
      </c>
      <c r="Z18">
        <f>indirect(address(18,25))+indirect(address(16,26))-indirect(address(17,26))</f>
        <v>0</v>
      </c>
      <c r="AA18">
        <f>indirect(address(18,26))+indirect(address(16,27))-indirect(address(17,27))</f>
        <v>0</v>
      </c>
      <c r="AB18">
        <f>indirect(address(18,27))+indirect(address(16,28))-indirect(address(17,28))</f>
        <v>0</v>
      </c>
      <c r="AC18">
        <f>indirect(address(18,28))+indirect(address(16,29))-indirect(address(17,29))</f>
        <v>0</v>
      </c>
      <c r="AD18">
        <f>indirect(address(18,29))+indirect(address(16,30))-indirect(address(17,30))</f>
        <v>0</v>
      </c>
      <c r="AE18">
        <f>indirect(address(18,30))+indirect(address(16,31))-indirect(address(17,31))</f>
        <v>0</v>
      </c>
      <c r="AF18">
        <f>indirect(address(18,31))+indirect(address(16,32))-indirect(address(17,32))</f>
        <v>0</v>
      </c>
      <c r="AG18">
        <f>indirect(address(18,32))+indirect(address(16,33))-indirect(address(17,33))</f>
        <v>0</v>
      </c>
      <c r="AH18">
        <f>indirect(address(18,33))+indirect(address(16,34))-indirect(address(17,34))</f>
        <v>0</v>
      </c>
      <c r="AI18">
        <f>indirect(address(18,34))+indirect(address(16,35))-indirect(address(17,35))</f>
        <v>0</v>
      </c>
      <c r="AJ18">
        <f>indirect(address(18,35))+indirect(address(16,36))-indirect(address(17,36))</f>
        <v>0</v>
      </c>
      <c r="AK18">
        <f>indirect(address(18,36))+indirect(address(16,37))-indirect(address(17,37))</f>
        <v>0</v>
      </c>
      <c r="AL18">
        <f>indirect(address(18,37))+indirect(address(16,38))-indirect(address(17,38))</f>
        <v>0</v>
      </c>
      <c r="AM18">
        <f>indirect(address(18,38))+indirect(address(16,39))-indirect(address(17,39))</f>
        <v>0</v>
      </c>
      <c r="AN18">
        <f>indirect(address(18,39))+indirect(address(16,40))-indirect(address(17,40))</f>
        <v>0</v>
      </c>
      <c r="AO18">
        <f>indirect(address(18,40))+indirect(address(16,41))-indirect(address(17,41))</f>
        <v>0</v>
      </c>
    </row>
    <row r="19" spans="1:41">
      <c r="I19" t="s">
        <v>14</v>
      </c>
      <c r="AO19">
        <f>sum(j19:an19)</f>
        <v>0</v>
      </c>
    </row>
    <row r="20" spans="1:41">
      <c r="I20" t="s">
        <v>15</v>
      </c>
      <c r="J20">
        <f>sumif(Plan!B:B,"263-000000-065",Plan!j:j)</f>
        <v>0</v>
      </c>
      <c r="K20">
        <f>sumif(Plan!B:B,"263-000000-065",Plan!k:k)</f>
        <v>0</v>
      </c>
      <c r="L20">
        <f>sumif(Plan!B:B,"263-000000-065",Plan!l:l)</f>
        <v>0</v>
      </c>
      <c r="M20">
        <f>sumif(Plan!B:B,"263-000000-065",Plan!m:m)</f>
        <v>0</v>
      </c>
      <c r="N20">
        <f>sumif(Plan!B:B,"263-000000-065",Plan!n:n)</f>
        <v>0</v>
      </c>
      <c r="O20">
        <f>sumif(Plan!B:B,"263-000000-065",Plan!o:o)</f>
        <v>0</v>
      </c>
      <c r="P20">
        <f>sumif(Plan!B:B,"263-000000-065",Plan!p:p)</f>
        <v>0</v>
      </c>
      <c r="Q20">
        <f>sumif(Plan!B:B,"263-000000-065",Plan!q:q)</f>
        <v>0</v>
      </c>
      <c r="R20">
        <f>sumif(Plan!B:B,"263-000000-065",Plan!r:r)</f>
        <v>0</v>
      </c>
      <c r="S20">
        <f>sumif(Plan!B:B,"263-000000-065",Plan!s:s)</f>
        <v>0</v>
      </c>
      <c r="T20">
        <f>sumif(Plan!B:B,"263-000000-065",Plan!t:t)</f>
        <v>0</v>
      </c>
      <c r="U20">
        <f>sumif(Plan!B:B,"263-000000-065",Plan!u:u)</f>
        <v>0</v>
      </c>
      <c r="V20">
        <f>sumif(Plan!B:B,"263-000000-065",Plan!v:v)</f>
        <v>0</v>
      </c>
      <c r="W20">
        <f>sumif(Plan!B:B,"263-000000-065",Plan!w:w)</f>
        <v>0</v>
      </c>
      <c r="X20">
        <f>sumif(Plan!B:B,"263-000000-065",Plan!x:x)</f>
        <v>0</v>
      </c>
      <c r="Y20">
        <f>sumif(Plan!B:B,"263-000000-065",Plan!y:y)</f>
        <v>0</v>
      </c>
      <c r="Z20">
        <f>sumif(Plan!B:B,"263-000000-065",Plan!z:z)</f>
        <v>0</v>
      </c>
      <c r="AA20">
        <f>sumif(Plan!B:B,"263-000000-065",Plan!aa:aa)</f>
        <v>0</v>
      </c>
      <c r="AB20">
        <f>sumif(Plan!B:B,"263-000000-065",Plan!ab:ab)</f>
        <v>0</v>
      </c>
      <c r="AC20">
        <f>sumif(Plan!B:B,"263-000000-065",Plan!ac:ac)</f>
        <v>0</v>
      </c>
      <c r="AD20">
        <f>sumif(Plan!B:B,"263-000000-065",Plan!ad:ad)</f>
        <v>0</v>
      </c>
      <c r="AE20">
        <f>sumif(Plan!B:B,"263-000000-065",Plan!ae:ae)</f>
        <v>0</v>
      </c>
      <c r="AF20">
        <f>sumif(Plan!B:B,"263-000000-065",Plan!af:af)</f>
        <v>0</v>
      </c>
      <c r="AG20">
        <f>sumif(Plan!B:B,"263-000000-065",Plan!ag:ag)</f>
        <v>0</v>
      </c>
      <c r="AH20">
        <f>sumif(Plan!B:B,"263-000000-065",Plan!ah:ah)</f>
        <v>0</v>
      </c>
      <c r="AI20">
        <f>sumif(Plan!B:B,"263-000000-065",Plan!ai:ai)</f>
        <v>0</v>
      </c>
      <c r="AJ20">
        <f>sumif(Plan!B:B,"263-000000-065",Plan!aj:aj)</f>
        <v>0</v>
      </c>
      <c r="AK20">
        <f>sumif(Plan!B:B,"263-000000-065",Plan!ak:ak)</f>
        <v>0</v>
      </c>
      <c r="AL20">
        <f>sumif(Plan!B:B,"263-000000-065",Plan!al:al)</f>
        <v>0</v>
      </c>
      <c r="AM20">
        <f>sumif(Plan!B:B,"263-000000-065",Plan!am:am)</f>
        <v>0</v>
      </c>
      <c r="AN20">
        <f>sumif(Plan!B:B,"263-000000-065",Plan!an:an)</f>
        <v>0</v>
      </c>
      <c r="AO20">
        <f>sumif(Plan!B:B,"263-000000-065",Plan!ao:ao)</f>
        <v>0</v>
      </c>
    </row>
    <row r="21" spans="1:41">
      <c r="A21" t="s">
        <v>22</v>
      </c>
      <c r="B21" t="s">
        <v>29</v>
      </c>
      <c r="C21" t="s">
        <v>30</v>
      </c>
      <c r="E21">
        <v>1</v>
      </c>
      <c r="F21" t="s">
        <v>13</v>
      </c>
      <c r="H21" t="s">
        <v>16</v>
      </c>
      <c r="J21">
        <f>indirect(address(21,9))+indirect(address(19,10))-indirect(address(20,10))</f>
        <v>0</v>
      </c>
      <c r="K21">
        <f>indirect(address(21,10))+indirect(address(19,11))-indirect(address(20,11))</f>
        <v>0</v>
      </c>
      <c r="L21">
        <f>indirect(address(21,11))+indirect(address(19,12))-indirect(address(20,12))</f>
        <v>0</v>
      </c>
      <c r="M21">
        <f>indirect(address(21,12))+indirect(address(19,13))-indirect(address(20,13))</f>
        <v>0</v>
      </c>
      <c r="N21">
        <f>indirect(address(21,13))+indirect(address(19,14))-indirect(address(20,14))</f>
        <v>0</v>
      </c>
      <c r="O21">
        <f>indirect(address(21,14))+indirect(address(19,15))-indirect(address(20,15))</f>
        <v>0</v>
      </c>
      <c r="P21">
        <f>indirect(address(21,15))+indirect(address(19,16))-indirect(address(20,16))</f>
        <v>0</v>
      </c>
      <c r="Q21">
        <f>indirect(address(21,16))+indirect(address(19,17))-indirect(address(20,17))</f>
        <v>0</v>
      </c>
      <c r="R21">
        <f>indirect(address(21,17))+indirect(address(19,18))-indirect(address(20,18))</f>
        <v>0</v>
      </c>
      <c r="S21">
        <f>indirect(address(21,18))+indirect(address(19,19))-indirect(address(20,19))</f>
        <v>0</v>
      </c>
      <c r="T21">
        <f>indirect(address(21,19))+indirect(address(19,20))-indirect(address(20,20))</f>
        <v>0</v>
      </c>
      <c r="U21">
        <f>indirect(address(21,20))+indirect(address(19,21))-indirect(address(20,21))</f>
        <v>0</v>
      </c>
      <c r="V21">
        <f>indirect(address(21,21))+indirect(address(19,22))-indirect(address(20,22))</f>
        <v>0</v>
      </c>
      <c r="W21">
        <f>indirect(address(21,22))+indirect(address(19,23))-indirect(address(20,23))</f>
        <v>0</v>
      </c>
      <c r="X21">
        <f>indirect(address(21,23))+indirect(address(19,24))-indirect(address(20,24))</f>
        <v>0</v>
      </c>
      <c r="Y21">
        <f>indirect(address(21,24))+indirect(address(19,25))-indirect(address(20,25))</f>
        <v>0</v>
      </c>
      <c r="Z21">
        <f>indirect(address(21,25))+indirect(address(19,26))-indirect(address(20,26))</f>
        <v>0</v>
      </c>
      <c r="AA21">
        <f>indirect(address(21,26))+indirect(address(19,27))-indirect(address(20,27))</f>
        <v>0</v>
      </c>
      <c r="AB21">
        <f>indirect(address(21,27))+indirect(address(19,28))-indirect(address(20,28))</f>
        <v>0</v>
      </c>
      <c r="AC21">
        <f>indirect(address(21,28))+indirect(address(19,29))-indirect(address(20,29))</f>
        <v>0</v>
      </c>
      <c r="AD21">
        <f>indirect(address(21,29))+indirect(address(19,30))-indirect(address(20,30))</f>
        <v>0</v>
      </c>
      <c r="AE21">
        <f>indirect(address(21,30))+indirect(address(19,31))-indirect(address(20,31))</f>
        <v>0</v>
      </c>
      <c r="AF21">
        <f>indirect(address(21,31))+indirect(address(19,32))-indirect(address(20,32))</f>
        <v>0</v>
      </c>
      <c r="AG21">
        <f>indirect(address(21,32))+indirect(address(19,33))-indirect(address(20,33))</f>
        <v>0</v>
      </c>
      <c r="AH21">
        <f>indirect(address(21,33))+indirect(address(19,34))-indirect(address(20,34))</f>
        <v>0</v>
      </c>
      <c r="AI21">
        <f>indirect(address(21,34))+indirect(address(19,35))-indirect(address(20,35))</f>
        <v>0</v>
      </c>
      <c r="AJ21">
        <f>indirect(address(21,35))+indirect(address(19,36))-indirect(address(20,36))</f>
        <v>0</v>
      </c>
      <c r="AK21">
        <f>indirect(address(21,36))+indirect(address(19,37))-indirect(address(20,37))</f>
        <v>0</v>
      </c>
      <c r="AL21">
        <f>indirect(address(21,37))+indirect(address(19,38))-indirect(address(20,38))</f>
        <v>0</v>
      </c>
      <c r="AM21">
        <f>indirect(address(21,38))+indirect(address(19,39))-indirect(address(20,39))</f>
        <v>0</v>
      </c>
      <c r="AN21">
        <f>indirect(address(21,39))+indirect(address(19,40))-indirect(address(20,40))</f>
        <v>0</v>
      </c>
      <c r="AO21">
        <f>indirect(address(21,40))+indirect(address(19,41))-indirect(address(20,41))</f>
        <v>0</v>
      </c>
    </row>
    <row r="22" spans="1:41">
      <c r="I22" t="s">
        <v>14</v>
      </c>
      <c r="AO22">
        <f>sum(j22:an22)</f>
        <v>0</v>
      </c>
    </row>
    <row r="23" spans="1:41">
      <c r="I23" t="s">
        <v>15</v>
      </c>
      <c r="J23">
        <f>sumif(Plan!B:B,"827-071000-100",Plan!j:j)</f>
        <v>0</v>
      </c>
      <c r="K23">
        <f>sumif(Plan!B:B,"827-071000-100",Plan!k:k)</f>
        <v>0</v>
      </c>
      <c r="L23">
        <f>sumif(Plan!B:B,"827-071000-100",Plan!l:l)</f>
        <v>0</v>
      </c>
      <c r="M23">
        <f>sumif(Plan!B:B,"827-071000-100",Plan!m:m)</f>
        <v>0</v>
      </c>
      <c r="N23">
        <f>sumif(Plan!B:B,"827-071000-100",Plan!n:n)</f>
        <v>0</v>
      </c>
      <c r="O23">
        <f>sumif(Plan!B:B,"827-071000-100",Plan!o:o)</f>
        <v>0</v>
      </c>
      <c r="P23">
        <f>sumif(Plan!B:B,"827-071000-100",Plan!p:p)</f>
        <v>0</v>
      </c>
      <c r="Q23">
        <f>sumif(Plan!B:B,"827-071000-100",Plan!q:q)</f>
        <v>0</v>
      </c>
      <c r="R23">
        <f>sumif(Plan!B:B,"827-071000-100",Plan!r:r)</f>
        <v>0</v>
      </c>
      <c r="S23">
        <f>sumif(Plan!B:B,"827-071000-100",Plan!s:s)</f>
        <v>0</v>
      </c>
      <c r="T23">
        <f>sumif(Plan!B:B,"827-071000-100",Plan!t:t)</f>
        <v>0</v>
      </c>
      <c r="U23">
        <f>sumif(Plan!B:B,"827-071000-100",Plan!u:u)</f>
        <v>0</v>
      </c>
      <c r="V23">
        <f>sumif(Plan!B:B,"827-071000-100",Plan!v:v)</f>
        <v>0</v>
      </c>
      <c r="W23">
        <f>sumif(Plan!B:B,"827-071000-100",Plan!w:w)</f>
        <v>0</v>
      </c>
      <c r="X23">
        <f>sumif(Plan!B:B,"827-071000-100",Plan!x:x)</f>
        <v>0</v>
      </c>
      <c r="Y23">
        <f>sumif(Plan!B:B,"827-071000-100",Plan!y:y)</f>
        <v>0</v>
      </c>
      <c r="Z23">
        <f>sumif(Plan!B:B,"827-071000-100",Plan!z:z)</f>
        <v>0</v>
      </c>
      <c r="AA23">
        <f>sumif(Plan!B:B,"827-071000-100",Plan!aa:aa)</f>
        <v>0</v>
      </c>
      <c r="AB23">
        <f>sumif(Plan!B:B,"827-071000-100",Plan!ab:ab)</f>
        <v>0</v>
      </c>
      <c r="AC23">
        <f>sumif(Plan!B:B,"827-071000-100",Plan!ac:ac)</f>
        <v>0</v>
      </c>
      <c r="AD23">
        <f>sumif(Plan!B:B,"827-071000-100",Plan!ad:ad)</f>
        <v>0</v>
      </c>
      <c r="AE23">
        <f>sumif(Plan!B:B,"827-071000-100",Plan!ae:ae)</f>
        <v>0</v>
      </c>
      <c r="AF23">
        <f>sumif(Plan!B:B,"827-071000-100",Plan!af:af)</f>
        <v>0</v>
      </c>
      <c r="AG23">
        <f>sumif(Plan!B:B,"827-071000-100",Plan!ag:ag)</f>
        <v>0</v>
      </c>
      <c r="AH23">
        <f>sumif(Plan!B:B,"827-071000-100",Plan!ah:ah)</f>
        <v>0</v>
      </c>
      <c r="AI23">
        <f>sumif(Plan!B:B,"827-071000-100",Plan!ai:ai)</f>
        <v>0</v>
      </c>
      <c r="AJ23">
        <f>sumif(Plan!B:B,"827-071000-100",Plan!aj:aj)</f>
        <v>0</v>
      </c>
      <c r="AK23">
        <f>sumif(Plan!B:B,"827-071000-100",Plan!ak:ak)</f>
        <v>0</v>
      </c>
      <c r="AL23">
        <f>sumif(Plan!B:B,"827-071000-100",Plan!al:al)</f>
        <v>0</v>
      </c>
      <c r="AM23">
        <f>sumif(Plan!B:B,"827-071000-100",Plan!am:am)</f>
        <v>0</v>
      </c>
      <c r="AN23">
        <f>sumif(Plan!B:B,"827-071000-100",Plan!an:an)</f>
        <v>0</v>
      </c>
      <c r="AO23">
        <f>sumif(Plan!B:B,"827-071000-100",Plan!ao:ao)</f>
        <v>0</v>
      </c>
    </row>
    <row r="24" spans="1:41">
      <c r="A24" t="s">
        <v>17</v>
      </c>
      <c r="B24" t="s">
        <v>31</v>
      </c>
      <c r="C24" t="s">
        <v>32</v>
      </c>
      <c r="E24">
        <v>2</v>
      </c>
      <c r="F24" t="s">
        <v>13</v>
      </c>
      <c r="H24" t="s">
        <v>16</v>
      </c>
      <c r="J24">
        <f>indirect(address(24,9))+indirect(address(22,10))-indirect(address(23,10))</f>
        <v>0</v>
      </c>
      <c r="K24">
        <f>indirect(address(24,10))+indirect(address(22,11))-indirect(address(23,11))</f>
        <v>0</v>
      </c>
      <c r="L24">
        <f>indirect(address(24,11))+indirect(address(22,12))-indirect(address(23,12))</f>
        <v>0</v>
      </c>
      <c r="M24">
        <f>indirect(address(24,12))+indirect(address(22,13))-indirect(address(23,13))</f>
        <v>0</v>
      </c>
      <c r="N24">
        <f>indirect(address(24,13))+indirect(address(22,14))-indirect(address(23,14))</f>
        <v>0</v>
      </c>
      <c r="O24">
        <f>indirect(address(24,14))+indirect(address(22,15))-indirect(address(23,15))</f>
        <v>0</v>
      </c>
      <c r="P24">
        <f>indirect(address(24,15))+indirect(address(22,16))-indirect(address(23,16))</f>
        <v>0</v>
      </c>
      <c r="Q24">
        <f>indirect(address(24,16))+indirect(address(22,17))-indirect(address(23,17))</f>
        <v>0</v>
      </c>
      <c r="R24">
        <f>indirect(address(24,17))+indirect(address(22,18))-indirect(address(23,18))</f>
        <v>0</v>
      </c>
      <c r="S24">
        <f>indirect(address(24,18))+indirect(address(22,19))-indirect(address(23,19))</f>
        <v>0</v>
      </c>
      <c r="T24">
        <f>indirect(address(24,19))+indirect(address(22,20))-indirect(address(23,20))</f>
        <v>0</v>
      </c>
      <c r="U24">
        <f>indirect(address(24,20))+indirect(address(22,21))-indirect(address(23,21))</f>
        <v>0</v>
      </c>
      <c r="V24">
        <f>indirect(address(24,21))+indirect(address(22,22))-indirect(address(23,22))</f>
        <v>0</v>
      </c>
      <c r="W24">
        <f>indirect(address(24,22))+indirect(address(22,23))-indirect(address(23,23))</f>
        <v>0</v>
      </c>
      <c r="X24">
        <f>indirect(address(24,23))+indirect(address(22,24))-indirect(address(23,24))</f>
        <v>0</v>
      </c>
      <c r="Y24">
        <f>indirect(address(24,24))+indirect(address(22,25))-indirect(address(23,25))</f>
        <v>0</v>
      </c>
      <c r="Z24">
        <f>indirect(address(24,25))+indirect(address(22,26))-indirect(address(23,26))</f>
        <v>0</v>
      </c>
      <c r="AA24">
        <f>indirect(address(24,26))+indirect(address(22,27))-indirect(address(23,27))</f>
        <v>0</v>
      </c>
      <c r="AB24">
        <f>indirect(address(24,27))+indirect(address(22,28))-indirect(address(23,28))</f>
        <v>0</v>
      </c>
      <c r="AC24">
        <f>indirect(address(24,28))+indirect(address(22,29))-indirect(address(23,29))</f>
        <v>0</v>
      </c>
      <c r="AD24">
        <f>indirect(address(24,29))+indirect(address(22,30))-indirect(address(23,30))</f>
        <v>0</v>
      </c>
      <c r="AE24">
        <f>indirect(address(24,30))+indirect(address(22,31))-indirect(address(23,31))</f>
        <v>0</v>
      </c>
      <c r="AF24">
        <f>indirect(address(24,31))+indirect(address(22,32))-indirect(address(23,32))</f>
        <v>0</v>
      </c>
      <c r="AG24">
        <f>indirect(address(24,32))+indirect(address(22,33))-indirect(address(23,33))</f>
        <v>0</v>
      </c>
      <c r="AH24">
        <f>indirect(address(24,33))+indirect(address(22,34))-indirect(address(23,34))</f>
        <v>0</v>
      </c>
      <c r="AI24">
        <f>indirect(address(24,34))+indirect(address(22,35))-indirect(address(23,35))</f>
        <v>0</v>
      </c>
      <c r="AJ24">
        <f>indirect(address(24,35))+indirect(address(22,36))-indirect(address(23,36))</f>
        <v>0</v>
      </c>
      <c r="AK24">
        <f>indirect(address(24,36))+indirect(address(22,37))-indirect(address(23,37))</f>
        <v>0</v>
      </c>
      <c r="AL24">
        <f>indirect(address(24,37))+indirect(address(22,38))-indirect(address(23,38))</f>
        <v>0</v>
      </c>
      <c r="AM24">
        <f>indirect(address(24,38))+indirect(address(22,39))-indirect(address(23,39))</f>
        <v>0</v>
      </c>
      <c r="AN24">
        <f>indirect(address(24,39))+indirect(address(22,40))-indirect(address(23,40))</f>
        <v>0</v>
      </c>
      <c r="AO24">
        <f>indirect(address(24,40))+indirect(address(22,41))-indirect(address(23,41))</f>
        <v>0</v>
      </c>
    </row>
    <row r="25" spans="1:41">
      <c r="I25" t="s">
        <v>14</v>
      </c>
      <c r="AO25">
        <f>sum(j25:an25)</f>
        <v>0</v>
      </c>
    </row>
    <row r="26" spans="1:41">
      <c r="I26" t="s">
        <v>15</v>
      </c>
      <c r="J26">
        <f>sumif(Plan!B:B,"263-000000-013",Plan!j:j)</f>
        <v>0</v>
      </c>
      <c r="K26">
        <f>sumif(Plan!B:B,"263-000000-013",Plan!k:k)</f>
        <v>0</v>
      </c>
      <c r="L26">
        <f>sumif(Plan!B:B,"263-000000-013",Plan!l:l)</f>
        <v>0</v>
      </c>
      <c r="M26">
        <f>sumif(Plan!B:B,"263-000000-013",Plan!m:m)</f>
        <v>0</v>
      </c>
      <c r="N26">
        <f>sumif(Plan!B:B,"263-000000-013",Plan!n:n)</f>
        <v>0</v>
      </c>
      <c r="O26">
        <f>sumif(Plan!B:B,"263-000000-013",Plan!o:o)</f>
        <v>0</v>
      </c>
      <c r="P26">
        <f>sumif(Plan!B:B,"263-000000-013",Plan!p:p)</f>
        <v>0</v>
      </c>
      <c r="Q26">
        <f>sumif(Plan!B:B,"263-000000-013",Plan!q:q)</f>
        <v>0</v>
      </c>
      <c r="R26">
        <f>sumif(Plan!B:B,"263-000000-013",Plan!r:r)</f>
        <v>0</v>
      </c>
      <c r="S26">
        <f>sumif(Plan!B:B,"263-000000-013",Plan!s:s)</f>
        <v>0</v>
      </c>
      <c r="T26">
        <f>sumif(Plan!B:B,"263-000000-013",Plan!t:t)</f>
        <v>0</v>
      </c>
      <c r="U26">
        <f>sumif(Plan!B:B,"263-000000-013",Plan!u:u)</f>
        <v>0</v>
      </c>
      <c r="V26">
        <f>sumif(Plan!B:B,"263-000000-013",Plan!v:v)</f>
        <v>0</v>
      </c>
      <c r="W26">
        <f>sumif(Plan!B:B,"263-000000-013",Plan!w:w)</f>
        <v>0</v>
      </c>
      <c r="X26">
        <f>sumif(Plan!B:B,"263-000000-013",Plan!x:x)</f>
        <v>0</v>
      </c>
      <c r="Y26">
        <f>sumif(Plan!B:B,"263-000000-013",Plan!y:y)</f>
        <v>0</v>
      </c>
      <c r="Z26">
        <f>sumif(Plan!B:B,"263-000000-013",Plan!z:z)</f>
        <v>0</v>
      </c>
      <c r="AA26">
        <f>sumif(Plan!B:B,"263-000000-013",Plan!aa:aa)</f>
        <v>0</v>
      </c>
      <c r="AB26">
        <f>sumif(Plan!B:B,"263-000000-013",Plan!ab:ab)</f>
        <v>0</v>
      </c>
      <c r="AC26">
        <f>sumif(Plan!B:B,"263-000000-013",Plan!ac:ac)</f>
        <v>0</v>
      </c>
      <c r="AD26">
        <f>sumif(Plan!B:B,"263-000000-013",Plan!ad:ad)</f>
        <v>0</v>
      </c>
      <c r="AE26">
        <f>sumif(Plan!B:B,"263-000000-013",Plan!ae:ae)</f>
        <v>0</v>
      </c>
      <c r="AF26">
        <f>sumif(Plan!B:B,"263-000000-013",Plan!af:af)</f>
        <v>0</v>
      </c>
      <c r="AG26">
        <f>sumif(Plan!B:B,"263-000000-013",Plan!ag:ag)</f>
        <v>0</v>
      </c>
      <c r="AH26">
        <f>sumif(Plan!B:B,"263-000000-013",Plan!ah:ah)</f>
        <v>0</v>
      </c>
      <c r="AI26">
        <f>sumif(Plan!B:B,"263-000000-013",Plan!ai:ai)</f>
        <v>0</v>
      </c>
      <c r="AJ26">
        <f>sumif(Plan!B:B,"263-000000-013",Plan!aj:aj)</f>
        <v>0</v>
      </c>
      <c r="AK26">
        <f>sumif(Plan!B:B,"263-000000-013",Plan!ak:ak)</f>
        <v>0</v>
      </c>
      <c r="AL26">
        <f>sumif(Plan!B:B,"263-000000-013",Plan!al:al)</f>
        <v>0</v>
      </c>
      <c r="AM26">
        <f>sumif(Plan!B:B,"263-000000-013",Plan!am:am)</f>
        <v>0</v>
      </c>
      <c r="AN26">
        <f>sumif(Plan!B:B,"263-000000-013",Plan!an:an)</f>
        <v>0</v>
      </c>
      <c r="AO26">
        <f>sumif(Plan!B:B,"263-000000-013",Plan!ao:ao)</f>
        <v>0</v>
      </c>
    </row>
    <row r="27" spans="1:41">
      <c r="A27" t="s">
        <v>22</v>
      </c>
      <c r="B27" t="s">
        <v>33</v>
      </c>
      <c r="C27" t="s">
        <v>34</v>
      </c>
      <c r="E27">
        <v>2</v>
      </c>
      <c r="F27" t="s">
        <v>13</v>
      </c>
      <c r="H27" t="s">
        <v>16</v>
      </c>
      <c r="J27">
        <f>indirect(address(27,9))+indirect(address(25,10))-indirect(address(26,10))</f>
        <v>0</v>
      </c>
      <c r="K27">
        <f>indirect(address(27,10))+indirect(address(25,11))-indirect(address(26,11))</f>
        <v>0</v>
      </c>
      <c r="L27">
        <f>indirect(address(27,11))+indirect(address(25,12))-indirect(address(26,12))</f>
        <v>0</v>
      </c>
      <c r="M27">
        <f>indirect(address(27,12))+indirect(address(25,13))-indirect(address(26,13))</f>
        <v>0</v>
      </c>
      <c r="N27">
        <f>indirect(address(27,13))+indirect(address(25,14))-indirect(address(26,14))</f>
        <v>0</v>
      </c>
      <c r="O27">
        <f>indirect(address(27,14))+indirect(address(25,15))-indirect(address(26,15))</f>
        <v>0</v>
      </c>
      <c r="P27">
        <f>indirect(address(27,15))+indirect(address(25,16))-indirect(address(26,16))</f>
        <v>0</v>
      </c>
      <c r="Q27">
        <f>indirect(address(27,16))+indirect(address(25,17))-indirect(address(26,17))</f>
        <v>0</v>
      </c>
      <c r="R27">
        <f>indirect(address(27,17))+indirect(address(25,18))-indirect(address(26,18))</f>
        <v>0</v>
      </c>
      <c r="S27">
        <f>indirect(address(27,18))+indirect(address(25,19))-indirect(address(26,19))</f>
        <v>0</v>
      </c>
      <c r="T27">
        <f>indirect(address(27,19))+indirect(address(25,20))-indirect(address(26,20))</f>
        <v>0</v>
      </c>
      <c r="U27">
        <f>indirect(address(27,20))+indirect(address(25,21))-indirect(address(26,21))</f>
        <v>0</v>
      </c>
      <c r="V27">
        <f>indirect(address(27,21))+indirect(address(25,22))-indirect(address(26,22))</f>
        <v>0</v>
      </c>
      <c r="W27">
        <f>indirect(address(27,22))+indirect(address(25,23))-indirect(address(26,23))</f>
        <v>0</v>
      </c>
      <c r="X27">
        <f>indirect(address(27,23))+indirect(address(25,24))-indirect(address(26,24))</f>
        <v>0</v>
      </c>
      <c r="Y27">
        <f>indirect(address(27,24))+indirect(address(25,25))-indirect(address(26,25))</f>
        <v>0</v>
      </c>
      <c r="Z27">
        <f>indirect(address(27,25))+indirect(address(25,26))-indirect(address(26,26))</f>
        <v>0</v>
      </c>
      <c r="AA27">
        <f>indirect(address(27,26))+indirect(address(25,27))-indirect(address(26,27))</f>
        <v>0</v>
      </c>
      <c r="AB27">
        <f>indirect(address(27,27))+indirect(address(25,28))-indirect(address(26,28))</f>
        <v>0</v>
      </c>
      <c r="AC27">
        <f>indirect(address(27,28))+indirect(address(25,29))-indirect(address(26,29))</f>
        <v>0</v>
      </c>
      <c r="AD27">
        <f>indirect(address(27,29))+indirect(address(25,30))-indirect(address(26,30))</f>
        <v>0</v>
      </c>
      <c r="AE27">
        <f>indirect(address(27,30))+indirect(address(25,31))-indirect(address(26,31))</f>
        <v>0</v>
      </c>
      <c r="AF27">
        <f>indirect(address(27,31))+indirect(address(25,32))-indirect(address(26,32))</f>
        <v>0</v>
      </c>
      <c r="AG27">
        <f>indirect(address(27,32))+indirect(address(25,33))-indirect(address(26,33))</f>
        <v>0</v>
      </c>
      <c r="AH27">
        <f>indirect(address(27,33))+indirect(address(25,34))-indirect(address(26,34))</f>
        <v>0</v>
      </c>
      <c r="AI27">
        <f>indirect(address(27,34))+indirect(address(25,35))-indirect(address(26,35))</f>
        <v>0</v>
      </c>
      <c r="AJ27">
        <f>indirect(address(27,35))+indirect(address(25,36))-indirect(address(26,36))</f>
        <v>0</v>
      </c>
      <c r="AK27">
        <f>indirect(address(27,36))+indirect(address(25,37))-indirect(address(26,37))</f>
        <v>0</v>
      </c>
      <c r="AL27">
        <f>indirect(address(27,37))+indirect(address(25,38))-indirect(address(26,38))</f>
        <v>0</v>
      </c>
      <c r="AM27">
        <f>indirect(address(27,38))+indirect(address(25,39))-indirect(address(26,39))</f>
        <v>0</v>
      </c>
      <c r="AN27">
        <f>indirect(address(27,39))+indirect(address(25,40))-indirect(address(26,40))</f>
        <v>0</v>
      </c>
      <c r="AO27">
        <f>indirect(address(27,40))+indirect(address(25,41))-indirect(address(26,41))</f>
        <v>0</v>
      </c>
    </row>
    <row r="28" spans="1:41">
      <c r="I28" t="s">
        <v>14</v>
      </c>
      <c r="AO28">
        <f>sum(j28:an28)</f>
        <v>0</v>
      </c>
    </row>
    <row r="29" spans="1:41">
      <c r="I29" t="s">
        <v>15</v>
      </c>
      <c r="J29">
        <f>sumif(Plan!B:B,"263-000000-029",Plan!j:j)</f>
        <v>0</v>
      </c>
      <c r="K29">
        <f>sumif(Plan!B:B,"263-000000-029",Plan!k:k)</f>
        <v>0</v>
      </c>
      <c r="L29">
        <f>sumif(Plan!B:B,"263-000000-029",Plan!l:l)</f>
        <v>0</v>
      </c>
      <c r="M29">
        <f>sumif(Plan!B:B,"263-000000-029",Plan!m:m)</f>
        <v>0</v>
      </c>
      <c r="N29">
        <f>sumif(Plan!B:B,"263-000000-029",Plan!n:n)</f>
        <v>0</v>
      </c>
      <c r="O29">
        <f>sumif(Plan!B:B,"263-000000-029",Plan!o:o)</f>
        <v>0</v>
      </c>
      <c r="P29">
        <f>sumif(Plan!B:B,"263-000000-029",Plan!p:p)</f>
        <v>0</v>
      </c>
      <c r="Q29">
        <f>sumif(Plan!B:B,"263-000000-029",Plan!q:q)</f>
        <v>0</v>
      </c>
      <c r="R29">
        <f>sumif(Plan!B:B,"263-000000-029",Plan!r:r)</f>
        <v>0</v>
      </c>
      <c r="S29">
        <f>sumif(Plan!B:B,"263-000000-029",Plan!s:s)</f>
        <v>0</v>
      </c>
      <c r="T29">
        <f>sumif(Plan!B:B,"263-000000-029",Plan!t:t)</f>
        <v>0</v>
      </c>
      <c r="U29">
        <f>sumif(Plan!B:B,"263-000000-029",Plan!u:u)</f>
        <v>0</v>
      </c>
      <c r="V29">
        <f>sumif(Plan!B:B,"263-000000-029",Plan!v:v)</f>
        <v>0</v>
      </c>
      <c r="W29">
        <f>sumif(Plan!B:B,"263-000000-029",Plan!w:w)</f>
        <v>0</v>
      </c>
      <c r="X29">
        <f>sumif(Plan!B:B,"263-000000-029",Plan!x:x)</f>
        <v>0</v>
      </c>
      <c r="Y29">
        <f>sumif(Plan!B:B,"263-000000-029",Plan!y:y)</f>
        <v>0</v>
      </c>
      <c r="Z29">
        <f>sumif(Plan!B:B,"263-000000-029",Plan!z:z)</f>
        <v>0</v>
      </c>
      <c r="AA29">
        <f>sumif(Plan!B:B,"263-000000-029",Plan!aa:aa)</f>
        <v>0</v>
      </c>
      <c r="AB29">
        <f>sumif(Plan!B:B,"263-000000-029",Plan!ab:ab)</f>
        <v>0</v>
      </c>
      <c r="AC29">
        <f>sumif(Plan!B:B,"263-000000-029",Plan!ac:ac)</f>
        <v>0</v>
      </c>
      <c r="AD29">
        <f>sumif(Plan!B:B,"263-000000-029",Plan!ad:ad)</f>
        <v>0</v>
      </c>
      <c r="AE29">
        <f>sumif(Plan!B:B,"263-000000-029",Plan!ae:ae)</f>
        <v>0</v>
      </c>
      <c r="AF29">
        <f>sumif(Plan!B:B,"263-000000-029",Plan!af:af)</f>
        <v>0</v>
      </c>
      <c r="AG29">
        <f>sumif(Plan!B:B,"263-000000-029",Plan!ag:ag)</f>
        <v>0</v>
      </c>
      <c r="AH29">
        <f>sumif(Plan!B:B,"263-000000-029",Plan!ah:ah)</f>
        <v>0</v>
      </c>
      <c r="AI29">
        <f>sumif(Plan!B:B,"263-000000-029",Plan!ai:ai)</f>
        <v>0</v>
      </c>
      <c r="AJ29">
        <f>sumif(Plan!B:B,"263-000000-029",Plan!aj:aj)</f>
        <v>0</v>
      </c>
      <c r="AK29">
        <f>sumif(Plan!B:B,"263-000000-029",Plan!ak:ak)</f>
        <v>0</v>
      </c>
      <c r="AL29">
        <f>sumif(Plan!B:B,"263-000000-029",Plan!al:al)</f>
        <v>0</v>
      </c>
      <c r="AM29">
        <f>sumif(Plan!B:B,"263-000000-029",Plan!am:am)</f>
        <v>0</v>
      </c>
      <c r="AN29">
        <f>sumif(Plan!B:B,"263-000000-029",Plan!an:an)</f>
        <v>0</v>
      </c>
      <c r="AO29">
        <f>sumif(Plan!B:B,"263-000000-029",Plan!ao:ao)</f>
        <v>0</v>
      </c>
    </row>
    <row r="30" spans="1:41">
      <c r="A30" t="s">
        <v>22</v>
      </c>
      <c r="B30" t="s">
        <v>35</v>
      </c>
      <c r="C30" t="s">
        <v>36</v>
      </c>
      <c r="E30">
        <v>2</v>
      </c>
      <c r="F30" t="s">
        <v>13</v>
      </c>
      <c r="H30" t="s">
        <v>16</v>
      </c>
      <c r="J30">
        <f>indirect(address(30,9))+indirect(address(28,10))-indirect(address(29,10))</f>
        <v>0</v>
      </c>
      <c r="K30">
        <f>indirect(address(30,10))+indirect(address(28,11))-indirect(address(29,11))</f>
        <v>0</v>
      </c>
      <c r="L30">
        <f>indirect(address(30,11))+indirect(address(28,12))-indirect(address(29,12))</f>
        <v>0</v>
      </c>
      <c r="M30">
        <f>indirect(address(30,12))+indirect(address(28,13))-indirect(address(29,13))</f>
        <v>0</v>
      </c>
      <c r="N30">
        <f>indirect(address(30,13))+indirect(address(28,14))-indirect(address(29,14))</f>
        <v>0</v>
      </c>
      <c r="O30">
        <f>indirect(address(30,14))+indirect(address(28,15))-indirect(address(29,15))</f>
        <v>0</v>
      </c>
      <c r="P30">
        <f>indirect(address(30,15))+indirect(address(28,16))-indirect(address(29,16))</f>
        <v>0</v>
      </c>
      <c r="Q30">
        <f>indirect(address(30,16))+indirect(address(28,17))-indirect(address(29,17))</f>
        <v>0</v>
      </c>
      <c r="R30">
        <f>indirect(address(30,17))+indirect(address(28,18))-indirect(address(29,18))</f>
        <v>0</v>
      </c>
      <c r="S30">
        <f>indirect(address(30,18))+indirect(address(28,19))-indirect(address(29,19))</f>
        <v>0</v>
      </c>
      <c r="T30">
        <f>indirect(address(30,19))+indirect(address(28,20))-indirect(address(29,20))</f>
        <v>0</v>
      </c>
      <c r="U30">
        <f>indirect(address(30,20))+indirect(address(28,21))-indirect(address(29,21))</f>
        <v>0</v>
      </c>
      <c r="V30">
        <f>indirect(address(30,21))+indirect(address(28,22))-indirect(address(29,22))</f>
        <v>0</v>
      </c>
      <c r="W30">
        <f>indirect(address(30,22))+indirect(address(28,23))-indirect(address(29,23))</f>
        <v>0</v>
      </c>
      <c r="X30">
        <f>indirect(address(30,23))+indirect(address(28,24))-indirect(address(29,24))</f>
        <v>0</v>
      </c>
      <c r="Y30">
        <f>indirect(address(30,24))+indirect(address(28,25))-indirect(address(29,25))</f>
        <v>0</v>
      </c>
      <c r="Z30">
        <f>indirect(address(30,25))+indirect(address(28,26))-indirect(address(29,26))</f>
        <v>0</v>
      </c>
      <c r="AA30">
        <f>indirect(address(30,26))+indirect(address(28,27))-indirect(address(29,27))</f>
        <v>0</v>
      </c>
      <c r="AB30">
        <f>indirect(address(30,27))+indirect(address(28,28))-indirect(address(29,28))</f>
        <v>0</v>
      </c>
      <c r="AC30">
        <f>indirect(address(30,28))+indirect(address(28,29))-indirect(address(29,29))</f>
        <v>0</v>
      </c>
      <c r="AD30">
        <f>indirect(address(30,29))+indirect(address(28,30))-indirect(address(29,30))</f>
        <v>0</v>
      </c>
      <c r="AE30">
        <f>indirect(address(30,30))+indirect(address(28,31))-indirect(address(29,31))</f>
        <v>0</v>
      </c>
      <c r="AF30">
        <f>indirect(address(30,31))+indirect(address(28,32))-indirect(address(29,32))</f>
        <v>0</v>
      </c>
      <c r="AG30">
        <f>indirect(address(30,32))+indirect(address(28,33))-indirect(address(29,33))</f>
        <v>0</v>
      </c>
      <c r="AH30">
        <f>indirect(address(30,33))+indirect(address(28,34))-indirect(address(29,34))</f>
        <v>0</v>
      </c>
      <c r="AI30">
        <f>indirect(address(30,34))+indirect(address(28,35))-indirect(address(29,35))</f>
        <v>0</v>
      </c>
      <c r="AJ30">
        <f>indirect(address(30,35))+indirect(address(28,36))-indirect(address(29,36))</f>
        <v>0</v>
      </c>
      <c r="AK30">
        <f>indirect(address(30,36))+indirect(address(28,37))-indirect(address(29,37))</f>
        <v>0</v>
      </c>
      <c r="AL30">
        <f>indirect(address(30,37))+indirect(address(28,38))-indirect(address(29,38))</f>
        <v>0</v>
      </c>
      <c r="AM30">
        <f>indirect(address(30,38))+indirect(address(28,39))-indirect(address(29,39))</f>
        <v>0</v>
      </c>
      <c r="AN30">
        <f>indirect(address(30,39))+indirect(address(28,40))-indirect(address(29,40))</f>
        <v>0</v>
      </c>
      <c r="AO30">
        <f>indirect(address(30,40))+indirect(address(28,41))-indirect(address(29,41))</f>
        <v>0</v>
      </c>
    </row>
    <row r="31" spans="1:41">
      <c r="I31" t="s">
        <v>14</v>
      </c>
      <c r="AO31">
        <f>sum(j31:an31)</f>
        <v>0</v>
      </c>
    </row>
    <row r="32" spans="1:41">
      <c r="I32" t="s">
        <v>15</v>
      </c>
      <c r="J32">
        <f>sumif(Plan!B:B,"262-000000-086",Plan!j:j)</f>
        <v>0</v>
      </c>
      <c r="K32">
        <f>sumif(Plan!B:B,"262-000000-086",Plan!k:k)</f>
        <v>0</v>
      </c>
      <c r="L32">
        <f>sumif(Plan!B:B,"262-000000-086",Plan!l:l)</f>
        <v>0</v>
      </c>
      <c r="M32">
        <f>sumif(Plan!B:B,"262-000000-086",Plan!m:m)</f>
        <v>0</v>
      </c>
      <c r="N32">
        <f>sumif(Plan!B:B,"262-000000-086",Plan!n:n)</f>
        <v>0</v>
      </c>
      <c r="O32">
        <f>sumif(Plan!B:B,"262-000000-086",Plan!o:o)</f>
        <v>0</v>
      </c>
      <c r="P32">
        <f>sumif(Plan!B:B,"262-000000-086",Plan!p:p)</f>
        <v>0</v>
      </c>
      <c r="Q32">
        <f>sumif(Plan!B:B,"262-000000-086",Plan!q:q)</f>
        <v>0</v>
      </c>
      <c r="R32">
        <f>sumif(Plan!B:B,"262-000000-086",Plan!r:r)</f>
        <v>0</v>
      </c>
      <c r="S32">
        <f>sumif(Plan!B:B,"262-000000-086",Plan!s:s)</f>
        <v>0</v>
      </c>
      <c r="T32">
        <f>sumif(Plan!B:B,"262-000000-086",Plan!t:t)</f>
        <v>0</v>
      </c>
      <c r="U32">
        <f>sumif(Plan!B:B,"262-000000-086",Plan!u:u)</f>
        <v>0</v>
      </c>
      <c r="V32">
        <f>sumif(Plan!B:B,"262-000000-086",Plan!v:v)</f>
        <v>0</v>
      </c>
      <c r="W32">
        <f>sumif(Plan!B:B,"262-000000-086",Plan!w:w)</f>
        <v>0</v>
      </c>
      <c r="X32">
        <f>sumif(Plan!B:B,"262-000000-086",Plan!x:x)</f>
        <v>0</v>
      </c>
      <c r="Y32">
        <f>sumif(Plan!B:B,"262-000000-086",Plan!y:y)</f>
        <v>0</v>
      </c>
      <c r="Z32">
        <f>sumif(Plan!B:B,"262-000000-086",Plan!z:z)</f>
        <v>0</v>
      </c>
      <c r="AA32">
        <f>sumif(Plan!B:B,"262-000000-086",Plan!aa:aa)</f>
        <v>0</v>
      </c>
      <c r="AB32">
        <f>sumif(Plan!B:B,"262-000000-086",Plan!ab:ab)</f>
        <v>0</v>
      </c>
      <c r="AC32">
        <f>sumif(Plan!B:B,"262-000000-086",Plan!ac:ac)</f>
        <v>0</v>
      </c>
      <c r="AD32">
        <f>sumif(Plan!B:B,"262-000000-086",Plan!ad:ad)</f>
        <v>0</v>
      </c>
      <c r="AE32">
        <f>sumif(Plan!B:B,"262-000000-086",Plan!ae:ae)</f>
        <v>0</v>
      </c>
      <c r="AF32">
        <f>sumif(Plan!B:B,"262-000000-086",Plan!af:af)</f>
        <v>0</v>
      </c>
      <c r="AG32">
        <f>sumif(Plan!B:B,"262-000000-086",Plan!ag:ag)</f>
        <v>0</v>
      </c>
      <c r="AH32">
        <f>sumif(Plan!B:B,"262-000000-086",Plan!ah:ah)</f>
        <v>0</v>
      </c>
      <c r="AI32">
        <f>sumif(Plan!B:B,"262-000000-086",Plan!ai:ai)</f>
        <v>0</v>
      </c>
      <c r="AJ32">
        <f>sumif(Plan!B:B,"262-000000-086",Plan!aj:aj)</f>
        <v>0</v>
      </c>
      <c r="AK32">
        <f>sumif(Plan!B:B,"262-000000-086",Plan!ak:ak)</f>
        <v>0</v>
      </c>
      <c r="AL32">
        <f>sumif(Plan!B:B,"262-000000-086",Plan!al:al)</f>
        <v>0</v>
      </c>
      <c r="AM32">
        <f>sumif(Plan!B:B,"262-000000-086",Plan!am:am)</f>
        <v>0</v>
      </c>
      <c r="AN32">
        <f>sumif(Plan!B:B,"262-000000-086",Plan!an:an)</f>
        <v>0</v>
      </c>
      <c r="AO32">
        <f>sumif(Plan!B:B,"262-000000-086",Plan!ao:ao)</f>
        <v>0</v>
      </c>
    </row>
    <row r="33" spans="1:41">
      <c r="A33" t="s">
        <v>22</v>
      </c>
      <c r="B33" t="s">
        <v>37</v>
      </c>
      <c r="C33" t="s">
        <v>38</v>
      </c>
      <c r="E33">
        <v>1</v>
      </c>
      <c r="F33" t="s">
        <v>13</v>
      </c>
      <c r="H33" t="s">
        <v>16</v>
      </c>
      <c r="J33">
        <f>indirect(address(33,9))+indirect(address(31,10))-indirect(address(32,10))</f>
        <v>0</v>
      </c>
      <c r="K33">
        <f>indirect(address(33,10))+indirect(address(31,11))-indirect(address(32,11))</f>
        <v>0</v>
      </c>
      <c r="L33">
        <f>indirect(address(33,11))+indirect(address(31,12))-indirect(address(32,12))</f>
        <v>0</v>
      </c>
      <c r="M33">
        <f>indirect(address(33,12))+indirect(address(31,13))-indirect(address(32,13))</f>
        <v>0</v>
      </c>
      <c r="N33">
        <f>indirect(address(33,13))+indirect(address(31,14))-indirect(address(32,14))</f>
        <v>0</v>
      </c>
      <c r="O33">
        <f>indirect(address(33,14))+indirect(address(31,15))-indirect(address(32,15))</f>
        <v>0</v>
      </c>
      <c r="P33">
        <f>indirect(address(33,15))+indirect(address(31,16))-indirect(address(32,16))</f>
        <v>0</v>
      </c>
      <c r="Q33">
        <f>indirect(address(33,16))+indirect(address(31,17))-indirect(address(32,17))</f>
        <v>0</v>
      </c>
      <c r="R33">
        <f>indirect(address(33,17))+indirect(address(31,18))-indirect(address(32,18))</f>
        <v>0</v>
      </c>
      <c r="S33">
        <f>indirect(address(33,18))+indirect(address(31,19))-indirect(address(32,19))</f>
        <v>0</v>
      </c>
      <c r="T33">
        <f>indirect(address(33,19))+indirect(address(31,20))-indirect(address(32,20))</f>
        <v>0</v>
      </c>
      <c r="U33">
        <f>indirect(address(33,20))+indirect(address(31,21))-indirect(address(32,21))</f>
        <v>0</v>
      </c>
      <c r="V33">
        <f>indirect(address(33,21))+indirect(address(31,22))-indirect(address(32,22))</f>
        <v>0</v>
      </c>
      <c r="W33">
        <f>indirect(address(33,22))+indirect(address(31,23))-indirect(address(32,23))</f>
        <v>0</v>
      </c>
      <c r="X33">
        <f>indirect(address(33,23))+indirect(address(31,24))-indirect(address(32,24))</f>
        <v>0</v>
      </c>
      <c r="Y33">
        <f>indirect(address(33,24))+indirect(address(31,25))-indirect(address(32,25))</f>
        <v>0</v>
      </c>
      <c r="Z33">
        <f>indirect(address(33,25))+indirect(address(31,26))-indirect(address(32,26))</f>
        <v>0</v>
      </c>
      <c r="AA33">
        <f>indirect(address(33,26))+indirect(address(31,27))-indirect(address(32,27))</f>
        <v>0</v>
      </c>
      <c r="AB33">
        <f>indirect(address(33,27))+indirect(address(31,28))-indirect(address(32,28))</f>
        <v>0</v>
      </c>
      <c r="AC33">
        <f>indirect(address(33,28))+indirect(address(31,29))-indirect(address(32,29))</f>
        <v>0</v>
      </c>
      <c r="AD33">
        <f>indirect(address(33,29))+indirect(address(31,30))-indirect(address(32,30))</f>
        <v>0</v>
      </c>
      <c r="AE33">
        <f>indirect(address(33,30))+indirect(address(31,31))-indirect(address(32,31))</f>
        <v>0</v>
      </c>
      <c r="AF33">
        <f>indirect(address(33,31))+indirect(address(31,32))-indirect(address(32,32))</f>
        <v>0</v>
      </c>
      <c r="AG33">
        <f>indirect(address(33,32))+indirect(address(31,33))-indirect(address(32,33))</f>
        <v>0</v>
      </c>
      <c r="AH33">
        <f>indirect(address(33,33))+indirect(address(31,34))-indirect(address(32,34))</f>
        <v>0</v>
      </c>
      <c r="AI33">
        <f>indirect(address(33,34))+indirect(address(31,35))-indirect(address(32,35))</f>
        <v>0</v>
      </c>
      <c r="AJ33">
        <f>indirect(address(33,35))+indirect(address(31,36))-indirect(address(32,36))</f>
        <v>0</v>
      </c>
      <c r="AK33">
        <f>indirect(address(33,36))+indirect(address(31,37))-indirect(address(32,37))</f>
        <v>0</v>
      </c>
      <c r="AL33">
        <f>indirect(address(33,37))+indirect(address(31,38))-indirect(address(32,38))</f>
        <v>0</v>
      </c>
      <c r="AM33">
        <f>indirect(address(33,38))+indirect(address(31,39))-indirect(address(32,39))</f>
        <v>0</v>
      </c>
      <c r="AN33">
        <f>indirect(address(33,39))+indirect(address(31,40))-indirect(address(32,40))</f>
        <v>0</v>
      </c>
      <c r="AO33">
        <f>indirect(address(33,40))+indirect(address(31,41))-indirect(address(32,41))</f>
        <v>0</v>
      </c>
    </row>
    <row r="34" spans="1:41">
      <c r="I34" t="s">
        <v>14</v>
      </c>
      <c r="AO34">
        <f>sum(j34:an34)</f>
        <v>0</v>
      </c>
    </row>
    <row r="35" spans="1:41">
      <c r="I35" t="s">
        <v>15</v>
      </c>
      <c r="J35">
        <f>sumif(Plan!B:B,"262-000000-087",Plan!j:j)</f>
        <v>0</v>
      </c>
      <c r="K35">
        <f>sumif(Plan!B:B,"262-000000-087",Plan!k:k)</f>
        <v>0</v>
      </c>
      <c r="L35">
        <f>sumif(Plan!B:B,"262-000000-087",Plan!l:l)</f>
        <v>0</v>
      </c>
      <c r="M35">
        <f>sumif(Plan!B:B,"262-000000-087",Plan!m:m)</f>
        <v>0</v>
      </c>
      <c r="N35">
        <f>sumif(Plan!B:B,"262-000000-087",Plan!n:n)</f>
        <v>0</v>
      </c>
      <c r="O35">
        <f>sumif(Plan!B:B,"262-000000-087",Plan!o:o)</f>
        <v>0</v>
      </c>
      <c r="P35">
        <f>sumif(Plan!B:B,"262-000000-087",Plan!p:p)</f>
        <v>0</v>
      </c>
      <c r="Q35">
        <f>sumif(Plan!B:B,"262-000000-087",Plan!q:q)</f>
        <v>0</v>
      </c>
      <c r="R35">
        <f>sumif(Plan!B:B,"262-000000-087",Plan!r:r)</f>
        <v>0</v>
      </c>
      <c r="S35">
        <f>sumif(Plan!B:B,"262-000000-087",Plan!s:s)</f>
        <v>0</v>
      </c>
      <c r="T35">
        <f>sumif(Plan!B:B,"262-000000-087",Plan!t:t)</f>
        <v>0</v>
      </c>
      <c r="U35">
        <f>sumif(Plan!B:B,"262-000000-087",Plan!u:u)</f>
        <v>0</v>
      </c>
      <c r="V35">
        <f>sumif(Plan!B:B,"262-000000-087",Plan!v:v)</f>
        <v>0</v>
      </c>
      <c r="W35">
        <f>sumif(Plan!B:B,"262-000000-087",Plan!w:w)</f>
        <v>0</v>
      </c>
      <c r="X35">
        <f>sumif(Plan!B:B,"262-000000-087",Plan!x:x)</f>
        <v>0</v>
      </c>
      <c r="Y35">
        <f>sumif(Plan!B:B,"262-000000-087",Plan!y:y)</f>
        <v>0</v>
      </c>
      <c r="Z35">
        <f>sumif(Plan!B:B,"262-000000-087",Plan!z:z)</f>
        <v>0</v>
      </c>
      <c r="AA35">
        <f>sumif(Plan!B:B,"262-000000-087",Plan!aa:aa)</f>
        <v>0</v>
      </c>
      <c r="AB35">
        <f>sumif(Plan!B:B,"262-000000-087",Plan!ab:ab)</f>
        <v>0</v>
      </c>
      <c r="AC35">
        <f>sumif(Plan!B:B,"262-000000-087",Plan!ac:ac)</f>
        <v>0</v>
      </c>
      <c r="AD35">
        <f>sumif(Plan!B:B,"262-000000-087",Plan!ad:ad)</f>
        <v>0</v>
      </c>
      <c r="AE35">
        <f>sumif(Plan!B:B,"262-000000-087",Plan!ae:ae)</f>
        <v>0</v>
      </c>
      <c r="AF35">
        <f>sumif(Plan!B:B,"262-000000-087",Plan!af:af)</f>
        <v>0</v>
      </c>
      <c r="AG35">
        <f>sumif(Plan!B:B,"262-000000-087",Plan!ag:ag)</f>
        <v>0</v>
      </c>
      <c r="AH35">
        <f>sumif(Plan!B:B,"262-000000-087",Plan!ah:ah)</f>
        <v>0</v>
      </c>
      <c r="AI35">
        <f>sumif(Plan!B:B,"262-000000-087",Plan!ai:ai)</f>
        <v>0</v>
      </c>
      <c r="AJ35">
        <f>sumif(Plan!B:B,"262-000000-087",Plan!aj:aj)</f>
        <v>0</v>
      </c>
      <c r="AK35">
        <f>sumif(Plan!B:B,"262-000000-087",Plan!ak:ak)</f>
        <v>0</v>
      </c>
      <c r="AL35">
        <f>sumif(Plan!B:B,"262-000000-087",Plan!al:al)</f>
        <v>0</v>
      </c>
      <c r="AM35">
        <f>sumif(Plan!B:B,"262-000000-087",Plan!am:am)</f>
        <v>0</v>
      </c>
      <c r="AN35">
        <f>sumif(Plan!B:B,"262-000000-087",Plan!an:an)</f>
        <v>0</v>
      </c>
      <c r="AO35">
        <f>sumif(Plan!B:B,"262-000000-087",Plan!ao:ao)</f>
        <v>0</v>
      </c>
    </row>
    <row r="36" spans="1:41">
      <c r="A36" t="s">
        <v>22</v>
      </c>
      <c r="B36" t="s">
        <v>39</v>
      </c>
      <c r="C36" t="s">
        <v>40</v>
      </c>
      <c r="E36">
        <v>1</v>
      </c>
      <c r="F36" t="s">
        <v>13</v>
      </c>
      <c r="H36" t="s">
        <v>16</v>
      </c>
      <c r="J36">
        <f>indirect(address(36,9))+indirect(address(34,10))-indirect(address(35,10))</f>
        <v>0</v>
      </c>
      <c r="K36">
        <f>indirect(address(36,10))+indirect(address(34,11))-indirect(address(35,11))</f>
        <v>0</v>
      </c>
      <c r="L36">
        <f>indirect(address(36,11))+indirect(address(34,12))-indirect(address(35,12))</f>
        <v>0</v>
      </c>
      <c r="M36">
        <f>indirect(address(36,12))+indirect(address(34,13))-indirect(address(35,13))</f>
        <v>0</v>
      </c>
      <c r="N36">
        <f>indirect(address(36,13))+indirect(address(34,14))-indirect(address(35,14))</f>
        <v>0</v>
      </c>
      <c r="O36">
        <f>indirect(address(36,14))+indirect(address(34,15))-indirect(address(35,15))</f>
        <v>0</v>
      </c>
      <c r="P36">
        <f>indirect(address(36,15))+indirect(address(34,16))-indirect(address(35,16))</f>
        <v>0</v>
      </c>
      <c r="Q36">
        <f>indirect(address(36,16))+indirect(address(34,17))-indirect(address(35,17))</f>
        <v>0</v>
      </c>
      <c r="R36">
        <f>indirect(address(36,17))+indirect(address(34,18))-indirect(address(35,18))</f>
        <v>0</v>
      </c>
      <c r="S36">
        <f>indirect(address(36,18))+indirect(address(34,19))-indirect(address(35,19))</f>
        <v>0</v>
      </c>
      <c r="T36">
        <f>indirect(address(36,19))+indirect(address(34,20))-indirect(address(35,20))</f>
        <v>0</v>
      </c>
      <c r="U36">
        <f>indirect(address(36,20))+indirect(address(34,21))-indirect(address(35,21))</f>
        <v>0</v>
      </c>
      <c r="V36">
        <f>indirect(address(36,21))+indirect(address(34,22))-indirect(address(35,22))</f>
        <v>0</v>
      </c>
      <c r="W36">
        <f>indirect(address(36,22))+indirect(address(34,23))-indirect(address(35,23))</f>
        <v>0</v>
      </c>
      <c r="X36">
        <f>indirect(address(36,23))+indirect(address(34,24))-indirect(address(35,24))</f>
        <v>0</v>
      </c>
      <c r="Y36">
        <f>indirect(address(36,24))+indirect(address(34,25))-indirect(address(35,25))</f>
        <v>0</v>
      </c>
      <c r="Z36">
        <f>indirect(address(36,25))+indirect(address(34,26))-indirect(address(35,26))</f>
        <v>0</v>
      </c>
      <c r="AA36">
        <f>indirect(address(36,26))+indirect(address(34,27))-indirect(address(35,27))</f>
        <v>0</v>
      </c>
      <c r="AB36">
        <f>indirect(address(36,27))+indirect(address(34,28))-indirect(address(35,28))</f>
        <v>0</v>
      </c>
      <c r="AC36">
        <f>indirect(address(36,28))+indirect(address(34,29))-indirect(address(35,29))</f>
        <v>0</v>
      </c>
      <c r="AD36">
        <f>indirect(address(36,29))+indirect(address(34,30))-indirect(address(35,30))</f>
        <v>0</v>
      </c>
      <c r="AE36">
        <f>indirect(address(36,30))+indirect(address(34,31))-indirect(address(35,31))</f>
        <v>0</v>
      </c>
      <c r="AF36">
        <f>indirect(address(36,31))+indirect(address(34,32))-indirect(address(35,32))</f>
        <v>0</v>
      </c>
      <c r="AG36">
        <f>indirect(address(36,32))+indirect(address(34,33))-indirect(address(35,33))</f>
        <v>0</v>
      </c>
      <c r="AH36">
        <f>indirect(address(36,33))+indirect(address(34,34))-indirect(address(35,34))</f>
        <v>0</v>
      </c>
      <c r="AI36">
        <f>indirect(address(36,34))+indirect(address(34,35))-indirect(address(35,35))</f>
        <v>0</v>
      </c>
      <c r="AJ36">
        <f>indirect(address(36,35))+indirect(address(34,36))-indirect(address(35,36))</f>
        <v>0</v>
      </c>
      <c r="AK36">
        <f>indirect(address(36,36))+indirect(address(34,37))-indirect(address(35,37))</f>
        <v>0</v>
      </c>
      <c r="AL36">
        <f>indirect(address(36,37))+indirect(address(34,38))-indirect(address(35,38))</f>
        <v>0</v>
      </c>
      <c r="AM36">
        <f>indirect(address(36,38))+indirect(address(34,39))-indirect(address(35,39))</f>
        <v>0</v>
      </c>
      <c r="AN36">
        <f>indirect(address(36,39))+indirect(address(34,40))-indirect(address(35,40))</f>
        <v>0</v>
      </c>
      <c r="AO36">
        <f>indirect(address(36,40))+indirect(address(34,41))-indirect(address(35,41))</f>
        <v>0</v>
      </c>
    </row>
    <row r="37" spans="1:41">
      <c r="I37" t="s">
        <v>14</v>
      </c>
      <c r="AO37">
        <f>sum(j37:an37)</f>
        <v>0</v>
      </c>
    </row>
    <row r="38" spans="1:41">
      <c r="I38" t="s">
        <v>15</v>
      </c>
      <c r="J38">
        <f>sumif(Plan!B:B,"262-000000-087",Plan!j:j)</f>
        <v>0</v>
      </c>
      <c r="K38">
        <f>sumif(Plan!B:B,"262-000000-087",Plan!k:k)</f>
        <v>0</v>
      </c>
      <c r="L38">
        <f>sumif(Plan!B:B,"262-000000-087",Plan!l:l)</f>
        <v>0</v>
      </c>
      <c r="M38">
        <f>sumif(Plan!B:B,"262-000000-087",Plan!m:m)</f>
        <v>0</v>
      </c>
      <c r="N38">
        <f>sumif(Plan!B:B,"262-000000-087",Plan!n:n)</f>
        <v>0</v>
      </c>
      <c r="O38">
        <f>sumif(Plan!B:B,"262-000000-087",Plan!o:o)</f>
        <v>0</v>
      </c>
      <c r="P38">
        <f>sumif(Plan!B:B,"262-000000-087",Plan!p:p)</f>
        <v>0</v>
      </c>
      <c r="Q38">
        <f>sumif(Plan!B:B,"262-000000-087",Plan!q:q)</f>
        <v>0</v>
      </c>
      <c r="R38">
        <f>sumif(Plan!B:B,"262-000000-087",Plan!r:r)</f>
        <v>0</v>
      </c>
      <c r="S38">
        <f>sumif(Plan!B:B,"262-000000-087",Plan!s:s)</f>
        <v>0</v>
      </c>
      <c r="T38">
        <f>sumif(Plan!B:B,"262-000000-087",Plan!t:t)</f>
        <v>0</v>
      </c>
      <c r="U38">
        <f>sumif(Plan!B:B,"262-000000-087",Plan!u:u)</f>
        <v>0</v>
      </c>
      <c r="V38">
        <f>sumif(Plan!B:B,"262-000000-087",Plan!v:v)</f>
        <v>0</v>
      </c>
      <c r="W38">
        <f>sumif(Plan!B:B,"262-000000-087",Plan!w:w)</f>
        <v>0</v>
      </c>
      <c r="X38">
        <f>sumif(Plan!B:B,"262-000000-087",Plan!x:x)</f>
        <v>0</v>
      </c>
      <c r="Y38">
        <f>sumif(Plan!B:B,"262-000000-087",Plan!y:y)</f>
        <v>0</v>
      </c>
      <c r="Z38">
        <f>sumif(Plan!B:B,"262-000000-087",Plan!z:z)</f>
        <v>0</v>
      </c>
      <c r="AA38">
        <f>sumif(Plan!B:B,"262-000000-087",Plan!aa:aa)</f>
        <v>0</v>
      </c>
      <c r="AB38">
        <f>sumif(Plan!B:B,"262-000000-087",Plan!ab:ab)</f>
        <v>0</v>
      </c>
      <c r="AC38">
        <f>sumif(Plan!B:B,"262-000000-087",Plan!ac:ac)</f>
        <v>0</v>
      </c>
      <c r="AD38">
        <f>sumif(Plan!B:B,"262-000000-087",Plan!ad:ad)</f>
        <v>0</v>
      </c>
      <c r="AE38">
        <f>sumif(Plan!B:B,"262-000000-087",Plan!ae:ae)</f>
        <v>0</v>
      </c>
      <c r="AF38">
        <f>sumif(Plan!B:B,"262-000000-087",Plan!af:af)</f>
        <v>0</v>
      </c>
      <c r="AG38">
        <f>sumif(Plan!B:B,"262-000000-087",Plan!ag:ag)</f>
        <v>0</v>
      </c>
      <c r="AH38">
        <f>sumif(Plan!B:B,"262-000000-087",Plan!ah:ah)</f>
        <v>0</v>
      </c>
      <c r="AI38">
        <f>sumif(Plan!B:B,"262-000000-087",Plan!ai:ai)</f>
        <v>0</v>
      </c>
      <c r="AJ38">
        <f>sumif(Plan!B:B,"262-000000-087",Plan!aj:aj)</f>
        <v>0</v>
      </c>
      <c r="AK38">
        <f>sumif(Plan!B:B,"262-000000-087",Plan!ak:ak)</f>
        <v>0</v>
      </c>
      <c r="AL38">
        <f>sumif(Plan!B:B,"262-000000-087",Plan!al:al)</f>
        <v>0</v>
      </c>
      <c r="AM38">
        <f>sumif(Plan!B:B,"262-000000-087",Plan!am:am)</f>
        <v>0</v>
      </c>
      <c r="AN38">
        <f>sumif(Plan!B:B,"262-000000-087",Plan!an:an)</f>
        <v>0</v>
      </c>
      <c r="AO38">
        <f>sumif(Plan!B:B,"262-000000-087",Plan!ao:ao)</f>
        <v>0</v>
      </c>
    </row>
    <row r="39" spans="1:41">
      <c r="A39" t="s">
        <v>41</v>
      </c>
      <c r="B39" t="s">
        <v>39</v>
      </c>
      <c r="C39" t="s">
        <v>40</v>
      </c>
      <c r="E39">
        <v>0.17</v>
      </c>
      <c r="F39" t="s">
        <v>42</v>
      </c>
      <c r="H39" t="s">
        <v>16</v>
      </c>
      <c r="J39">
        <f>indirect(address(39,9))+indirect(address(37,10))-indirect(address(38,10))</f>
        <v>0</v>
      </c>
      <c r="K39">
        <f>indirect(address(39,10))+indirect(address(37,11))-indirect(address(38,11))</f>
        <v>0</v>
      </c>
      <c r="L39">
        <f>indirect(address(39,11))+indirect(address(37,12))-indirect(address(38,12))</f>
        <v>0</v>
      </c>
      <c r="M39">
        <f>indirect(address(39,12))+indirect(address(37,13))-indirect(address(38,13))</f>
        <v>0</v>
      </c>
      <c r="N39">
        <f>indirect(address(39,13))+indirect(address(37,14))-indirect(address(38,14))</f>
        <v>0</v>
      </c>
      <c r="O39">
        <f>indirect(address(39,14))+indirect(address(37,15))-indirect(address(38,15))</f>
        <v>0</v>
      </c>
      <c r="P39">
        <f>indirect(address(39,15))+indirect(address(37,16))-indirect(address(38,16))</f>
        <v>0</v>
      </c>
      <c r="Q39">
        <f>indirect(address(39,16))+indirect(address(37,17))-indirect(address(38,17))</f>
        <v>0</v>
      </c>
      <c r="R39">
        <f>indirect(address(39,17))+indirect(address(37,18))-indirect(address(38,18))</f>
        <v>0</v>
      </c>
      <c r="S39">
        <f>indirect(address(39,18))+indirect(address(37,19))-indirect(address(38,19))</f>
        <v>0</v>
      </c>
      <c r="T39">
        <f>indirect(address(39,19))+indirect(address(37,20))-indirect(address(38,20))</f>
        <v>0</v>
      </c>
      <c r="U39">
        <f>indirect(address(39,20))+indirect(address(37,21))-indirect(address(38,21))</f>
        <v>0</v>
      </c>
      <c r="V39">
        <f>indirect(address(39,21))+indirect(address(37,22))-indirect(address(38,22))</f>
        <v>0</v>
      </c>
      <c r="W39">
        <f>indirect(address(39,22))+indirect(address(37,23))-indirect(address(38,23))</f>
        <v>0</v>
      </c>
      <c r="X39">
        <f>indirect(address(39,23))+indirect(address(37,24))-indirect(address(38,24))</f>
        <v>0</v>
      </c>
      <c r="Y39">
        <f>indirect(address(39,24))+indirect(address(37,25))-indirect(address(38,25))</f>
        <v>0</v>
      </c>
      <c r="Z39">
        <f>indirect(address(39,25))+indirect(address(37,26))-indirect(address(38,26))</f>
        <v>0</v>
      </c>
      <c r="AA39">
        <f>indirect(address(39,26))+indirect(address(37,27))-indirect(address(38,27))</f>
        <v>0</v>
      </c>
      <c r="AB39">
        <f>indirect(address(39,27))+indirect(address(37,28))-indirect(address(38,28))</f>
        <v>0</v>
      </c>
      <c r="AC39">
        <f>indirect(address(39,28))+indirect(address(37,29))-indirect(address(38,29))</f>
        <v>0</v>
      </c>
      <c r="AD39">
        <f>indirect(address(39,29))+indirect(address(37,30))-indirect(address(38,30))</f>
        <v>0</v>
      </c>
      <c r="AE39">
        <f>indirect(address(39,30))+indirect(address(37,31))-indirect(address(38,31))</f>
        <v>0</v>
      </c>
      <c r="AF39">
        <f>indirect(address(39,31))+indirect(address(37,32))-indirect(address(38,32))</f>
        <v>0</v>
      </c>
      <c r="AG39">
        <f>indirect(address(39,32))+indirect(address(37,33))-indirect(address(38,33))</f>
        <v>0</v>
      </c>
      <c r="AH39">
        <f>indirect(address(39,33))+indirect(address(37,34))-indirect(address(38,34))</f>
        <v>0</v>
      </c>
      <c r="AI39">
        <f>indirect(address(39,34))+indirect(address(37,35))-indirect(address(38,35))</f>
        <v>0</v>
      </c>
      <c r="AJ39">
        <f>indirect(address(39,35))+indirect(address(37,36))-indirect(address(38,36))</f>
        <v>0</v>
      </c>
      <c r="AK39">
        <f>indirect(address(39,36))+indirect(address(37,37))-indirect(address(38,37))</f>
        <v>0</v>
      </c>
      <c r="AL39">
        <f>indirect(address(39,37))+indirect(address(37,38))-indirect(address(38,38))</f>
        <v>0</v>
      </c>
      <c r="AM39">
        <f>indirect(address(39,38))+indirect(address(37,39))-indirect(address(38,39))</f>
        <v>0</v>
      </c>
      <c r="AN39">
        <f>indirect(address(39,39))+indirect(address(37,40))-indirect(address(38,40))</f>
        <v>0</v>
      </c>
      <c r="AO39">
        <f>indirect(address(39,40))+indirect(address(37,41))-indirect(address(38,41))</f>
        <v>0</v>
      </c>
    </row>
    <row r="40" spans="1:41">
      <c r="I40" t="s">
        <v>14</v>
      </c>
      <c r="AO40">
        <f>sum(j40:an40)</f>
        <v>0</v>
      </c>
    </row>
    <row r="41" spans="1:41">
      <c r="I41" t="s">
        <v>15</v>
      </c>
      <c r="J41">
        <f>sumif(Plan!B:B,"262-000000-087",Plan!j:j)</f>
        <v>0</v>
      </c>
      <c r="K41">
        <f>sumif(Plan!B:B,"262-000000-087",Plan!k:k)</f>
        <v>0</v>
      </c>
      <c r="L41">
        <f>sumif(Plan!B:B,"262-000000-087",Plan!l:l)</f>
        <v>0</v>
      </c>
      <c r="M41">
        <f>sumif(Plan!B:B,"262-000000-087",Plan!m:m)</f>
        <v>0</v>
      </c>
      <c r="N41">
        <f>sumif(Plan!B:B,"262-000000-087",Plan!n:n)</f>
        <v>0</v>
      </c>
      <c r="O41">
        <f>sumif(Plan!B:B,"262-000000-087",Plan!o:o)</f>
        <v>0</v>
      </c>
      <c r="P41">
        <f>sumif(Plan!B:B,"262-000000-087",Plan!p:p)</f>
        <v>0</v>
      </c>
      <c r="Q41">
        <f>sumif(Plan!B:B,"262-000000-087",Plan!q:q)</f>
        <v>0</v>
      </c>
      <c r="R41">
        <f>sumif(Plan!B:B,"262-000000-087",Plan!r:r)</f>
        <v>0</v>
      </c>
      <c r="S41">
        <f>sumif(Plan!B:B,"262-000000-087",Plan!s:s)</f>
        <v>0</v>
      </c>
      <c r="T41">
        <f>sumif(Plan!B:B,"262-000000-087",Plan!t:t)</f>
        <v>0</v>
      </c>
      <c r="U41">
        <f>sumif(Plan!B:B,"262-000000-087",Plan!u:u)</f>
        <v>0</v>
      </c>
      <c r="V41">
        <f>sumif(Plan!B:B,"262-000000-087",Plan!v:v)</f>
        <v>0</v>
      </c>
      <c r="W41">
        <f>sumif(Plan!B:B,"262-000000-087",Plan!w:w)</f>
        <v>0</v>
      </c>
      <c r="X41">
        <f>sumif(Plan!B:B,"262-000000-087",Plan!x:x)</f>
        <v>0</v>
      </c>
      <c r="Y41">
        <f>sumif(Plan!B:B,"262-000000-087",Plan!y:y)</f>
        <v>0</v>
      </c>
      <c r="Z41">
        <f>sumif(Plan!B:B,"262-000000-087",Plan!z:z)</f>
        <v>0</v>
      </c>
      <c r="AA41">
        <f>sumif(Plan!B:B,"262-000000-087",Plan!aa:aa)</f>
        <v>0</v>
      </c>
      <c r="AB41">
        <f>sumif(Plan!B:B,"262-000000-087",Plan!ab:ab)</f>
        <v>0</v>
      </c>
      <c r="AC41">
        <f>sumif(Plan!B:B,"262-000000-087",Plan!ac:ac)</f>
        <v>0</v>
      </c>
      <c r="AD41">
        <f>sumif(Plan!B:B,"262-000000-087",Plan!ad:ad)</f>
        <v>0</v>
      </c>
      <c r="AE41">
        <f>sumif(Plan!B:B,"262-000000-087",Plan!ae:ae)</f>
        <v>0</v>
      </c>
      <c r="AF41">
        <f>sumif(Plan!B:B,"262-000000-087",Plan!af:af)</f>
        <v>0</v>
      </c>
      <c r="AG41">
        <f>sumif(Plan!B:B,"262-000000-087",Plan!ag:ag)</f>
        <v>0</v>
      </c>
      <c r="AH41">
        <f>sumif(Plan!B:B,"262-000000-087",Plan!ah:ah)</f>
        <v>0</v>
      </c>
      <c r="AI41">
        <f>sumif(Plan!B:B,"262-000000-087",Plan!ai:ai)</f>
        <v>0</v>
      </c>
      <c r="AJ41">
        <f>sumif(Plan!B:B,"262-000000-087",Plan!aj:aj)</f>
        <v>0</v>
      </c>
      <c r="AK41">
        <f>sumif(Plan!B:B,"262-000000-087",Plan!ak:ak)</f>
        <v>0</v>
      </c>
      <c r="AL41">
        <f>sumif(Plan!B:B,"262-000000-087",Plan!al:al)</f>
        <v>0</v>
      </c>
      <c r="AM41">
        <f>sumif(Plan!B:B,"262-000000-087",Plan!am:am)</f>
        <v>0</v>
      </c>
      <c r="AN41">
        <f>sumif(Plan!B:B,"262-000000-087",Plan!an:an)</f>
        <v>0</v>
      </c>
      <c r="AO41">
        <f>sumif(Plan!B:B,"262-000000-087",Plan!ao:ao)</f>
        <v>0</v>
      </c>
    </row>
    <row r="42" spans="1:41">
      <c r="A42" t="s">
        <v>43</v>
      </c>
      <c r="B42" t="s">
        <v>39</v>
      </c>
      <c r="C42" t="s">
        <v>40</v>
      </c>
      <c r="E42">
        <v>0.17</v>
      </c>
      <c r="F42" t="s">
        <v>13</v>
      </c>
      <c r="H42" t="s">
        <v>16</v>
      </c>
      <c r="J42">
        <f>indirect(address(42,9))+indirect(address(40,10))-indirect(address(41,10))</f>
        <v>0</v>
      </c>
      <c r="K42">
        <f>indirect(address(42,10))+indirect(address(40,11))-indirect(address(41,11))</f>
        <v>0</v>
      </c>
      <c r="L42">
        <f>indirect(address(42,11))+indirect(address(40,12))-indirect(address(41,12))</f>
        <v>0</v>
      </c>
      <c r="M42">
        <f>indirect(address(42,12))+indirect(address(40,13))-indirect(address(41,13))</f>
        <v>0</v>
      </c>
      <c r="N42">
        <f>indirect(address(42,13))+indirect(address(40,14))-indirect(address(41,14))</f>
        <v>0</v>
      </c>
      <c r="O42">
        <f>indirect(address(42,14))+indirect(address(40,15))-indirect(address(41,15))</f>
        <v>0</v>
      </c>
      <c r="P42">
        <f>indirect(address(42,15))+indirect(address(40,16))-indirect(address(41,16))</f>
        <v>0</v>
      </c>
      <c r="Q42">
        <f>indirect(address(42,16))+indirect(address(40,17))-indirect(address(41,17))</f>
        <v>0</v>
      </c>
      <c r="R42">
        <f>indirect(address(42,17))+indirect(address(40,18))-indirect(address(41,18))</f>
        <v>0</v>
      </c>
      <c r="S42">
        <f>indirect(address(42,18))+indirect(address(40,19))-indirect(address(41,19))</f>
        <v>0</v>
      </c>
      <c r="T42">
        <f>indirect(address(42,19))+indirect(address(40,20))-indirect(address(41,20))</f>
        <v>0</v>
      </c>
      <c r="U42">
        <f>indirect(address(42,20))+indirect(address(40,21))-indirect(address(41,21))</f>
        <v>0</v>
      </c>
      <c r="V42">
        <f>indirect(address(42,21))+indirect(address(40,22))-indirect(address(41,22))</f>
        <v>0</v>
      </c>
      <c r="W42">
        <f>indirect(address(42,22))+indirect(address(40,23))-indirect(address(41,23))</f>
        <v>0</v>
      </c>
      <c r="X42">
        <f>indirect(address(42,23))+indirect(address(40,24))-indirect(address(41,24))</f>
        <v>0</v>
      </c>
      <c r="Y42">
        <f>indirect(address(42,24))+indirect(address(40,25))-indirect(address(41,25))</f>
        <v>0</v>
      </c>
      <c r="Z42">
        <f>indirect(address(42,25))+indirect(address(40,26))-indirect(address(41,26))</f>
        <v>0</v>
      </c>
      <c r="AA42">
        <f>indirect(address(42,26))+indirect(address(40,27))-indirect(address(41,27))</f>
        <v>0</v>
      </c>
      <c r="AB42">
        <f>indirect(address(42,27))+indirect(address(40,28))-indirect(address(41,28))</f>
        <v>0</v>
      </c>
      <c r="AC42">
        <f>indirect(address(42,28))+indirect(address(40,29))-indirect(address(41,29))</f>
        <v>0</v>
      </c>
      <c r="AD42">
        <f>indirect(address(42,29))+indirect(address(40,30))-indirect(address(41,30))</f>
        <v>0</v>
      </c>
      <c r="AE42">
        <f>indirect(address(42,30))+indirect(address(40,31))-indirect(address(41,31))</f>
        <v>0</v>
      </c>
      <c r="AF42">
        <f>indirect(address(42,31))+indirect(address(40,32))-indirect(address(41,32))</f>
        <v>0</v>
      </c>
      <c r="AG42">
        <f>indirect(address(42,32))+indirect(address(40,33))-indirect(address(41,33))</f>
        <v>0</v>
      </c>
      <c r="AH42">
        <f>indirect(address(42,33))+indirect(address(40,34))-indirect(address(41,34))</f>
        <v>0</v>
      </c>
      <c r="AI42">
        <f>indirect(address(42,34))+indirect(address(40,35))-indirect(address(41,35))</f>
        <v>0</v>
      </c>
      <c r="AJ42">
        <f>indirect(address(42,35))+indirect(address(40,36))-indirect(address(41,36))</f>
        <v>0</v>
      </c>
      <c r="AK42">
        <f>indirect(address(42,36))+indirect(address(40,37))-indirect(address(41,37))</f>
        <v>0</v>
      </c>
      <c r="AL42">
        <f>indirect(address(42,37))+indirect(address(40,38))-indirect(address(41,38))</f>
        <v>0</v>
      </c>
      <c r="AM42">
        <f>indirect(address(42,38))+indirect(address(40,39))-indirect(address(41,39))</f>
        <v>0</v>
      </c>
      <c r="AN42">
        <f>indirect(address(42,39))+indirect(address(40,40))-indirect(address(41,40))</f>
        <v>0</v>
      </c>
      <c r="AO42">
        <f>indirect(address(42,40))+indirect(address(40,41))-indirect(address(41,41))</f>
        <v>0</v>
      </c>
    </row>
    <row r="43" spans="1:41">
      <c r="I43" t="s">
        <v>14</v>
      </c>
      <c r="AO43">
        <f>sum(j43:an43)</f>
        <v>0</v>
      </c>
    </row>
    <row r="44" spans="1:41">
      <c r="I44" t="s">
        <v>15</v>
      </c>
      <c r="J44">
        <f>sumif(Plan!B:B,"827-050000-101",Plan!j:j)</f>
        <v>0</v>
      </c>
      <c r="K44">
        <f>sumif(Plan!B:B,"827-050000-101",Plan!k:k)</f>
        <v>0</v>
      </c>
      <c r="L44">
        <f>sumif(Plan!B:B,"827-050000-101",Plan!l:l)</f>
        <v>0</v>
      </c>
      <c r="M44">
        <f>sumif(Plan!B:B,"827-050000-101",Plan!m:m)</f>
        <v>0</v>
      </c>
      <c r="N44">
        <f>sumif(Plan!B:B,"827-050000-101",Plan!n:n)</f>
        <v>0</v>
      </c>
      <c r="O44">
        <f>sumif(Plan!B:B,"827-050000-101",Plan!o:o)</f>
        <v>0</v>
      </c>
      <c r="P44">
        <f>sumif(Plan!B:B,"827-050000-101",Plan!p:p)</f>
        <v>0</v>
      </c>
      <c r="Q44">
        <f>sumif(Plan!B:B,"827-050000-101",Plan!q:q)</f>
        <v>0</v>
      </c>
      <c r="R44">
        <f>sumif(Plan!B:B,"827-050000-101",Plan!r:r)</f>
        <v>0</v>
      </c>
      <c r="S44">
        <f>sumif(Plan!B:B,"827-050000-101",Plan!s:s)</f>
        <v>0</v>
      </c>
      <c r="T44">
        <f>sumif(Plan!B:B,"827-050000-101",Plan!t:t)</f>
        <v>0</v>
      </c>
      <c r="U44">
        <f>sumif(Plan!B:B,"827-050000-101",Plan!u:u)</f>
        <v>0</v>
      </c>
      <c r="V44">
        <f>sumif(Plan!B:B,"827-050000-101",Plan!v:v)</f>
        <v>0</v>
      </c>
      <c r="W44">
        <f>sumif(Plan!B:B,"827-050000-101",Plan!w:w)</f>
        <v>0</v>
      </c>
      <c r="X44">
        <f>sumif(Plan!B:B,"827-050000-101",Plan!x:x)</f>
        <v>0</v>
      </c>
      <c r="Y44">
        <f>sumif(Plan!B:B,"827-050000-101",Plan!y:y)</f>
        <v>0</v>
      </c>
      <c r="Z44">
        <f>sumif(Plan!B:B,"827-050000-101",Plan!z:z)</f>
        <v>0</v>
      </c>
      <c r="AA44">
        <f>sumif(Plan!B:B,"827-050000-101",Plan!aa:aa)</f>
        <v>0</v>
      </c>
      <c r="AB44">
        <f>sumif(Plan!B:B,"827-050000-101",Plan!ab:ab)</f>
        <v>0</v>
      </c>
      <c r="AC44">
        <f>sumif(Plan!B:B,"827-050000-101",Plan!ac:ac)</f>
        <v>0</v>
      </c>
      <c r="AD44">
        <f>sumif(Plan!B:B,"827-050000-101",Plan!ad:ad)</f>
        <v>0</v>
      </c>
      <c r="AE44">
        <f>sumif(Plan!B:B,"827-050000-101",Plan!ae:ae)</f>
        <v>0</v>
      </c>
      <c r="AF44">
        <f>sumif(Plan!B:B,"827-050000-101",Plan!af:af)</f>
        <v>0</v>
      </c>
      <c r="AG44">
        <f>sumif(Plan!B:B,"827-050000-101",Plan!ag:ag)</f>
        <v>0</v>
      </c>
      <c r="AH44">
        <f>sumif(Plan!B:B,"827-050000-101",Plan!ah:ah)</f>
        <v>0</v>
      </c>
      <c r="AI44">
        <f>sumif(Plan!B:B,"827-050000-101",Plan!ai:ai)</f>
        <v>0</v>
      </c>
      <c r="AJ44">
        <f>sumif(Plan!B:B,"827-050000-101",Plan!aj:aj)</f>
        <v>0</v>
      </c>
      <c r="AK44">
        <f>sumif(Plan!B:B,"827-050000-101",Plan!ak:ak)</f>
        <v>0</v>
      </c>
      <c r="AL44">
        <f>sumif(Plan!B:B,"827-050000-101",Plan!al:al)</f>
        <v>0</v>
      </c>
      <c r="AM44">
        <f>sumif(Plan!B:B,"827-050000-101",Plan!am:am)</f>
        <v>0</v>
      </c>
      <c r="AN44">
        <f>sumif(Plan!B:B,"827-050000-101",Plan!an:an)</f>
        <v>0</v>
      </c>
      <c r="AO44">
        <f>sumif(Plan!B:B,"827-050000-101",Plan!ao:ao)</f>
        <v>0</v>
      </c>
    </row>
    <row r="45" spans="1:41">
      <c r="A45" t="s">
        <v>17</v>
      </c>
      <c r="B45" t="s">
        <v>45</v>
      </c>
      <c r="C45" t="s">
        <v>46</v>
      </c>
      <c r="E45">
        <v>1</v>
      </c>
      <c r="F45" t="s">
        <v>13</v>
      </c>
      <c r="H45" t="s">
        <v>16</v>
      </c>
      <c r="J45">
        <f>indirect(address(45,9))+indirect(address(43,10))-indirect(address(44,10))</f>
        <v>0</v>
      </c>
      <c r="K45">
        <f>indirect(address(45,10))+indirect(address(43,11))-indirect(address(44,11))</f>
        <v>0</v>
      </c>
      <c r="L45">
        <f>indirect(address(45,11))+indirect(address(43,12))-indirect(address(44,12))</f>
        <v>0</v>
      </c>
      <c r="M45">
        <f>indirect(address(45,12))+indirect(address(43,13))-indirect(address(44,13))</f>
        <v>0</v>
      </c>
      <c r="N45">
        <f>indirect(address(45,13))+indirect(address(43,14))-indirect(address(44,14))</f>
        <v>0</v>
      </c>
      <c r="O45">
        <f>indirect(address(45,14))+indirect(address(43,15))-indirect(address(44,15))</f>
        <v>0</v>
      </c>
      <c r="P45">
        <f>indirect(address(45,15))+indirect(address(43,16))-indirect(address(44,16))</f>
        <v>0</v>
      </c>
      <c r="Q45">
        <f>indirect(address(45,16))+indirect(address(43,17))-indirect(address(44,17))</f>
        <v>0</v>
      </c>
      <c r="R45">
        <f>indirect(address(45,17))+indirect(address(43,18))-indirect(address(44,18))</f>
        <v>0</v>
      </c>
      <c r="S45">
        <f>indirect(address(45,18))+indirect(address(43,19))-indirect(address(44,19))</f>
        <v>0</v>
      </c>
      <c r="T45">
        <f>indirect(address(45,19))+indirect(address(43,20))-indirect(address(44,20))</f>
        <v>0</v>
      </c>
      <c r="U45">
        <f>indirect(address(45,20))+indirect(address(43,21))-indirect(address(44,21))</f>
        <v>0</v>
      </c>
      <c r="V45">
        <f>indirect(address(45,21))+indirect(address(43,22))-indirect(address(44,22))</f>
        <v>0</v>
      </c>
      <c r="W45">
        <f>indirect(address(45,22))+indirect(address(43,23))-indirect(address(44,23))</f>
        <v>0</v>
      </c>
      <c r="X45">
        <f>indirect(address(45,23))+indirect(address(43,24))-indirect(address(44,24))</f>
        <v>0</v>
      </c>
      <c r="Y45">
        <f>indirect(address(45,24))+indirect(address(43,25))-indirect(address(44,25))</f>
        <v>0</v>
      </c>
      <c r="Z45">
        <f>indirect(address(45,25))+indirect(address(43,26))-indirect(address(44,26))</f>
        <v>0</v>
      </c>
      <c r="AA45">
        <f>indirect(address(45,26))+indirect(address(43,27))-indirect(address(44,27))</f>
        <v>0</v>
      </c>
      <c r="AB45">
        <f>indirect(address(45,27))+indirect(address(43,28))-indirect(address(44,28))</f>
        <v>0</v>
      </c>
      <c r="AC45">
        <f>indirect(address(45,28))+indirect(address(43,29))-indirect(address(44,29))</f>
        <v>0</v>
      </c>
      <c r="AD45">
        <f>indirect(address(45,29))+indirect(address(43,30))-indirect(address(44,30))</f>
        <v>0</v>
      </c>
      <c r="AE45">
        <f>indirect(address(45,30))+indirect(address(43,31))-indirect(address(44,31))</f>
        <v>0</v>
      </c>
      <c r="AF45">
        <f>indirect(address(45,31))+indirect(address(43,32))-indirect(address(44,32))</f>
        <v>0</v>
      </c>
      <c r="AG45">
        <f>indirect(address(45,32))+indirect(address(43,33))-indirect(address(44,33))</f>
        <v>0</v>
      </c>
      <c r="AH45">
        <f>indirect(address(45,33))+indirect(address(43,34))-indirect(address(44,34))</f>
        <v>0</v>
      </c>
      <c r="AI45">
        <f>indirect(address(45,34))+indirect(address(43,35))-indirect(address(44,35))</f>
        <v>0</v>
      </c>
      <c r="AJ45">
        <f>indirect(address(45,35))+indirect(address(43,36))-indirect(address(44,36))</f>
        <v>0</v>
      </c>
      <c r="AK45">
        <f>indirect(address(45,36))+indirect(address(43,37))-indirect(address(44,37))</f>
        <v>0</v>
      </c>
      <c r="AL45">
        <f>indirect(address(45,37))+indirect(address(43,38))-indirect(address(44,38))</f>
        <v>0</v>
      </c>
      <c r="AM45">
        <f>indirect(address(45,38))+indirect(address(43,39))-indirect(address(44,39))</f>
        <v>0</v>
      </c>
      <c r="AN45">
        <f>indirect(address(45,39))+indirect(address(43,40))-indirect(address(44,40))</f>
        <v>0</v>
      </c>
      <c r="AO45">
        <f>indirect(address(45,40))+indirect(address(43,41))-indirect(address(44,41))</f>
        <v>0</v>
      </c>
    </row>
    <row r="46" spans="1:41">
      <c r="I46" t="s">
        <v>14</v>
      </c>
      <c r="AO46">
        <f>sum(j46:an46)</f>
        <v>0</v>
      </c>
    </row>
    <row r="47" spans="1:41">
      <c r="I47" t="s">
        <v>15</v>
      </c>
      <c r="J47">
        <f>sumif(Plan!B:B,"827-051000-101",Plan!j:j)</f>
        <v>0</v>
      </c>
      <c r="K47">
        <f>sumif(Plan!B:B,"827-051000-101",Plan!k:k)</f>
        <v>0</v>
      </c>
      <c r="L47">
        <f>sumif(Plan!B:B,"827-051000-101",Plan!l:l)</f>
        <v>0</v>
      </c>
      <c r="M47">
        <f>sumif(Plan!B:B,"827-051000-101",Plan!m:m)</f>
        <v>0</v>
      </c>
      <c r="N47">
        <f>sumif(Plan!B:B,"827-051000-101",Plan!n:n)</f>
        <v>0</v>
      </c>
      <c r="O47">
        <f>sumif(Plan!B:B,"827-051000-101",Plan!o:o)</f>
        <v>0</v>
      </c>
      <c r="P47">
        <f>sumif(Plan!B:B,"827-051000-101",Plan!p:p)</f>
        <v>0</v>
      </c>
      <c r="Q47">
        <f>sumif(Plan!B:B,"827-051000-101",Plan!q:q)</f>
        <v>0</v>
      </c>
      <c r="R47">
        <f>sumif(Plan!B:B,"827-051000-101",Plan!r:r)</f>
        <v>0</v>
      </c>
      <c r="S47">
        <f>sumif(Plan!B:B,"827-051000-101",Plan!s:s)</f>
        <v>0</v>
      </c>
      <c r="T47">
        <f>sumif(Plan!B:B,"827-051000-101",Plan!t:t)</f>
        <v>0</v>
      </c>
      <c r="U47">
        <f>sumif(Plan!B:B,"827-051000-101",Plan!u:u)</f>
        <v>0</v>
      </c>
      <c r="V47">
        <f>sumif(Plan!B:B,"827-051000-101",Plan!v:v)</f>
        <v>0</v>
      </c>
      <c r="W47">
        <f>sumif(Plan!B:B,"827-051000-101",Plan!w:w)</f>
        <v>0</v>
      </c>
      <c r="X47">
        <f>sumif(Plan!B:B,"827-051000-101",Plan!x:x)</f>
        <v>0</v>
      </c>
      <c r="Y47">
        <f>sumif(Plan!B:B,"827-051000-101",Plan!y:y)</f>
        <v>0</v>
      </c>
      <c r="Z47">
        <f>sumif(Plan!B:B,"827-051000-101",Plan!z:z)</f>
        <v>0</v>
      </c>
      <c r="AA47">
        <f>sumif(Plan!B:B,"827-051000-101",Plan!aa:aa)</f>
        <v>0</v>
      </c>
      <c r="AB47">
        <f>sumif(Plan!B:B,"827-051000-101",Plan!ab:ab)</f>
        <v>0</v>
      </c>
      <c r="AC47">
        <f>sumif(Plan!B:B,"827-051000-101",Plan!ac:ac)</f>
        <v>0</v>
      </c>
      <c r="AD47">
        <f>sumif(Plan!B:B,"827-051000-101",Plan!ad:ad)</f>
        <v>0</v>
      </c>
      <c r="AE47">
        <f>sumif(Plan!B:B,"827-051000-101",Plan!ae:ae)</f>
        <v>0</v>
      </c>
      <c r="AF47">
        <f>sumif(Plan!B:B,"827-051000-101",Plan!af:af)</f>
        <v>0</v>
      </c>
      <c r="AG47">
        <f>sumif(Plan!B:B,"827-051000-101",Plan!ag:ag)</f>
        <v>0</v>
      </c>
      <c r="AH47">
        <f>sumif(Plan!B:B,"827-051000-101",Plan!ah:ah)</f>
        <v>0</v>
      </c>
      <c r="AI47">
        <f>sumif(Plan!B:B,"827-051000-101",Plan!ai:ai)</f>
        <v>0</v>
      </c>
      <c r="AJ47">
        <f>sumif(Plan!B:B,"827-051000-101",Plan!aj:aj)</f>
        <v>0</v>
      </c>
      <c r="AK47">
        <f>sumif(Plan!B:B,"827-051000-101",Plan!ak:ak)</f>
        <v>0</v>
      </c>
      <c r="AL47">
        <f>sumif(Plan!B:B,"827-051000-101",Plan!al:al)</f>
        <v>0</v>
      </c>
      <c r="AM47">
        <f>sumif(Plan!B:B,"827-051000-101",Plan!am:am)</f>
        <v>0</v>
      </c>
      <c r="AN47">
        <f>sumif(Plan!B:B,"827-051000-101",Plan!an:an)</f>
        <v>0</v>
      </c>
      <c r="AO47">
        <f>sumif(Plan!B:B,"827-051000-101",Plan!ao:ao)</f>
        <v>0</v>
      </c>
    </row>
    <row r="48" spans="1:41">
      <c r="A48" t="s">
        <v>22</v>
      </c>
      <c r="B48" t="s">
        <v>47</v>
      </c>
      <c r="C48" t="s">
        <v>48</v>
      </c>
      <c r="E48">
        <v>1</v>
      </c>
      <c r="F48" t="s">
        <v>13</v>
      </c>
      <c r="H48" t="s">
        <v>16</v>
      </c>
      <c r="J48">
        <f>indirect(address(48,9))+indirect(address(46,10))-indirect(address(47,10))</f>
        <v>0</v>
      </c>
      <c r="K48">
        <f>indirect(address(48,10))+indirect(address(46,11))-indirect(address(47,11))</f>
        <v>0</v>
      </c>
      <c r="L48">
        <f>indirect(address(48,11))+indirect(address(46,12))-indirect(address(47,12))</f>
        <v>0</v>
      </c>
      <c r="M48">
        <f>indirect(address(48,12))+indirect(address(46,13))-indirect(address(47,13))</f>
        <v>0</v>
      </c>
      <c r="N48">
        <f>indirect(address(48,13))+indirect(address(46,14))-indirect(address(47,14))</f>
        <v>0</v>
      </c>
      <c r="O48">
        <f>indirect(address(48,14))+indirect(address(46,15))-indirect(address(47,15))</f>
        <v>0</v>
      </c>
      <c r="P48">
        <f>indirect(address(48,15))+indirect(address(46,16))-indirect(address(47,16))</f>
        <v>0</v>
      </c>
      <c r="Q48">
        <f>indirect(address(48,16))+indirect(address(46,17))-indirect(address(47,17))</f>
        <v>0</v>
      </c>
      <c r="R48">
        <f>indirect(address(48,17))+indirect(address(46,18))-indirect(address(47,18))</f>
        <v>0</v>
      </c>
      <c r="S48">
        <f>indirect(address(48,18))+indirect(address(46,19))-indirect(address(47,19))</f>
        <v>0</v>
      </c>
      <c r="T48">
        <f>indirect(address(48,19))+indirect(address(46,20))-indirect(address(47,20))</f>
        <v>0</v>
      </c>
      <c r="U48">
        <f>indirect(address(48,20))+indirect(address(46,21))-indirect(address(47,21))</f>
        <v>0</v>
      </c>
      <c r="V48">
        <f>indirect(address(48,21))+indirect(address(46,22))-indirect(address(47,22))</f>
        <v>0</v>
      </c>
      <c r="W48">
        <f>indirect(address(48,22))+indirect(address(46,23))-indirect(address(47,23))</f>
        <v>0</v>
      </c>
      <c r="X48">
        <f>indirect(address(48,23))+indirect(address(46,24))-indirect(address(47,24))</f>
        <v>0</v>
      </c>
      <c r="Y48">
        <f>indirect(address(48,24))+indirect(address(46,25))-indirect(address(47,25))</f>
        <v>0</v>
      </c>
      <c r="Z48">
        <f>indirect(address(48,25))+indirect(address(46,26))-indirect(address(47,26))</f>
        <v>0</v>
      </c>
      <c r="AA48">
        <f>indirect(address(48,26))+indirect(address(46,27))-indirect(address(47,27))</f>
        <v>0</v>
      </c>
      <c r="AB48">
        <f>indirect(address(48,27))+indirect(address(46,28))-indirect(address(47,28))</f>
        <v>0</v>
      </c>
      <c r="AC48">
        <f>indirect(address(48,28))+indirect(address(46,29))-indirect(address(47,29))</f>
        <v>0</v>
      </c>
      <c r="AD48">
        <f>indirect(address(48,29))+indirect(address(46,30))-indirect(address(47,30))</f>
        <v>0</v>
      </c>
      <c r="AE48">
        <f>indirect(address(48,30))+indirect(address(46,31))-indirect(address(47,31))</f>
        <v>0</v>
      </c>
      <c r="AF48">
        <f>indirect(address(48,31))+indirect(address(46,32))-indirect(address(47,32))</f>
        <v>0</v>
      </c>
      <c r="AG48">
        <f>indirect(address(48,32))+indirect(address(46,33))-indirect(address(47,33))</f>
        <v>0</v>
      </c>
      <c r="AH48">
        <f>indirect(address(48,33))+indirect(address(46,34))-indirect(address(47,34))</f>
        <v>0</v>
      </c>
      <c r="AI48">
        <f>indirect(address(48,34))+indirect(address(46,35))-indirect(address(47,35))</f>
        <v>0</v>
      </c>
      <c r="AJ48">
        <f>indirect(address(48,35))+indirect(address(46,36))-indirect(address(47,36))</f>
        <v>0</v>
      </c>
      <c r="AK48">
        <f>indirect(address(48,36))+indirect(address(46,37))-indirect(address(47,37))</f>
        <v>0</v>
      </c>
      <c r="AL48">
        <f>indirect(address(48,37))+indirect(address(46,38))-indirect(address(47,38))</f>
        <v>0</v>
      </c>
      <c r="AM48">
        <f>indirect(address(48,38))+indirect(address(46,39))-indirect(address(47,39))</f>
        <v>0</v>
      </c>
      <c r="AN48">
        <f>indirect(address(48,39))+indirect(address(46,40))-indirect(address(47,40))</f>
        <v>0</v>
      </c>
      <c r="AO48">
        <f>indirect(address(48,40))+indirect(address(46,41))-indirect(address(47,41))</f>
        <v>0</v>
      </c>
    </row>
    <row r="49" spans="1:41">
      <c r="I49" t="s">
        <v>14</v>
      </c>
      <c r="AO49">
        <f>sum(j49:an49)</f>
        <v>0</v>
      </c>
    </row>
    <row r="50" spans="1:41">
      <c r="I50" t="s">
        <v>15</v>
      </c>
      <c r="J50">
        <f>sumif(Plan!B:B,"242-001300-000",Plan!j:j)</f>
        <v>0</v>
      </c>
      <c r="K50">
        <f>sumif(Plan!B:B,"242-001300-000",Plan!k:k)</f>
        <v>0</v>
      </c>
      <c r="L50">
        <f>sumif(Plan!B:B,"242-001300-000",Plan!l:l)</f>
        <v>0</v>
      </c>
      <c r="M50">
        <f>sumif(Plan!B:B,"242-001300-000",Plan!m:m)</f>
        <v>0</v>
      </c>
      <c r="N50">
        <f>sumif(Plan!B:B,"242-001300-000",Plan!n:n)</f>
        <v>0</v>
      </c>
      <c r="O50">
        <f>sumif(Plan!B:B,"242-001300-000",Plan!o:o)</f>
        <v>0</v>
      </c>
      <c r="P50">
        <f>sumif(Plan!B:B,"242-001300-000",Plan!p:p)</f>
        <v>0</v>
      </c>
      <c r="Q50">
        <f>sumif(Plan!B:B,"242-001300-000",Plan!q:q)</f>
        <v>0</v>
      </c>
      <c r="R50">
        <f>sumif(Plan!B:B,"242-001300-000",Plan!r:r)</f>
        <v>0</v>
      </c>
      <c r="S50">
        <f>sumif(Plan!B:B,"242-001300-000",Plan!s:s)</f>
        <v>0</v>
      </c>
      <c r="T50">
        <f>sumif(Plan!B:B,"242-001300-000",Plan!t:t)</f>
        <v>0</v>
      </c>
      <c r="U50">
        <f>sumif(Plan!B:B,"242-001300-000",Plan!u:u)</f>
        <v>0</v>
      </c>
      <c r="V50">
        <f>sumif(Plan!B:B,"242-001300-000",Plan!v:v)</f>
        <v>0</v>
      </c>
      <c r="W50">
        <f>sumif(Plan!B:B,"242-001300-000",Plan!w:w)</f>
        <v>0</v>
      </c>
      <c r="X50">
        <f>sumif(Plan!B:B,"242-001300-000",Plan!x:x)</f>
        <v>0</v>
      </c>
      <c r="Y50">
        <f>sumif(Plan!B:B,"242-001300-000",Plan!y:y)</f>
        <v>0</v>
      </c>
      <c r="Z50">
        <f>sumif(Plan!B:B,"242-001300-000",Plan!z:z)</f>
        <v>0</v>
      </c>
      <c r="AA50">
        <f>sumif(Plan!B:B,"242-001300-000",Plan!aa:aa)</f>
        <v>0</v>
      </c>
      <c r="AB50">
        <f>sumif(Plan!B:B,"242-001300-000",Plan!ab:ab)</f>
        <v>0</v>
      </c>
      <c r="AC50">
        <f>sumif(Plan!B:B,"242-001300-000",Plan!ac:ac)</f>
        <v>0</v>
      </c>
      <c r="AD50">
        <f>sumif(Plan!B:B,"242-001300-000",Plan!ad:ad)</f>
        <v>0</v>
      </c>
      <c r="AE50">
        <f>sumif(Plan!B:B,"242-001300-000",Plan!ae:ae)</f>
        <v>0</v>
      </c>
      <c r="AF50">
        <f>sumif(Plan!B:B,"242-001300-000",Plan!af:af)</f>
        <v>0</v>
      </c>
      <c r="AG50">
        <f>sumif(Plan!B:B,"242-001300-000",Plan!ag:ag)</f>
        <v>0</v>
      </c>
      <c r="AH50">
        <f>sumif(Plan!B:B,"242-001300-000",Plan!ah:ah)</f>
        <v>0</v>
      </c>
      <c r="AI50">
        <f>sumif(Plan!B:B,"242-001300-000",Plan!ai:ai)</f>
        <v>0</v>
      </c>
      <c r="AJ50">
        <f>sumif(Plan!B:B,"242-001300-000",Plan!aj:aj)</f>
        <v>0</v>
      </c>
      <c r="AK50">
        <f>sumif(Plan!B:B,"242-001300-000",Plan!ak:ak)</f>
        <v>0</v>
      </c>
      <c r="AL50">
        <f>sumif(Plan!B:B,"242-001300-000",Plan!al:al)</f>
        <v>0</v>
      </c>
      <c r="AM50">
        <f>sumif(Plan!B:B,"242-001300-000",Plan!am:am)</f>
        <v>0</v>
      </c>
      <c r="AN50">
        <f>sumif(Plan!B:B,"242-001300-000",Plan!an:an)</f>
        <v>0</v>
      </c>
      <c r="AO50">
        <f>sumif(Plan!B:B,"242-001300-000",Plan!ao:ao)</f>
        <v>0</v>
      </c>
    </row>
    <row r="51" spans="1:41">
      <c r="A51" t="s">
        <v>41</v>
      </c>
      <c r="B51" t="s">
        <v>49</v>
      </c>
      <c r="C51" t="s">
        <v>50</v>
      </c>
      <c r="E51">
        <v>0.17</v>
      </c>
      <c r="F51" t="s">
        <v>13</v>
      </c>
      <c r="H51" t="s">
        <v>16</v>
      </c>
      <c r="J51">
        <f>indirect(address(51,9))+indirect(address(49,10))-indirect(address(50,10))</f>
        <v>0</v>
      </c>
      <c r="K51">
        <f>indirect(address(51,10))+indirect(address(49,11))-indirect(address(50,11))</f>
        <v>0</v>
      </c>
      <c r="L51">
        <f>indirect(address(51,11))+indirect(address(49,12))-indirect(address(50,12))</f>
        <v>0</v>
      </c>
      <c r="M51">
        <f>indirect(address(51,12))+indirect(address(49,13))-indirect(address(50,13))</f>
        <v>0</v>
      </c>
      <c r="N51">
        <f>indirect(address(51,13))+indirect(address(49,14))-indirect(address(50,14))</f>
        <v>0</v>
      </c>
      <c r="O51">
        <f>indirect(address(51,14))+indirect(address(49,15))-indirect(address(50,15))</f>
        <v>0</v>
      </c>
      <c r="P51">
        <f>indirect(address(51,15))+indirect(address(49,16))-indirect(address(50,16))</f>
        <v>0</v>
      </c>
      <c r="Q51">
        <f>indirect(address(51,16))+indirect(address(49,17))-indirect(address(50,17))</f>
        <v>0</v>
      </c>
      <c r="R51">
        <f>indirect(address(51,17))+indirect(address(49,18))-indirect(address(50,18))</f>
        <v>0</v>
      </c>
      <c r="S51">
        <f>indirect(address(51,18))+indirect(address(49,19))-indirect(address(50,19))</f>
        <v>0</v>
      </c>
      <c r="T51">
        <f>indirect(address(51,19))+indirect(address(49,20))-indirect(address(50,20))</f>
        <v>0</v>
      </c>
      <c r="U51">
        <f>indirect(address(51,20))+indirect(address(49,21))-indirect(address(50,21))</f>
        <v>0</v>
      </c>
      <c r="V51">
        <f>indirect(address(51,21))+indirect(address(49,22))-indirect(address(50,22))</f>
        <v>0</v>
      </c>
      <c r="W51">
        <f>indirect(address(51,22))+indirect(address(49,23))-indirect(address(50,23))</f>
        <v>0</v>
      </c>
      <c r="X51">
        <f>indirect(address(51,23))+indirect(address(49,24))-indirect(address(50,24))</f>
        <v>0</v>
      </c>
      <c r="Y51">
        <f>indirect(address(51,24))+indirect(address(49,25))-indirect(address(50,25))</f>
        <v>0</v>
      </c>
      <c r="Z51">
        <f>indirect(address(51,25))+indirect(address(49,26))-indirect(address(50,26))</f>
        <v>0</v>
      </c>
      <c r="AA51">
        <f>indirect(address(51,26))+indirect(address(49,27))-indirect(address(50,27))</f>
        <v>0</v>
      </c>
      <c r="AB51">
        <f>indirect(address(51,27))+indirect(address(49,28))-indirect(address(50,28))</f>
        <v>0</v>
      </c>
      <c r="AC51">
        <f>indirect(address(51,28))+indirect(address(49,29))-indirect(address(50,29))</f>
        <v>0</v>
      </c>
      <c r="AD51">
        <f>indirect(address(51,29))+indirect(address(49,30))-indirect(address(50,30))</f>
        <v>0</v>
      </c>
      <c r="AE51">
        <f>indirect(address(51,30))+indirect(address(49,31))-indirect(address(50,31))</f>
        <v>0</v>
      </c>
      <c r="AF51">
        <f>indirect(address(51,31))+indirect(address(49,32))-indirect(address(50,32))</f>
        <v>0</v>
      </c>
      <c r="AG51">
        <f>indirect(address(51,32))+indirect(address(49,33))-indirect(address(50,33))</f>
        <v>0</v>
      </c>
      <c r="AH51">
        <f>indirect(address(51,33))+indirect(address(49,34))-indirect(address(50,34))</f>
        <v>0</v>
      </c>
      <c r="AI51">
        <f>indirect(address(51,34))+indirect(address(49,35))-indirect(address(50,35))</f>
        <v>0</v>
      </c>
      <c r="AJ51">
        <f>indirect(address(51,35))+indirect(address(49,36))-indirect(address(50,36))</f>
        <v>0</v>
      </c>
      <c r="AK51">
        <f>indirect(address(51,36))+indirect(address(49,37))-indirect(address(50,37))</f>
        <v>0</v>
      </c>
      <c r="AL51">
        <f>indirect(address(51,37))+indirect(address(49,38))-indirect(address(50,38))</f>
        <v>0</v>
      </c>
      <c r="AM51">
        <f>indirect(address(51,38))+indirect(address(49,39))-indirect(address(50,39))</f>
        <v>0</v>
      </c>
      <c r="AN51">
        <f>indirect(address(51,39))+indirect(address(49,40))-indirect(address(50,40))</f>
        <v>0</v>
      </c>
      <c r="AO51">
        <f>indirect(address(51,40))+indirect(address(49,41))-indirect(address(50,41))</f>
        <v>0</v>
      </c>
    </row>
    <row r="52" spans="1:41">
      <c r="I52" t="s">
        <v>14</v>
      </c>
      <c r="AO52">
        <f>sum(j52:an52)</f>
        <v>0</v>
      </c>
    </row>
    <row r="53" spans="1:41">
      <c r="I53" t="s">
        <v>15</v>
      </c>
      <c r="J53">
        <f>sumif(Plan!B:B,"242-001300-000",Plan!j:j)</f>
        <v>0</v>
      </c>
      <c r="K53">
        <f>sumif(Plan!B:B,"242-001300-000",Plan!k:k)</f>
        <v>0</v>
      </c>
      <c r="L53">
        <f>sumif(Plan!B:B,"242-001300-000",Plan!l:l)</f>
        <v>0</v>
      </c>
      <c r="M53">
        <f>sumif(Plan!B:B,"242-001300-000",Plan!m:m)</f>
        <v>0</v>
      </c>
      <c r="N53">
        <f>sumif(Plan!B:B,"242-001300-000",Plan!n:n)</f>
        <v>0</v>
      </c>
      <c r="O53">
        <f>sumif(Plan!B:B,"242-001300-000",Plan!o:o)</f>
        <v>0</v>
      </c>
      <c r="P53">
        <f>sumif(Plan!B:B,"242-001300-000",Plan!p:p)</f>
        <v>0</v>
      </c>
      <c r="Q53">
        <f>sumif(Plan!B:B,"242-001300-000",Plan!q:q)</f>
        <v>0</v>
      </c>
      <c r="R53">
        <f>sumif(Plan!B:B,"242-001300-000",Plan!r:r)</f>
        <v>0</v>
      </c>
      <c r="S53">
        <f>sumif(Plan!B:B,"242-001300-000",Plan!s:s)</f>
        <v>0</v>
      </c>
      <c r="T53">
        <f>sumif(Plan!B:B,"242-001300-000",Plan!t:t)</f>
        <v>0</v>
      </c>
      <c r="U53">
        <f>sumif(Plan!B:B,"242-001300-000",Plan!u:u)</f>
        <v>0</v>
      </c>
      <c r="V53">
        <f>sumif(Plan!B:B,"242-001300-000",Plan!v:v)</f>
        <v>0</v>
      </c>
      <c r="W53">
        <f>sumif(Plan!B:B,"242-001300-000",Plan!w:w)</f>
        <v>0</v>
      </c>
      <c r="X53">
        <f>sumif(Plan!B:B,"242-001300-000",Plan!x:x)</f>
        <v>0</v>
      </c>
      <c r="Y53">
        <f>sumif(Plan!B:B,"242-001300-000",Plan!y:y)</f>
        <v>0</v>
      </c>
      <c r="Z53">
        <f>sumif(Plan!B:B,"242-001300-000",Plan!z:z)</f>
        <v>0</v>
      </c>
      <c r="AA53">
        <f>sumif(Plan!B:B,"242-001300-000",Plan!aa:aa)</f>
        <v>0</v>
      </c>
      <c r="AB53">
        <f>sumif(Plan!B:B,"242-001300-000",Plan!ab:ab)</f>
        <v>0</v>
      </c>
      <c r="AC53">
        <f>sumif(Plan!B:B,"242-001300-000",Plan!ac:ac)</f>
        <v>0</v>
      </c>
      <c r="AD53">
        <f>sumif(Plan!B:B,"242-001300-000",Plan!ad:ad)</f>
        <v>0</v>
      </c>
      <c r="AE53">
        <f>sumif(Plan!B:B,"242-001300-000",Plan!ae:ae)</f>
        <v>0</v>
      </c>
      <c r="AF53">
        <f>sumif(Plan!B:B,"242-001300-000",Plan!af:af)</f>
        <v>0</v>
      </c>
      <c r="AG53">
        <f>sumif(Plan!B:B,"242-001300-000",Plan!ag:ag)</f>
        <v>0</v>
      </c>
      <c r="AH53">
        <f>sumif(Plan!B:B,"242-001300-000",Plan!ah:ah)</f>
        <v>0</v>
      </c>
      <c r="AI53">
        <f>sumif(Plan!B:B,"242-001300-000",Plan!ai:ai)</f>
        <v>0</v>
      </c>
      <c r="AJ53">
        <f>sumif(Plan!B:B,"242-001300-000",Plan!aj:aj)</f>
        <v>0</v>
      </c>
      <c r="AK53">
        <f>sumif(Plan!B:B,"242-001300-000",Plan!ak:ak)</f>
        <v>0</v>
      </c>
      <c r="AL53">
        <f>sumif(Plan!B:B,"242-001300-000",Plan!al:al)</f>
        <v>0</v>
      </c>
      <c r="AM53">
        <f>sumif(Plan!B:B,"242-001300-000",Plan!am:am)</f>
        <v>0</v>
      </c>
      <c r="AN53">
        <f>sumif(Plan!B:B,"242-001300-000",Plan!an:an)</f>
        <v>0</v>
      </c>
      <c r="AO53">
        <f>sumif(Plan!B:B,"242-001300-000",Plan!ao:ao)</f>
        <v>0</v>
      </c>
    </row>
    <row r="54" spans="1:41">
      <c r="A54" t="s">
        <v>43</v>
      </c>
      <c r="B54" t="s">
        <v>49</v>
      </c>
      <c r="C54" t="s">
        <v>50</v>
      </c>
      <c r="E54">
        <v>0.17</v>
      </c>
      <c r="F54" t="s">
        <v>13</v>
      </c>
      <c r="H54" t="s">
        <v>16</v>
      </c>
      <c r="J54">
        <f>indirect(address(54,9))+indirect(address(52,10))-indirect(address(53,10))</f>
        <v>0</v>
      </c>
      <c r="K54">
        <f>indirect(address(54,10))+indirect(address(52,11))-indirect(address(53,11))</f>
        <v>0</v>
      </c>
      <c r="L54">
        <f>indirect(address(54,11))+indirect(address(52,12))-indirect(address(53,12))</f>
        <v>0</v>
      </c>
      <c r="M54">
        <f>indirect(address(54,12))+indirect(address(52,13))-indirect(address(53,13))</f>
        <v>0</v>
      </c>
      <c r="N54">
        <f>indirect(address(54,13))+indirect(address(52,14))-indirect(address(53,14))</f>
        <v>0</v>
      </c>
      <c r="O54">
        <f>indirect(address(54,14))+indirect(address(52,15))-indirect(address(53,15))</f>
        <v>0</v>
      </c>
      <c r="P54">
        <f>indirect(address(54,15))+indirect(address(52,16))-indirect(address(53,16))</f>
        <v>0</v>
      </c>
      <c r="Q54">
        <f>indirect(address(54,16))+indirect(address(52,17))-indirect(address(53,17))</f>
        <v>0</v>
      </c>
      <c r="R54">
        <f>indirect(address(54,17))+indirect(address(52,18))-indirect(address(53,18))</f>
        <v>0</v>
      </c>
      <c r="S54">
        <f>indirect(address(54,18))+indirect(address(52,19))-indirect(address(53,19))</f>
        <v>0</v>
      </c>
      <c r="T54">
        <f>indirect(address(54,19))+indirect(address(52,20))-indirect(address(53,20))</f>
        <v>0</v>
      </c>
      <c r="U54">
        <f>indirect(address(54,20))+indirect(address(52,21))-indirect(address(53,21))</f>
        <v>0</v>
      </c>
      <c r="V54">
        <f>indirect(address(54,21))+indirect(address(52,22))-indirect(address(53,22))</f>
        <v>0</v>
      </c>
      <c r="W54">
        <f>indirect(address(54,22))+indirect(address(52,23))-indirect(address(53,23))</f>
        <v>0</v>
      </c>
      <c r="X54">
        <f>indirect(address(54,23))+indirect(address(52,24))-indirect(address(53,24))</f>
        <v>0</v>
      </c>
      <c r="Y54">
        <f>indirect(address(54,24))+indirect(address(52,25))-indirect(address(53,25))</f>
        <v>0</v>
      </c>
      <c r="Z54">
        <f>indirect(address(54,25))+indirect(address(52,26))-indirect(address(53,26))</f>
        <v>0</v>
      </c>
      <c r="AA54">
        <f>indirect(address(54,26))+indirect(address(52,27))-indirect(address(53,27))</f>
        <v>0</v>
      </c>
      <c r="AB54">
        <f>indirect(address(54,27))+indirect(address(52,28))-indirect(address(53,28))</f>
        <v>0</v>
      </c>
      <c r="AC54">
        <f>indirect(address(54,28))+indirect(address(52,29))-indirect(address(53,29))</f>
        <v>0</v>
      </c>
      <c r="AD54">
        <f>indirect(address(54,29))+indirect(address(52,30))-indirect(address(53,30))</f>
        <v>0</v>
      </c>
      <c r="AE54">
        <f>indirect(address(54,30))+indirect(address(52,31))-indirect(address(53,31))</f>
        <v>0</v>
      </c>
      <c r="AF54">
        <f>indirect(address(54,31))+indirect(address(52,32))-indirect(address(53,32))</f>
        <v>0</v>
      </c>
      <c r="AG54">
        <f>indirect(address(54,32))+indirect(address(52,33))-indirect(address(53,33))</f>
        <v>0</v>
      </c>
      <c r="AH54">
        <f>indirect(address(54,33))+indirect(address(52,34))-indirect(address(53,34))</f>
        <v>0</v>
      </c>
      <c r="AI54">
        <f>indirect(address(54,34))+indirect(address(52,35))-indirect(address(53,35))</f>
        <v>0</v>
      </c>
      <c r="AJ54">
        <f>indirect(address(54,35))+indirect(address(52,36))-indirect(address(53,36))</f>
        <v>0</v>
      </c>
      <c r="AK54">
        <f>indirect(address(54,36))+indirect(address(52,37))-indirect(address(53,37))</f>
        <v>0</v>
      </c>
      <c r="AL54">
        <f>indirect(address(54,37))+indirect(address(52,38))-indirect(address(53,38))</f>
        <v>0</v>
      </c>
      <c r="AM54">
        <f>indirect(address(54,38))+indirect(address(52,39))-indirect(address(53,39))</f>
        <v>0</v>
      </c>
      <c r="AN54">
        <f>indirect(address(54,39))+indirect(address(52,40))-indirect(address(53,40))</f>
        <v>0</v>
      </c>
      <c r="AO54">
        <f>indirect(address(54,40))+indirect(address(52,41))-indirect(address(53,41))</f>
        <v>0</v>
      </c>
    </row>
    <row r="55" spans="1:41">
      <c r="I55" t="s">
        <v>14</v>
      </c>
      <c r="AO55">
        <f>sum(j55:an55)</f>
        <v>0</v>
      </c>
    </row>
    <row r="56" spans="1:41">
      <c r="I56" t="s">
        <v>15</v>
      </c>
      <c r="J56">
        <f>sumif(Plan!B:B,"827-054000-200",Plan!j:j)</f>
        <v>0</v>
      </c>
      <c r="K56">
        <f>sumif(Plan!B:B,"827-054000-200",Plan!k:k)</f>
        <v>0</v>
      </c>
      <c r="L56">
        <f>sumif(Plan!B:B,"827-054000-200",Plan!l:l)</f>
        <v>0</v>
      </c>
      <c r="M56">
        <f>sumif(Plan!B:B,"827-054000-200",Plan!m:m)</f>
        <v>0</v>
      </c>
      <c r="N56">
        <f>sumif(Plan!B:B,"827-054000-200",Plan!n:n)</f>
        <v>0</v>
      </c>
      <c r="O56">
        <f>sumif(Plan!B:B,"827-054000-200",Plan!o:o)</f>
        <v>0</v>
      </c>
      <c r="P56">
        <f>sumif(Plan!B:B,"827-054000-200",Plan!p:p)</f>
        <v>0</v>
      </c>
      <c r="Q56">
        <f>sumif(Plan!B:B,"827-054000-200",Plan!q:q)</f>
        <v>0</v>
      </c>
      <c r="R56">
        <f>sumif(Plan!B:B,"827-054000-200",Plan!r:r)</f>
        <v>0</v>
      </c>
      <c r="S56">
        <f>sumif(Plan!B:B,"827-054000-200",Plan!s:s)</f>
        <v>0</v>
      </c>
      <c r="T56">
        <f>sumif(Plan!B:B,"827-054000-200",Plan!t:t)</f>
        <v>0</v>
      </c>
      <c r="U56">
        <f>sumif(Plan!B:B,"827-054000-200",Plan!u:u)</f>
        <v>0</v>
      </c>
      <c r="V56">
        <f>sumif(Plan!B:B,"827-054000-200",Plan!v:v)</f>
        <v>0</v>
      </c>
      <c r="W56">
        <f>sumif(Plan!B:B,"827-054000-200",Plan!w:w)</f>
        <v>0</v>
      </c>
      <c r="X56">
        <f>sumif(Plan!B:B,"827-054000-200",Plan!x:x)</f>
        <v>0</v>
      </c>
      <c r="Y56">
        <f>sumif(Plan!B:B,"827-054000-200",Plan!y:y)</f>
        <v>0</v>
      </c>
      <c r="Z56">
        <f>sumif(Plan!B:B,"827-054000-200",Plan!z:z)</f>
        <v>0</v>
      </c>
      <c r="AA56">
        <f>sumif(Plan!B:B,"827-054000-200",Plan!aa:aa)</f>
        <v>0</v>
      </c>
      <c r="AB56">
        <f>sumif(Plan!B:B,"827-054000-200",Plan!ab:ab)</f>
        <v>0</v>
      </c>
      <c r="AC56">
        <f>sumif(Plan!B:B,"827-054000-200",Plan!ac:ac)</f>
        <v>0</v>
      </c>
      <c r="AD56">
        <f>sumif(Plan!B:B,"827-054000-200",Plan!ad:ad)</f>
        <v>0</v>
      </c>
      <c r="AE56">
        <f>sumif(Plan!B:B,"827-054000-200",Plan!ae:ae)</f>
        <v>0</v>
      </c>
      <c r="AF56">
        <f>sumif(Plan!B:B,"827-054000-200",Plan!af:af)</f>
        <v>0</v>
      </c>
      <c r="AG56">
        <f>sumif(Plan!B:B,"827-054000-200",Plan!ag:ag)</f>
        <v>0</v>
      </c>
      <c r="AH56">
        <f>sumif(Plan!B:B,"827-054000-200",Plan!ah:ah)</f>
        <v>0</v>
      </c>
      <c r="AI56">
        <f>sumif(Plan!B:B,"827-054000-200",Plan!ai:ai)</f>
        <v>0</v>
      </c>
      <c r="AJ56">
        <f>sumif(Plan!B:B,"827-054000-200",Plan!aj:aj)</f>
        <v>0</v>
      </c>
      <c r="AK56">
        <f>sumif(Plan!B:B,"827-054000-200",Plan!ak:ak)</f>
        <v>0</v>
      </c>
      <c r="AL56">
        <f>sumif(Plan!B:B,"827-054000-200",Plan!al:al)</f>
        <v>0</v>
      </c>
      <c r="AM56">
        <f>sumif(Plan!B:B,"827-054000-200",Plan!am:am)</f>
        <v>0</v>
      </c>
      <c r="AN56">
        <f>sumif(Plan!B:B,"827-054000-200",Plan!an:an)</f>
        <v>0</v>
      </c>
      <c r="AO56">
        <f>sumif(Plan!B:B,"827-054000-200",Plan!ao:ao)</f>
        <v>0</v>
      </c>
    </row>
    <row r="57" spans="1:41">
      <c r="A57" t="s">
        <v>17</v>
      </c>
      <c r="B57" t="s">
        <v>53</v>
      </c>
      <c r="C57" t="s">
        <v>54</v>
      </c>
      <c r="E57">
        <v>1</v>
      </c>
      <c r="F57" t="s">
        <v>13</v>
      </c>
      <c r="H57" t="s">
        <v>16</v>
      </c>
      <c r="J57">
        <f>indirect(address(57,9))+indirect(address(55,10))-indirect(address(56,10))</f>
        <v>0</v>
      </c>
      <c r="K57">
        <f>indirect(address(57,10))+indirect(address(55,11))-indirect(address(56,11))</f>
        <v>0</v>
      </c>
      <c r="L57">
        <f>indirect(address(57,11))+indirect(address(55,12))-indirect(address(56,12))</f>
        <v>0</v>
      </c>
      <c r="M57">
        <f>indirect(address(57,12))+indirect(address(55,13))-indirect(address(56,13))</f>
        <v>0</v>
      </c>
      <c r="N57">
        <f>indirect(address(57,13))+indirect(address(55,14))-indirect(address(56,14))</f>
        <v>0</v>
      </c>
      <c r="O57">
        <f>indirect(address(57,14))+indirect(address(55,15))-indirect(address(56,15))</f>
        <v>0</v>
      </c>
      <c r="P57">
        <f>indirect(address(57,15))+indirect(address(55,16))-indirect(address(56,16))</f>
        <v>0</v>
      </c>
      <c r="Q57">
        <f>indirect(address(57,16))+indirect(address(55,17))-indirect(address(56,17))</f>
        <v>0</v>
      </c>
      <c r="R57">
        <f>indirect(address(57,17))+indirect(address(55,18))-indirect(address(56,18))</f>
        <v>0</v>
      </c>
      <c r="S57">
        <f>indirect(address(57,18))+indirect(address(55,19))-indirect(address(56,19))</f>
        <v>0</v>
      </c>
      <c r="T57">
        <f>indirect(address(57,19))+indirect(address(55,20))-indirect(address(56,20))</f>
        <v>0</v>
      </c>
      <c r="U57">
        <f>indirect(address(57,20))+indirect(address(55,21))-indirect(address(56,21))</f>
        <v>0</v>
      </c>
      <c r="V57">
        <f>indirect(address(57,21))+indirect(address(55,22))-indirect(address(56,22))</f>
        <v>0</v>
      </c>
      <c r="W57">
        <f>indirect(address(57,22))+indirect(address(55,23))-indirect(address(56,23))</f>
        <v>0</v>
      </c>
      <c r="X57">
        <f>indirect(address(57,23))+indirect(address(55,24))-indirect(address(56,24))</f>
        <v>0</v>
      </c>
      <c r="Y57">
        <f>indirect(address(57,24))+indirect(address(55,25))-indirect(address(56,25))</f>
        <v>0</v>
      </c>
      <c r="Z57">
        <f>indirect(address(57,25))+indirect(address(55,26))-indirect(address(56,26))</f>
        <v>0</v>
      </c>
      <c r="AA57">
        <f>indirect(address(57,26))+indirect(address(55,27))-indirect(address(56,27))</f>
        <v>0</v>
      </c>
      <c r="AB57">
        <f>indirect(address(57,27))+indirect(address(55,28))-indirect(address(56,28))</f>
        <v>0</v>
      </c>
      <c r="AC57">
        <f>indirect(address(57,28))+indirect(address(55,29))-indirect(address(56,29))</f>
        <v>0</v>
      </c>
      <c r="AD57">
        <f>indirect(address(57,29))+indirect(address(55,30))-indirect(address(56,30))</f>
        <v>0</v>
      </c>
      <c r="AE57">
        <f>indirect(address(57,30))+indirect(address(55,31))-indirect(address(56,31))</f>
        <v>0</v>
      </c>
      <c r="AF57">
        <f>indirect(address(57,31))+indirect(address(55,32))-indirect(address(56,32))</f>
        <v>0</v>
      </c>
      <c r="AG57">
        <f>indirect(address(57,32))+indirect(address(55,33))-indirect(address(56,33))</f>
        <v>0</v>
      </c>
      <c r="AH57">
        <f>indirect(address(57,33))+indirect(address(55,34))-indirect(address(56,34))</f>
        <v>0</v>
      </c>
      <c r="AI57">
        <f>indirect(address(57,34))+indirect(address(55,35))-indirect(address(56,35))</f>
        <v>0</v>
      </c>
      <c r="AJ57">
        <f>indirect(address(57,35))+indirect(address(55,36))-indirect(address(56,36))</f>
        <v>0</v>
      </c>
      <c r="AK57">
        <f>indirect(address(57,36))+indirect(address(55,37))-indirect(address(56,37))</f>
        <v>0</v>
      </c>
      <c r="AL57">
        <f>indirect(address(57,37))+indirect(address(55,38))-indirect(address(56,38))</f>
        <v>0</v>
      </c>
      <c r="AM57">
        <f>indirect(address(57,38))+indirect(address(55,39))-indirect(address(56,39))</f>
        <v>0</v>
      </c>
      <c r="AN57">
        <f>indirect(address(57,39))+indirect(address(55,40))-indirect(address(56,40))</f>
        <v>0</v>
      </c>
      <c r="AO57">
        <f>indirect(address(57,40))+indirect(address(55,41))-indirect(address(56,41))</f>
        <v>0</v>
      </c>
    </row>
    <row r="58" spans="1:41">
      <c r="I58" t="s">
        <v>14</v>
      </c>
      <c r="AO58">
        <f>sum(j58:an58)</f>
        <v>0</v>
      </c>
    </row>
    <row r="59" spans="1:41">
      <c r="I59" t="s">
        <v>15</v>
      </c>
      <c r="J59">
        <f>sumif(Plan!B:B,"262-000000-105",Plan!j:j)</f>
        <v>0</v>
      </c>
      <c r="K59">
        <f>sumif(Plan!B:B,"262-000000-105",Plan!k:k)</f>
        <v>0</v>
      </c>
      <c r="L59">
        <f>sumif(Plan!B:B,"262-000000-105",Plan!l:l)</f>
        <v>0</v>
      </c>
      <c r="M59">
        <f>sumif(Plan!B:B,"262-000000-105",Plan!m:m)</f>
        <v>0</v>
      </c>
      <c r="N59">
        <f>sumif(Plan!B:B,"262-000000-105",Plan!n:n)</f>
        <v>0</v>
      </c>
      <c r="O59">
        <f>sumif(Plan!B:B,"262-000000-105",Plan!o:o)</f>
        <v>0</v>
      </c>
      <c r="P59">
        <f>sumif(Plan!B:B,"262-000000-105",Plan!p:p)</f>
        <v>0</v>
      </c>
      <c r="Q59">
        <f>sumif(Plan!B:B,"262-000000-105",Plan!q:q)</f>
        <v>0</v>
      </c>
      <c r="R59">
        <f>sumif(Plan!B:B,"262-000000-105",Plan!r:r)</f>
        <v>0</v>
      </c>
      <c r="S59">
        <f>sumif(Plan!B:B,"262-000000-105",Plan!s:s)</f>
        <v>0</v>
      </c>
      <c r="T59">
        <f>sumif(Plan!B:B,"262-000000-105",Plan!t:t)</f>
        <v>0</v>
      </c>
      <c r="U59">
        <f>sumif(Plan!B:B,"262-000000-105",Plan!u:u)</f>
        <v>0</v>
      </c>
      <c r="V59">
        <f>sumif(Plan!B:B,"262-000000-105",Plan!v:v)</f>
        <v>0</v>
      </c>
      <c r="W59">
        <f>sumif(Plan!B:B,"262-000000-105",Plan!w:w)</f>
        <v>0</v>
      </c>
      <c r="X59">
        <f>sumif(Plan!B:B,"262-000000-105",Plan!x:x)</f>
        <v>0</v>
      </c>
      <c r="Y59">
        <f>sumif(Plan!B:B,"262-000000-105",Plan!y:y)</f>
        <v>0</v>
      </c>
      <c r="Z59">
        <f>sumif(Plan!B:B,"262-000000-105",Plan!z:z)</f>
        <v>0</v>
      </c>
      <c r="AA59">
        <f>sumif(Plan!B:B,"262-000000-105",Plan!aa:aa)</f>
        <v>0</v>
      </c>
      <c r="AB59">
        <f>sumif(Plan!B:B,"262-000000-105",Plan!ab:ab)</f>
        <v>0</v>
      </c>
      <c r="AC59">
        <f>sumif(Plan!B:B,"262-000000-105",Plan!ac:ac)</f>
        <v>0</v>
      </c>
      <c r="AD59">
        <f>sumif(Plan!B:B,"262-000000-105",Plan!ad:ad)</f>
        <v>0</v>
      </c>
      <c r="AE59">
        <f>sumif(Plan!B:B,"262-000000-105",Plan!ae:ae)</f>
        <v>0</v>
      </c>
      <c r="AF59">
        <f>sumif(Plan!B:B,"262-000000-105",Plan!af:af)</f>
        <v>0</v>
      </c>
      <c r="AG59">
        <f>sumif(Plan!B:B,"262-000000-105",Plan!ag:ag)</f>
        <v>0</v>
      </c>
      <c r="AH59">
        <f>sumif(Plan!B:B,"262-000000-105",Plan!ah:ah)</f>
        <v>0</v>
      </c>
      <c r="AI59">
        <f>sumif(Plan!B:B,"262-000000-105",Plan!ai:ai)</f>
        <v>0</v>
      </c>
      <c r="AJ59">
        <f>sumif(Plan!B:B,"262-000000-105",Plan!aj:aj)</f>
        <v>0</v>
      </c>
      <c r="AK59">
        <f>sumif(Plan!B:B,"262-000000-105",Plan!ak:ak)</f>
        <v>0</v>
      </c>
      <c r="AL59">
        <f>sumif(Plan!B:B,"262-000000-105",Plan!al:al)</f>
        <v>0</v>
      </c>
      <c r="AM59">
        <f>sumif(Plan!B:B,"262-000000-105",Plan!am:am)</f>
        <v>0</v>
      </c>
      <c r="AN59">
        <f>sumif(Plan!B:B,"262-000000-105",Plan!an:an)</f>
        <v>0</v>
      </c>
      <c r="AO59">
        <f>sumif(Plan!B:B,"262-000000-105",Plan!ao:ao)</f>
        <v>0</v>
      </c>
    </row>
    <row r="60" spans="1:41">
      <c r="A60" t="s">
        <v>17</v>
      </c>
      <c r="B60" t="s">
        <v>55</v>
      </c>
      <c r="C60" t="s">
        <v>56</v>
      </c>
      <c r="E60">
        <v>4</v>
      </c>
      <c r="F60" t="s">
        <v>13</v>
      </c>
      <c r="H60" t="s">
        <v>16</v>
      </c>
      <c r="J60">
        <f>indirect(address(60,9))+indirect(address(58,10))-indirect(address(59,10))</f>
        <v>0</v>
      </c>
      <c r="K60">
        <f>indirect(address(60,10))+indirect(address(58,11))-indirect(address(59,11))</f>
        <v>0</v>
      </c>
      <c r="L60">
        <f>indirect(address(60,11))+indirect(address(58,12))-indirect(address(59,12))</f>
        <v>0</v>
      </c>
      <c r="M60">
        <f>indirect(address(60,12))+indirect(address(58,13))-indirect(address(59,13))</f>
        <v>0</v>
      </c>
      <c r="N60">
        <f>indirect(address(60,13))+indirect(address(58,14))-indirect(address(59,14))</f>
        <v>0</v>
      </c>
      <c r="O60">
        <f>indirect(address(60,14))+indirect(address(58,15))-indirect(address(59,15))</f>
        <v>0</v>
      </c>
      <c r="P60">
        <f>indirect(address(60,15))+indirect(address(58,16))-indirect(address(59,16))</f>
        <v>0</v>
      </c>
      <c r="Q60">
        <f>indirect(address(60,16))+indirect(address(58,17))-indirect(address(59,17))</f>
        <v>0</v>
      </c>
      <c r="R60">
        <f>indirect(address(60,17))+indirect(address(58,18))-indirect(address(59,18))</f>
        <v>0</v>
      </c>
      <c r="S60">
        <f>indirect(address(60,18))+indirect(address(58,19))-indirect(address(59,19))</f>
        <v>0</v>
      </c>
      <c r="T60">
        <f>indirect(address(60,19))+indirect(address(58,20))-indirect(address(59,20))</f>
        <v>0</v>
      </c>
      <c r="U60">
        <f>indirect(address(60,20))+indirect(address(58,21))-indirect(address(59,21))</f>
        <v>0</v>
      </c>
      <c r="V60">
        <f>indirect(address(60,21))+indirect(address(58,22))-indirect(address(59,22))</f>
        <v>0</v>
      </c>
      <c r="W60">
        <f>indirect(address(60,22))+indirect(address(58,23))-indirect(address(59,23))</f>
        <v>0</v>
      </c>
      <c r="X60">
        <f>indirect(address(60,23))+indirect(address(58,24))-indirect(address(59,24))</f>
        <v>0</v>
      </c>
      <c r="Y60">
        <f>indirect(address(60,24))+indirect(address(58,25))-indirect(address(59,25))</f>
        <v>0</v>
      </c>
      <c r="Z60">
        <f>indirect(address(60,25))+indirect(address(58,26))-indirect(address(59,26))</f>
        <v>0</v>
      </c>
      <c r="AA60">
        <f>indirect(address(60,26))+indirect(address(58,27))-indirect(address(59,27))</f>
        <v>0</v>
      </c>
      <c r="AB60">
        <f>indirect(address(60,27))+indirect(address(58,28))-indirect(address(59,28))</f>
        <v>0</v>
      </c>
      <c r="AC60">
        <f>indirect(address(60,28))+indirect(address(58,29))-indirect(address(59,29))</f>
        <v>0</v>
      </c>
      <c r="AD60">
        <f>indirect(address(60,29))+indirect(address(58,30))-indirect(address(59,30))</f>
        <v>0</v>
      </c>
      <c r="AE60">
        <f>indirect(address(60,30))+indirect(address(58,31))-indirect(address(59,31))</f>
        <v>0</v>
      </c>
      <c r="AF60">
        <f>indirect(address(60,31))+indirect(address(58,32))-indirect(address(59,32))</f>
        <v>0</v>
      </c>
      <c r="AG60">
        <f>indirect(address(60,32))+indirect(address(58,33))-indirect(address(59,33))</f>
        <v>0</v>
      </c>
      <c r="AH60">
        <f>indirect(address(60,33))+indirect(address(58,34))-indirect(address(59,34))</f>
        <v>0</v>
      </c>
      <c r="AI60">
        <f>indirect(address(60,34))+indirect(address(58,35))-indirect(address(59,35))</f>
        <v>0</v>
      </c>
      <c r="AJ60">
        <f>indirect(address(60,35))+indirect(address(58,36))-indirect(address(59,36))</f>
        <v>0</v>
      </c>
      <c r="AK60">
        <f>indirect(address(60,36))+indirect(address(58,37))-indirect(address(59,37))</f>
        <v>0</v>
      </c>
      <c r="AL60">
        <f>indirect(address(60,37))+indirect(address(58,38))-indirect(address(59,38))</f>
        <v>0</v>
      </c>
      <c r="AM60">
        <f>indirect(address(60,38))+indirect(address(58,39))-indirect(address(59,39))</f>
        <v>0</v>
      </c>
      <c r="AN60">
        <f>indirect(address(60,39))+indirect(address(58,40))-indirect(address(59,40))</f>
        <v>0</v>
      </c>
      <c r="AO60">
        <f>indirect(address(60,40))+indirect(address(58,41))-indirect(address(59,41))</f>
        <v>0</v>
      </c>
    </row>
    <row r="61" spans="1:41">
      <c r="I61" t="s">
        <v>14</v>
      </c>
      <c r="AO61">
        <f>sum(j61:an61)</f>
        <v>0</v>
      </c>
    </row>
    <row r="62" spans="1:41">
      <c r="I62" t="s">
        <v>15</v>
      </c>
      <c r="J62">
        <f>sumif(Plan!B:B,"927-005000-200",Plan!j:j)</f>
        <v>0</v>
      </c>
      <c r="K62">
        <f>sumif(Plan!B:B,"927-005000-200",Plan!k:k)</f>
        <v>0</v>
      </c>
      <c r="L62">
        <f>sumif(Plan!B:B,"927-005000-200",Plan!l:l)</f>
        <v>0</v>
      </c>
      <c r="M62">
        <f>sumif(Plan!B:B,"927-005000-200",Plan!m:m)</f>
        <v>0</v>
      </c>
      <c r="N62">
        <f>sumif(Plan!B:B,"927-005000-200",Plan!n:n)</f>
        <v>0</v>
      </c>
      <c r="O62">
        <f>sumif(Plan!B:B,"927-005000-200",Plan!o:o)</f>
        <v>0</v>
      </c>
      <c r="P62">
        <f>sumif(Plan!B:B,"927-005000-200",Plan!p:p)</f>
        <v>0</v>
      </c>
      <c r="Q62">
        <f>sumif(Plan!B:B,"927-005000-200",Plan!q:q)</f>
        <v>0</v>
      </c>
      <c r="R62">
        <f>sumif(Plan!B:B,"927-005000-200",Plan!r:r)</f>
        <v>0</v>
      </c>
      <c r="S62">
        <f>sumif(Plan!B:B,"927-005000-200",Plan!s:s)</f>
        <v>0</v>
      </c>
      <c r="T62">
        <f>sumif(Plan!B:B,"927-005000-200",Plan!t:t)</f>
        <v>0</v>
      </c>
      <c r="U62">
        <f>sumif(Plan!B:B,"927-005000-200",Plan!u:u)</f>
        <v>0</v>
      </c>
      <c r="V62">
        <f>sumif(Plan!B:B,"927-005000-200",Plan!v:v)</f>
        <v>0</v>
      </c>
      <c r="W62">
        <f>sumif(Plan!B:B,"927-005000-200",Plan!w:w)</f>
        <v>0</v>
      </c>
      <c r="X62">
        <f>sumif(Plan!B:B,"927-005000-200",Plan!x:x)</f>
        <v>0</v>
      </c>
      <c r="Y62">
        <f>sumif(Plan!B:B,"927-005000-200",Plan!y:y)</f>
        <v>0</v>
      </c>
      <c r="Z62">
        <f>sumif(Plan!B:B,"927-005000-200",Plan!z:z)</f>
        <v>0</v>
      </c>
      <c r="AA62">
        <f>sumif(Plan!B:B,"927-005000-200",Plan!aa:aa)</f>
        <v>0</v>
      </c>
      <c r="AB62">
        <f>sumif(Plan!B:B,"927-005000-200",Plan!ab:ab)</f>
        <v>0</v>
      </c>
      <c r="AC62">
        <f>sumif(Plan!B:B,"927-005000-200",Plan!ac:ac)</f>
        <v>0</v>
      </c>
      <c r="AD62">
        <f>sumif(Plan!B:B,"927-005000-200",Plan!ad:ad)</f>
        <v>0</v>
      </c>
      <c r="AE62">
        <f>sumif(Plan!B:B,"927-005000-200",Plan!ae:ae)</f>
        <v>0</v>
      </c>
      <c r="AF62">
        <f>sumif(Plan!B:B,"927-005000-200",Plan!af:af)</f>
        <v>0</v>
      </c>
      <c r="AG62">
        <f>sumif(Plan!B:B,"927-005000-200",Plan!ag:ag)</f>
        <v>0</v>
      </c>
      <c r="AH62">
        <f>sumif(Plan!B:B,"927-005000-200",Plan!ah:ah)</f>
        <v>0</v>
      </c>
      <c r="AI62">
        <f>sumif(Plan!B:B,"927-005000-200",Plan!ai:ai)</f>
        <v>0</v>
      </c>
      <c r="AJ62">
        <f>sumif(Plan!B:B,"927-005000-200",Plan!aj:aj)</f>
        <v>0</v>
      </c>
      <c r="AK62">
        <f>sumif(Plan!B:B,"927-005000-200",Plan!ak:ak)</f>
        <v>0</v>
      </c>
      <c r="AL62">
        <f>sumif(Plan!B:B,"927-005000-200",Plan!al:al)</f>
        <v>0</v>
      </c>
      <c r="AM62">
        <f>sumif(Plan!B:B,"927-005000-200",Plan!am:am)</f>
        <v>0</v>
      </c>
      <c r="AN62">
        <f>sumif(Plan!B:B,"927-005000-200",Plan!an:an)</f>
        <v>0</v>
      </c>
      <c r="AO62">
        <f>sumif(Plan!B:B,"927-005000-200",Plan!ao:ao)</f>
        <v>0</v>
      </c>
    </row>
    <row r="63" spans="1:41">
      <c r="A63" t="s">
        <v>17</v>
      </c>
      <c r="B63" t="s">
        <v>57</v>
      </c>
      <c r="C63" t="s">
        <v>58</v>
      </c>
      <c r="E63">
        <v>1</v>
      </c>
      <c r="F63" t="s">
        <v>13</v>
      </c>
      <c r="H63" t="s">
        <v>16</v>
      </c>
      <c r="J63">
        <f>indirect(address(63,9))+indirect(address(61,10))-indirect(address(62,10))</f>
        <v>0</v>
      </c>
      <c r="K63">
        <f>indirect(address(63,10))+indirect(address(61,11))-indirect(address(62,11))</f>
        <v>0</v>
      </c>
      <c r="L63">
        <f>indirect(address(63,11))+indirect(address(61,12))-indirect(address(62,12))</f>
        <v>0</v>
      </c>
      <c r="M63">
        <f>indirect(address(63,12))+indirect(address(61,13))-indirect(address(62,13))</f>
        <v>0</v>
      </c>
      <c r="N63">
        <f>indirect(address(63,13))+indirect(address(61,14))-indirect(address(62,14))</f>
        <v>0</v>
      </c>
      <c r="O63">
        <f>indirect(address(63,14))+indirect(address(61,15))-indirect(address(62,15))</f>
        <v>0</v>
      </c>
      <c r="P63">
        <f>indirect(address(63,15))+indirect(address(61,16))-indirect(address(62,16))</f>
        <v>0</v>
      </c>
      <c r="Q63">
        <f>indirect(address(63,16))+indirect(address(61,17))-indirect(address(62,17))</f>
        <v>0</v>
      </c>
      <c r="R63">
        <f>indirect(address(63,17))+indirect(address(61,18))-indirect(address(62,18))</f>
        <v>0</v>
      </c>
      <c r="S63">
        <f>indirect(address(63,18))+indirect(address(61,19))-indirect(address(62,19))</f>
        <v>0</v>
      </c>
      <c r="T63">
        <f>indirect(address(63,19))+indirect(address(61,20))-indirect(address(62,20))</f>
        <v>0</v>
      </c>
      <c r="U63">
        <f>indirect(address(63,20))+indirect(address(61,21))-indirect(address(62,21))</f>
        <v>0</v>
      </c>
      <c r="V63">
        <f>indirect(address(63,21))+indirect(address(61,22))-indirect(address(62,22))</f>
        <v>0</v>
      </c>
      <c r="W63">
        <f>indirect(address(63,22))+indirect(address(61,23))-indirect(address(62,23))</f>
        <v>0</v>
      </c>
      <c r="X63">
        <f>indirect(address(63,23))+indirect(address(61,24))-indirect(address(62,24))</f>
        <v>0</v>
      </c>
      <c r="Y63">
        <f>indirect(address(63,24))+indirect(address(61,25))-indirect(address(62,25))</f>
        <v>0</v>
      </c>
      <c r="Z63">
        <f>indirect(address(63,25))+indirect(address(61,26))-indirect(address(62,26))</f>
        <v>0</v>
      </c>
      <c r="AA63">
        <f>indirect(address(63,26))+indirect(address(61,27))-indirect(address(62,27))</f>
        <v>0</v>
      </c>
      <c r="AB63">
        <f>indirect(address(63,27))+indirect(address(61,28))-indirect(address(62,28))</f>
        <v>0</v>
      </c>
      <c r="AC63">
        <f>indirect(address(63,28))+indirect(address(61,29))-indirect(address(62,29))</f>
        <v>0</v>
      </c>
      <c r="AD63">
        <f>indirect(address(63,29))+indirect(address(61,30))-indirect(address(62,30))</f>
        <v>0</v>
      </c>
      <c r="AE63">
        <f>indirect(address(63,30))+indirect(address(61,31))-indirect(address(62,31))</f>
        <v>0</v>
      </c>
      <c r="AF63">
        <f>indirect(address(63,31))+indirect(address(61,32))-indirect(address(62,32))</f>
        <v>0</v>
      </c>
      <c r="AG63">
        <f>indirect(address(63,32))+indirect(address(61,33))-indirect(address(62,33))</f>
        <v>0</v>
      </c>
      <c r="AH63">
        <f>indirect(address(63,33))+indirect(address(61,34))-indirect(address(62,34))</f>
        <v>0</v>
      </c>
      <c r="AI63">
        <f>indirect(address(63,34))+indirect(address(61,35))-indirect(address(62,35))</f>
        <v>0</v>
      </c>
      <c r="AJ63">
        <f>indirect(address(63,35))+indirect(address(61,36))-indirect(address(62,36))</f>
        <v>0</v>
      </c>
      <c r="AK63">
        <f>indirect(address(63,36))+indirect(address(61,37))-indirect(address(62,37))</f>
        <v>0</v>
      </c>
      <c r="AL63">
        <f>indirect(address(63,37))+indirect(address(61,38))-indirect(address(62,38))</f>
        <v>0</v>
      </c>
      <c r="AM63">
        <f>indirect(address(63,38))+indirect(address(61,39))-indirect(address(62,39))</f>
        <v>0</v>
      </c>
      <c r="AN63">
        <f>indirect(address(63,39))+indirect(address(61,40))-indirect(address(62,40))</f>
        <v>0</v>
      </c>
      <c r="AO63">
        <f>indirect(address(63,40))+indirect(address(61,41))-indirect(address(62,41))</f>
        <v>0</v>
      </c>
    </row>
    <row r="64" spans="1:41">
      <c r="I64" t="s">
        <v>14</v>
      </c>
      <c r="AO64">
        <f>sum(j64:an64)</f>
        <v>0</v>
      </c>
    </row>
    <row r="65" spans="1:41">
      <c r="I65" t="s">
        <v>15</v>
      </c>
      <c r="J65">
        <f>sumif(Plan!B:B,"263-000000-032",Plan!j:j)</f>
        <v>0</v>
      </c>
      <c r="K65">
        <f>sumif(Plan!B:B,"263-000000-032",Plan!k:k)</f>
        <v>0</v>
      </c>
      <c r="L65">
        <f>sumif(Plan!B:B,"263-000000-032",Plan!l:l)</f>
        <v>0</v>
      </c>
      <c r="M65">
        <f>sumif(Plan!B:B,"263-000000-032",Plan!m:m)</f>
        <v>0</v>
      </c>
      <c r="N65">
        <f>sumif(Plan!B:B,"263-000000-032",Plan!n:n)</f>
        <v>0</v>
      </c>
      <c r="O65">
        <f>sumif(Plan!B:B,"263-000000-032",Plan!o:o)</f>
        <v>0</v>
      </c>
      <c r="P65">
        <f>sumif(Plan!B:B,"263-000000-032",Plan!p:p)</f>
        <v>0</v>
      </c>
      <c r="Q65">
        <f>sumif(Plan!B:B,"263-000000-032",Plan!q:q)</f>
        <v>0</v>
      </c>
      <c r="R65">
        <f>sumif(Plan!B:B,"263-000000-032",Plan!r:r)</f>
        <v>0</v>
      </c>
      <c r="S65">
        <f>sumif(Plan!B:B,"263-000000-032",Plan!s:s)</f>
        <v>0</v>
      </c>
      <c r="T65">
        <f>sumif(Plan!B:B,"263-000000-032",Plan!t:t)</f>
        <v>0</v>
      </c>
      <c r="U65">
        <f>sumif(Plan!B:B,"263-000000-032",Plan!u:u)</f>
        <v>0</v>
      </c>
      <c r="V65">
        <f>sumif(Plan!B:B,"263-000000-032",Plan!v:v)</f>
        <v>0</v>
      </c>
      <c r="W65">
        <f>sumif(Plan!B:B,"263-000000-032",Plan!w:w)</f>
        <v>0</v>
      </c>
      <c r="X65">
        <f>sumif(Plan!B:B,"263-000000-032",Plan!x:x)</f>
        <v>0</v>
      </c>
      <c r="Y65">
        <f>sumif(Plan!B:B,"263-000000-032",Plan!y:y)</f>
        <v>0</v>
      </c>
      <c r="Z65">
        <f>sumif(Plan!B:B,"263-000000-032",Plan!z:z)</f>
        <v>0</v>
      </c>
      <c r="AA65">
        <f>sumif(Plan!B:B,"263-000000-032",Plan!aa:aa)</f>
        <v>0</v>
      </c>
      <c r="AB65">
        <f>sumif(Plan!B:B,"263-000000-032",Plan!ab:ab)</f>
        <v>0</v>
      </c>
      <c r="AC65">
        <f>sumif(Plan!B:B,"263-000000-032",Plan!ac:ac)</f>
        <v>0</v>
      </c>
      <c r="AD65">
        <f>sumif(Plan!B:B,"263-000000-032",Plan!ad:ad)</f>
        <v>0</v>
      </c>
      <c r="AE65">
        <f>sumif(Plan!B:B,"263-000000-032",Plan!ae:ae)</f>
        <v>0</v>
      </c>
      <c r="AF65">
        <f>sumif(Plan!B:B,"263-000000-032",Plan!af:af)</f>
        <v>0</v>
      </c>
      <c r="AG65">
        <f>sumif(Plan!B:B,"263-000000-032",Plan!ag:ag)</f>
        <v>0</v>
      </c>
      <c r="AH65">
        <f>sumif(Plan!B:B,"263-000000-032",Plan!ah:ah)</f>
        <v>0</v>
      </c>
      <c r="AI65">
        <f>sumif(Plan!B:B,"263-000000-032",Plan!ai:ai)</f>
        <v>0</v>
      </c>
      <c r="AJ65">
        <f>sumif(Plan!B:B,"263-000000-032",Plan!aj:aj)</f>
        <v>0</v>
      </c>
      <c r="AK65">
        <f>sumif(Plan!B:B,"263-000000-032",Plan!ak:ak)</f>
        <v>0</v>
      </c>
      <c r="AL65">
        <f>sumif(Plan!B:B,"263-000000-032",Plan!al:al)</f>
        <v>0</v>
      </c>
      <c r="AM65">
        <f>sumif(Plan!B:B,"263-000000-032",Plan!am:am)</f>
        <v>0</v>
      </c>
      <c r="AN65">
        <f>sumif(Plan!B:B,"263-000000-032",Plan!an:an)</f>
        <v>0</v>
      </c>
      <c r="AO65">
        <f>sumif(Plan!B:B,"263-000000-032",Plan!ao:ao)</f>
        <v>0</v>
      </c>
    </row>
    <row r="66" spans="1:41">
      <c r="A66" t="s">
        <v>22</v>
      </c>
      <c r="B66" t="s">
        <v>59</v>
      </c>
      <c r="C66" t="s">
        <v>60</v>
      </c>
      <c r="E66">
        <v>1</v>
      </c>
      <c r="F66" t="s">
        <v>13</v>
      </c>
      <c r="H66" t="s">
        <v>16</v>
      </c>
      <c r="J66">
        <f>indirect(address(66,9))+indirect(address(64,10))-indirect(address(65,10))</f>
        <v>0</v>
      </c>
      <c r="K66">
        <f>indirect(address(66,10))+indirect(address(64,11))-indirect(address(65,11))</f>
        <v>0</v>
      </c>
      <c r="L66">
        <f>indirect(address(66,11))+indirect(address(64,12))-indirect(address(65,12))</f>
        <v>0</v>
      </c>
      <c r="M66">
        <f>indirect(address(66,12))+indirect(address(64,13))-indirect(address(65,13))</f>
        <v>0</v>
      </c>
      <c r="N66">
        <f>indirect(address(66,13))+indirect(address(64,14))-indirect(address(65,14))</f>
        <v>0</v>
      </c>
      <c r="O66">
        <f>indirect(address(66,14))+indirect(address(64,15))-indirect(address(65,15))</f>
        <v>0</v>
      </c>
      <c r="P66">
        <f>indirect(address(66,15))+indirect(address(64,16))-indirect(address(65,16))</f>
        <v>0</v>
      </c>
      <c r="Q66">
        <f>indirect(address(66,16))+indirect(address(64,17))-indirect(address(65,17))</f>
        <v>0</v>
      </c>
      <c r="R66">
        <f>indirect(address(66,17))+indirect(address(64,18))-indirect(address(65,18))</f>
        <v>0</v>
      </c>
      <c r="S66">
        <f>indirect(address(66,18))+indirect(address(64,19))-indirect(address(65,19))</f>
        <v>0</v>
      </c>
      <c r="T66">
        <f>indirect(address(66,19))+indirect(address(64,20))-indirect(address(65,20))</f>
        <v>0</v>
      </c>
      <c r="U66">
        <f>indirect(address(66,20))+indirect(address(64,21))-indirect(address(65,21))</f>
        <v>0</v>
      </c>
      <c r="V66">
        <f>indirect(address(66,21))+indirect(address(64,22))-indirect(address(65,22))</f>
        <v>0</v>
      </c>
      <c r="W66">
        <f>indirect(address(66,22))+indirect(address(64,23))-indirect(address(65,23))</f>
        <v>0</v>
      </c>
      <c r="X66">
        <f>indirect(address(66,23))+indirect(address(64,24))-indirect(address(65,24))</f>
        <v>0</v>
      </c>
      <c r="Y66">
        <f>indirect(address(66,24))+indirect(address(64,25))-indirect(address(65,25))</f>
        <v>0</v>
      </c>
      <c r="Z66">
        <f>indirect(address(66,25))+indirect(address(64,26))-indirect(address(65,26))</f>
        <v>0</v>
      </c>
      <c r="AA66">
        <f>indirect(address(66,26))+indirect(address(64,27))-indirect(address(65,27))</f>
        <v>0</v>
      </c>
      <c r="AB66">
        <f>indirect(address(66,27))+indirect(address(64,28))-indirect(address(65,28))</f>
        <v>0</v>
      </c>
      <c r="AC66">
        <f>indirect(address(66,28))+indirect(address(64,29))-indirect(address(65,29))</f>
        <v>0</v>
      </c>
      <c r="AD66">
        <f>indirect(address(66,29))+indirect(address(64,30))-indirect(address(65,30))</f>
        <v>0</v>
      </c>
      <c r="AE66">
        <f>indirect(address(66,30))+indirect(address(64,31))-indirect(address(65,31))</f>
        <v>0</v>
      </c>
      <c r="AF66">
        <f>indirect(address(66,31))+indirect(address(64,32))-indirect(address(65,32))</f>
        <v>0</v>
      </c>
      <c r="AG66">
        <f>indirect(address(66,32))+indirect(address(64,33))-indirect(address(65,33))</f>
        <v>0</v>
      </c>
      <c r="AH66">
        <f>indirect(address(66,33))+indirect(address(64,34))-indirect(address(65,34))</f>
        <v>0</v>
      </c>
      <c r="AI66">
        <f>indirect(address(66,34))+indirect(address(64,35))-indirect(address(65,35))</f>
        <v>0</v>
      </c>
      <c r="AJ66">
        <f>indirect(address(66,35))+indirect(address(64,36))-indirect(address(65,36))</f>
        <v>0</v>
      </c>
      <c r="AK66">
        <f>indirect(address(66,36))+indirect(address(64,37))-indirect(address(65,37))</f>
        <v>0</v>
      </c>
      <c r="AL66">
        <f>indirect(address(66,37))+indirect(address(64,38))-indirect(address(65,38))</f>
        <v>0</v>
      </c>
      <c r="AM66">
        <f>indirect(address(66,38))+indirect(address(64,39))-indirect(address(65,39))</f>
        <v>0</v>
      </c>
      <c r="AN66">
        <f>indirect(address(66,39))+indirect(address(64,40))-indirect(address(65,40))</f>
        <v>0</v>
      </c>
      <c r="AO66">
        <f>indirect(address(66,40))+indirect(address(64,41))-indirect(address(65,41))</f>
        <v>0</v>
      </c>
    </row>
    <row r="67" spans="1:41">
      <c r="I67" t="s">
        <v>14</v>
      </c>
      <c r="AO67">
        <f>sum(j67:an67)</f>
        <v>0</v>
      </c>
    </row>
    <row r="68" spans="1:41">
      <c r="I68" t="s">
        <v>15</v>
      </c>
      <c r="J68">
        <f>sumif(Plan!B:B,"242-001300-000",Plan!j:j)</f>
        <v>0</v>
      </c>
      <c r="K68">
        <f>sumif(Plan!B:B,"242-001300-000",Plan!k:k)</f>
        <v>0</v>
      </c>
      <c r="L68">
        <f>sumif(Plan!B:B,"242-001300-000",Plan!l:l)</f>
        <v>0</v>
      </c>
      <c r="M68">
        <f>sumif(Plan!B:B,"242-001300-000",Plan!m:m)</f>
        <v>0</v>
      </c>
      <c r="N68">
        <f>sumif(Plan!B:B,"242-001300-000",Plan!n:n)</f>
        <v>0</v>
      </c>
      <c r="O68">
        <f>sumif(Plan!B:B,"242-001300-000",Plan!o:o)</f>
        <v>0</v>
      </c>
      <c r="P68">
        <f>sumif(Plan!B:B,"242-001300-000",Plan!p:p)</f>
        <v>0</v>
      </c>
      <c r="Q68">
        <f>sumif(Plan!B:B,"242-001300-000",Plan!q:q)</f>
        <v>0</v>
      </c>
      <c r="R68">
        <f>sumif(Plan!B:B,"242-001300-000",Plan!r:r)</f>
        <v>0</v>
      </c>
      <c r="S68">
        <f>sumif(Plan!B:B,"242-001300-000",Plan!s:s)</f>
        <v>0</v>
      </c>
      <c r="T68">
        <f>sumif(Plan!B:B,"242-001300-000",Plan!t:t)</f>
        <v>0</v>
      </c>
      <c r="U68">
        <f>sumif(Plan!B:B,"242-001300-000",Plan!u:u)</f>
        <v>0</v>
      </c>
      <c r="V68">
        <f>sumif(Plan!B:B,"242-001300-000",Plan!v:v)</f>
        <v>0</v>
      </c>
      <c r="W68">
        <f>sumif(Plan!B:B,"242-001300-000",Plan!w:w)</f>
        <v>0</v>
      </c>
      <c r="X68">
        <f>sumif(Plan!B:B,"242-001300-000",Plan!x:x)</f>
        <v>0</v>
      </c>
      <c r="Y68">
        <f>sumif(Plan!B:B,"242-001300-000",Plan!y:y)</f>
        <v>0</v>
      </c>
      <c r="Z68">
        <f>sumif(Plan!B:B,"242-001300-000",Plan!z:z)</f>
        <v>0</v>
      </c>
      <c r="AA68">
        <f>sumif(Plan!B:B,"242-001300-000",Plan!aa:aa)</f>
        <v>0</v>
      </c>
      <c r="AB68">
        <f>sumif(Plan!B:B,"242-001300-000",Plan!ab:ab)</f>
        <v>0</v>
      </c>
      <c r="AC68">
        <f>sumif(Plan!B:B,"242-001300-000",Plan!ac:ac)</f>
        <v>0</v>
      </c>
      <c r="AD68">
        <f>sumif(Plan!B:B,"242-001300-000",Plan!ad:ad)</f>
        <v>0</v>
      </c>
      <c r="AE68">
        <f>sumif(Plan!B:B,"242-001300-000",Plan!ae:ae)</f>
        <v>0</v>
      </c>
      <c r="AF68">
        <f>sumif(Plan!B:B,"242-001300-000",Plan!af:af)</f>
        <v>0</v>
      </c>
      <c r="AG68">
        <f>sumif(Plan!B:B,"242-001300-000",Plan!ag:ag)</f>
        <v>0</v>
      </c>
      <c r="AH68">
        <f>sumif(Plan!B:B,"242-001300-000",Plan!ah:ah)</f>
        <v>0</v>
      </c>
      <c r="AI68">
        <f>sumif(Plan!B:B,"242-001300-000",Plan!ai:ai)</f>
        <v>0</v>
      </c>
      <c r="AJ68">
        <f>sumif(Plan!B:B,"242-001300-000",Plan!aj:aj)</f>
        <v>0</v>
      </c>
      <c r="AK68">
        <f>sumif(Plan!B:B,"242-001300-000",Plan!ak:ak)</f>
        <v>0</v>
      </c>
      <c r="AL68">
        <f>sumif(Plan!B:B,"242-001300-000",Plan!al:al)</f>
        <v>0</v>
      </c>
      <c r="AM68">
        <f>sumif(Plan!B:B,"242-001300-000",Plan!am:am)</f>
        <v>0</v>
      </c>
      <c r="AN68">
        <f>sumif(Plan!B:B,"242-001300-000",Plan!an:an)</f>
        <v>0</v>
      </c>
      <c r="AO68">
        <f>sumif(Plan!B:B,"242-001300-000",Plan!ao:ao)</f>
        <v>0</v>
      </c>
    </row>
    <row r="69" spans="1:41">
      <c r="A69" t="s">
        <v>22</v>
      </c>
      <c r="B69" t="s">
        <v>49</v>
      </c>
      <c r="C69" t="s">
        <v>61</v>
      </c>
      <c r="E69">
        <v>1</v>
      </c>
      <c r="F69" t="s">
        <v>13</v>
      </c>
      <c r="H69" t="s">
        <v>16</v>
      </c>
      <c r="J69">
        <f>indirect(address(69,9))+indirect(address(67,10))-indirect(address(68,10))</f>
        <v>0</v>
      </c>
      <c r="K69">
        <f>indirect(address(69,10))+indirect(address(67,11))-indirect(address(68,11))</f>
        <v>0</v>
      </c>
      <c r="L69">
        <f>indirect(address(69,11))+indirect(address(67,12))-indirect(address(68,12))</f>
        <v>0</v>
      </c>
      <c r="M69">
        <f>indirect(address(69,12))+indirect(address(67,13))-indirect(address(68,13))</f>
        <v>0</v>
      </c>
      <c r="N69">
        <f>indirect(address(69,13))+indirect(address(67,14))-indirect(address(68,14))</f>
        <v>0</v>
      </c>
      <c r="O69">
        <f>indirect(address(69,14))+indirect(address(67,15))-indirect(address(68,15))</f>
        <v>0</v>
      </c>
      <c r="P69">
        <f>indirect(address(69,15))+indirect(address(67,16))-indirect(address(68,16))</f>
        <v>0</v>
      </c>
      <c r="Q69">
        <f>indirect(address(69,16))+indirect(address(67,17))-indirect(address(68,17))</f>
        <v>0</v>
      </c>
      <c r="R69">
        <f>indirect(address(69,17))+indirect(address(67,18))-indirect(address(68,18))</f>
        <v>0</v>
      </c>
      <c r="S69">
        <f>indirect(address(69,18))+indirect(address(67,19))-indirect(address(68,19))</f>
        <v>0</v>
      </c>
      <c r="T69">
        <f>indirect(address(69,19))+indirect(address(67,20))-indirect(address(68,20))</f>
        <v>0</v>
      </c>
      <c r="U69">
        <f>indirect(address(69,20))+indirect(address(67,21))-indirect(address(68,21))</f>
        <v>0</v>
      </c>
      <c r="V69">
        <f>indirect(address(69,21))+indirect(address(67,22))-indirect(address(68,22))</f>
        <v>0</v>
      </c>
      <c r="W69">
        <f>indirect(address(69,22))+indirect(address(67,23))-indirect(address(68,23))</f>
        <v>0</v>
      </c>
      <c r="X69">
        <f>indirect(address(69,23))+indirect(address(67,24))-indirect(address(68,24))</f>
        <v>0</v>
      </c>
      <c r="Y69">
        <f>indirect(address(69,24))+indirect(address(67,25))-indirect(address(68,25))</f>
        <v>0</v>
      </c>
      <c r="Z69">
        <f>indirect(address(69,25))+indirect(address(67,26))-indirect(address(68,26))</f>
        <v>0</v>
      </c>
      <c r="AA69">
        <f>indirect(address(69,26))+indirect(address(67,27))-indirect(address(68,27))</f>
        <v>0</v>
      </c>
      <c r="AB69">
        <f>indirect(address(69,27))+indirect(address(67,28))-indirect(address(68,28))</f>
        <v>0</v>
      </c>
      <c r="AC69">
        <f>indirect(address(69,28))+indirect(address(67,29))-indirect(address(68,29))</f>
        <v>0</v>
      </c>
      <c r="AD69">
        <f>indirect(address(69,29))+indirect(address(67,30))-indirect(address(68,30))</f>
        <v>0</v>
      </c>
      <c r="AE69">
        <f>indirect(address(69,30))+indirect(address(67,31))-indirect(address(68,31))</f>
        <v>0</v>
      </c>
      <c r="AF69">
        <f>indirect(address(69,31))+indirect(address(67,32))-indirect(address(68,32))</f>
        <v>0</v>
      </c>
      <c r="AG69">
        <f>indirect(address(69,32))+indirect(address(67,33))-indirect(address(68,33))</f>
        <v>0</v>
      </c>
      <c r="AH69">
        <f>indirect(address(69,33))+indirect(address(67,34))-indirect(address(68,34))</f>
        <v>0</v>
      </c>
      <c r="AI69">
        <f>indirect(address(69,34))+indirect(address(67,35))-indirect(address(68,35))</f>
        <v>0</v>
      </c>
      <c r="AJ69">
        <f>indirect(address(69,35))+indirect(address(67,36))-indirect(address(68,36))</f>
        <v>0</v>
      </c>
      <c r="AK69">
        <f>indirect(address(69,36))+indirect(address(67,37))-indirect(address(68,37))</f>
        <v>0</v>
      </c>
      <c r="AL69">
        <f>indirect(address(69,37))+indirect(address(67,38))-indirect(address(68,38))</f>
        <v>0</v>
      </c>
      <c r="AM69">
        <f>indirect(address(69,38))+indirect(address(67,39))-indirect(address(68,39))</f>
        <v>0</v>
      </c>
      <c r="AN69">
        <f>indirect(address(69,39))+indirect(address(67,40))-indirect(address(68,40))</f>
        <v>0</v>
      </c>
      <c r="AO69">
        <f>indirect(address(69,40))+indirect(address(67,41))-indirect(address(68,41))</f>
        <v>0</v>
      </c>
    </row>
    <row r="70" spans="1:41">
      <c r="I70" t="s">
        <v>14</v>
      </c>
      <c r="AO70">
        <f>sum(j70:an70)</f>
        <v>0</v>
      </c>
    </row>
    <row r="71" spans="1:41">
      <c r="I71" t="s">
        <v>15</v>
      </c>
      <c r="J71">
        <f>sumif(Plan!B:B,"204-01499",Plan!j:j)</f>
        <v>0</v>
      </c>
      <c r="K71">
        <f>sumif(Plan!B:B,"204-01499",Plan!k:k)</f>
        <v>0</v>
      </c>
      <c r="L71">
        <f>sumif(Plan!B:B,"204-01499",Plan!l:l)</f>
        <v>0</v>
      </c>
      <c r="M71">
        <f>sumif(Plan!B:B,"204-01499",Plan!m:m)</f>
        <v>0</v>
      </c>
      <c r="N71">
        <f>sumif(Plan!B:B,"204-01499",Plan!n:n)</f>
        <v>0</v>
      </c>
      <c r="O71">
        <f>sumif(Plan!B:B,"204-01499",Plan!o:o)</f>
        <v>0</v>
      </c>
      <c r="P71">
        <f>sumif(Plan!B:B,"204-01499",Plan!p:p)</f>
        <v>0</v>
      </c>
      <c r="Q71">
        <f>sumif(Plan!B:B,"204-01499",Plan!q:q)</f>
        <v>0</v>
      </c>
      <c r="R71">
        <f>sumif(Plan!B:B,"204-01499",Plan!r:r)</f>
        <v>0</v>
      </c>
      <c r="S71">
        <f>sumif(Plan!B:B,"204-01499",Plan!s:s)</f>
        <v>0</v>
      </c>
      <c r="T71">
        <f>sumif(Plan!B:B,"204-01499",Plan!t:t)</f>
        <v>0</v>
      </c>
      <c r="U71">
        <f>sumif(Plan!B:B,"204-01499",Plan!u:u)</f>
        <v>0</v>
      </c>
      <c r="V71">
        <f>sumif(Plan!B:B,"204-01499",Plan!v:v)</f>
        <v>0</v>
      </c>
      <c r="W71">
        <f>sumif(Plan!B:B,"204-01499",Plan!w:w)</f>
        <v>0</v>
      </c>
      <c r="X71">
        <f>sumif(Plan!B:B,"204-01499",Plan!x:x)</f>
        <v>0</v>
      </c>
      <c r="Y71">
        <f>sumif(Plan!B:B,"204-01499",Plan!y:y)</f>
        <v>0</v>
      </c>
      <c r="Z71">
        <f>sumif(Plan!B:B,"204-01499",Plan!z:z)</f>
        <v>0</v>
      </c>
      <c r="AA71">
        <f>sumif(Plan!B:B,"204-01499",Plan!aa:aa)</f>
        <v>0</v>
      </c>
      <c r="AB71">
        <f>sumif(Plan!B:B,"204-01499",Plan!ab:ab)</f>
        <v>0</v>
      </c>
      <c r="AC71">
        <f>sumif(Plan!B:B,"204-01499",Plan!ac:ac)</f>
        <v>0</v>
      </c>
      <c r="AD71">
        <f>sumif(Plan!B:B,"204-01499",Plan!ad:ad)</f>
        <v>0</v>
      </c>
      <c r="AE71">
        <f>sumif(Plan!B:B,"204-01499",Plan!ae:ae)</f>
        <v>0</v>
      </c>
      <c r="AF71">
        <f>sumif(Plan!B:B,"204-01499",Plan!af:af)</f>
        <v>0</v>
      </c>
      <c r="AG71">
        <f>sumif(Plan!B:B,"204-01499",Plan!ag:ag)</f>
        <v>0</v>
      </c>
      <c r="AH71">
        <f>sumif(Plan!B:B,"204-01499",Plan!ah:ah)</f>
        <v>0</v>
      </c>
      <c r="AI71">
        <f>sumif(Plan!B:B,"204-01499",Plan!ai:ai)</f>
        <v>0</v>
      </c>
      <c r="AJ71">
        <f>sumif(Plan!B:B,"204-01499",Plan!aj:aj)</f>
        <v>0</v>
      </c>
      <c r="AK71">
        <f>sumif(Plan!B:B,"204-01499",Plan!ak:ak)</f>
        <v>0</v>
      </c>
      <c r="AL71">
        <f>sumif(Plan!B:B,"204-01499",Plan!al:al)</f>
        <v>0</v>
      </c>
      <c r="AM71">
        <f>sumif(Plan!B:B,"204-01499",Plan!am:am)</f>
        <v>0</v>
      </c>
      <c r="AN71">
        <f>sumif(Plan!B:B,"204-01499",Plan!an:an)</f>
        <v>0</v>
      </c>
      <c r="AO71">
        <f>sumif(Plan!B:B,"204-01499",Plan!ao:ao)</f>
        <v>0</v>
      </c>
    </row>
    <row r="72" spans="1:41">
      <c r="A72" t="s">
        <v>43</v>
      </c>
      <c r="B72" t="s">
        <v>62</v>
      </c>
      <c r="C72" t="s">
        <v>63</v>
      </c>
      <c r="E72">
        <v>0.17</v>
      </c>
      <c r="F72" t="s">
        <v>13</v>
      </c>
      <c r="H72" t="s">
        <v>16</v>
      </c>
      <c r="J72">
        <f>indirect(address(72,9))+indirect(address(70,10))-indirect(address(71,10))</f>
        <v>0</v>
      </c>
      <c r="K72">
        <f>indirect(address(72,10))+indirect(address(70,11))-indirect(address(71,11))</f>
        <v>0</v>
      </c>
      <c r="L72">
        <f>indirect(address(72,11))+indirect(address(70,12))-indirect(address(71,12))</f>
        <v>0</v>
      </c>
      <c r="M72">
        <f>indirect(address(72,12))+indirect(address(70,13))-indirect(address(71,13))</f>
        <v>0</v>
      </c>
      <c r="N72">
        <f>indirect(address(72,13))+indirect(address(70,14))-indirect(address(71,14))</f>
        <v>0</v>
      </c>
      <c r="O72">
        <f>indirect(address(72,14))+indirect(address(70,15))-indirect(address(71,15))</f>
        <v>0</v>
      </c>
      <c r="P72">
        <f>indirect(address(72,15))+indirect(address(70,16))-indirect(address(71,16))</f>
        <v>0</v>
      </c>
      <c r="Q72">
        <f>indirect(address(72,16))+indirect(address(70,17))-indirect(address(71,17))</f>
        <v>0</v>
      </c>
      <c r="R72">
        <f>indirect(address(72,17))+indirect(address(70,18))-indirect(address(71,18))</f>
        <v>0</v>
      </c>
      <c r="S72">
        <f>indirect(address(72,18))+indirect(address(70,19))-indirect(address(71,19))</f>
        <v>0</v>
      </c>
      <c r="T72">
        <f>indirect(address(72,19))+indirect(address(70,20))-indirect(address(71,20))</f>
        <v>0</v>
      </c>
      <c r="U72">
        <f>indirect(address(72,20))+indirect(address(70,21))-indirect(address(71,21))</f>
        <v>0</v>
      </c>
      <c r="V72">
        <f>indirect(address(72,21))+indirect(address(70,22))-indirect(address(71,22))</f>
        <v>0</v>
      </c>
      <c r="W72">
        <f>indirect(address(72,22))+indirect(address(70,23))-indirect(address(71,23))</f>
        <v>0</v>
      </c>
      <c r="X72">
        <f>indirect(address(72,23))+indirect(address(70,24))-indirect(address(71,24))</f>
        <v>0</v>
      </c>
      <c r="Y72">
        <f>indirect(address(72,24))+indirect(address(70,25))-indirect(address(71,25))</f>
        <v>0</v>
      </c>
      <c r="Z72">
        <f>indirect(address(72,25))+indirect(address(70,26))-indirect(address(71,26))</f>
        <v>0</v>
      </c>
      <c r="AA72">
        <f>indirect(address(72,26))+indirect(address(70,27))-indirect(address(71,27))</f>
        <v>0</v>
      </c>
      <c r="AB72">
        <f>indirect(address(72,27))+indirect(address(70,28))-indirect(address(71,28))</f>
        <v>0</v>
      </c>
      <c r="AC72">
        <f>indirect(address(72,28))+indirect(address(70,29))-indirect(address(71,29))</f>
        <v>0</v>
      </c>
      <c r="AD72">
        <f>indirect(address(72,29))+indirect(address(70,30))-indirect(address(71,30))</f>
        <v>0</v>
      </c>
      <c r="AE72">
        <f>indirect(address(72,30))+indirect(address(70,31))-indirect(address(71,31))</f>
        <v>0</v>
      </c>
      <c r="AF72">
        <f>indirect(address(72,31))+indirect(address(70,32))-indirect(address(71,32))</f>
        <v>0</v>
      </c>
      <c r="AG72">
        <f>indirect(address(72,32))+indirect(address(70,33))-indirect(address(71,33))</f>
        <v>0</v>
      </c>
      <c r="AH72">
        <f>indirect(address(72,33))+indirect(address(70,34))-indirect(address(71,34))</f>
        <v>0</v>
      </c>
      <c r="AI72">
        <f>indirect(address(72,34))+indirect(address(70,35))-indirect(address(71,35))</f>
        <v>0</v>
      </c>
      <c r="AJ72">
        <f>indirect(address(72,35))+indirect(address(70,36))-indirect(address(71,36))</f>
        <v>0</v>
      </c>
      <c r="AK72">
        <f>indirect(address(72,36))+indirect(address(70,37))-indirect(address(71,37))</f>
        <v>0</v>
      </c>
      <c r="AL72">
        <f>indirect(address(72,37))+indirect(address(70,38))-indirect(address(71,38))</f>
        <v>0</v>
      </c>
      <c r="AM72">
        <f>indirect(address(72,38))+indirect(address(70,39))-indirect(address(71,39))</f>
        <v>0</v>
      </c>
      <c r="AN72">
        <f>indirect(address(72,39))+indirect(address(70,40))-indirect(address(71,40))</f>
        <v>0</v>
      </c>
      <c r="AO72">
        <f>indirect(address(72,40))+indirect(address(70,41))-indirect(address(71,41))</f>
        <v>0</v>
      </c>
    </row>
    <row r="73" spans="1:41">
      <c r="I73" t="s">
        <v>14</v>
      </c>
      <c r="AO73">
        <f>sum(j73:an73)</f>
        <v>0</v>
      </c>
    </row>
    <row r="74" spans="1:41">
      <c r="I74" t="s">
        <v>15</v>
      </c>
      <c r="J74">
        <f>sumif(Plan!B:B,"825-076888-102",Plan!j:j)</f>
        <v>0</v>
      </c>
      <c r="K74">
        <f>sumif(Plan!B:B,"825-076888-102",Plan!k:k)</f>
        <v>0</v>
      </c>
      <c r="L74">
        <f>sumif(Plan!B:B,"825-076888-102",Plan!l:l)</f>
        <v>0</v>
      </c>
      <c r="M74">
        <f>sumif(Plan!B:B,"825-076888-102",Plan!m:m)</f>
        <v>0</v>
      </c>
      <c r="N74">
        <f>sumif(Plan!B:B,"825-076888-102",Plan!n:n)</f>
        <v>0</v>
      </c>
      <c r="O74">
        <f>sumif(Plan!B:B,"825-076888-102",Plan!o:o)</f>
        <v>0</v>
      </c>
      <c r="P74">
        <f>sumif(Plan!B:B,"825-076888-102",Plan!p:p)</f>
        <v>0</v>
      </c>
      <c r="Q74">
        <f>sumif(Plan!B:B,"825-076888-102",Plan!q:q)</f>
        <v>0</v>
      </c>
      <c r="R74">
        <f>sumif(Plan!B:B,"825-076888-102",Plan!r:r)</f>
        <v>0</v>
      </c>
      <c r="S74">
        <f>sumif(Plan!B:B,"825-076888-102",Plan!s:s)</f>
        <v>0</v>
      </c>
      <c r="T74">
        <f>sumif(Plan!B:B,"825-076888-102",Plan!t:t)</f>
        <v>0</v>
      </c>
      <c r="U74">
        <f>sumif(Plan!B:B,"825-076888-102",Plan!u:u)</f>
        <v>0</v>
      </c>
      <c r="V74">
        <f>sumif(Plan!B:B,"825-076888-102",Plan!v:v)</f>
        <v>0</v>
      </c>
      <c r="W74">
        <f>sumif(Plan!B:B,"825-076888-102",Plan!w:w)</f>
        <v>0</v>
      </c>
      <c r="X74">
        <f>sumif(Plan!B:B,"825-076888-102",Plan!x:x)</f>
        <v>0</v>
      </c>
      <c r="Y74">
        <f>sumif(Plan!B:B,"825-076888-102",Plan!y:y)</f>
        <v>0</v>
      </c>
      <c r="Z74">
        <f>sumif(Plan!B:B,"825-076888-102",Plan!z:z)</f>
        <v>0</v>
      </c>
      <c r="AA74">
        <f>sumif(Plan!B:B,"825-076888-102",Plan!aa:aa)</f>
        <v>0</v>
      </c>
      <c r="AB74">
        <f>sumif(Plan!B:B,"825-076888-102",Plan!ab:ab)</f>
        <v>0</v>
      </c>
      <c r="AC74">
        <f>sumif(Plan!B:B,"825-076888-102",Plan!ac:ac)</f>
        <v>0</v>
      </c>
      <c r="AD74">
        <f>sumif(Plan!B:B,"825-076888-102",Plan!ad:ad)</f>
        <v>0</v>
      </c>
      <c r="AE74">
        <f>sumif(Plan!B:B,"825-076888-102",Plan!ae:ae)</f>
        <v>0</v>
      </c>
      <c r="AF74">
        <f>sumif(Plan!B:B,"825-076888-102",Plan!af:af)</f>
        <v>0</v>
      </c>
      <c r="AG74">
        <f>sumif(Plan!B:B,"825-076888-102",Plan!ag:ag)</f>
        <v>0</v>
      </c>
      <c r="AH74">
        <f>sumif(Plan!B:B,"825-076888-102",Plan!ah:ah)</f>
        <v>0</v>
      </c>
      <c r="AI74">
        <f>sumif(Plan!B:B,"825-076888-102",Plan!ai:ai)</f>
        <v>0</v>
      </c>
      <c r="AJ74">
        <f>sumif(Plan!B:B,"825-076888-102",Plan!aj:aj)</f>
        <v>0</v>
      </c>
      <c r="AK74">
        <f>sumif(Plan!B:B,"825-076888-102",Plan!ak:ak)</f>
        <v>0</v>
      </c>
      <c r="AL74">
        <f>sumif(Plan!B:B,"825-076888-102",Plan!al:al)</f>
        <v>0</v>
      </c>
      <c r="AM74">
        <f>sumif(Plan!B:B,"825-076888-102",Plan!am:am)</f>
        <v>0</v>
      </c>
      <c r="AN74">
        <f>sumif(Plan!B:B,"825-076888-102",Plan!an:an)</f>
        <v>0</v>
      </c>
      <c r="AO74">
        <f>sumif(Plan!B:B,"825-076888-102",Plan!ao:ao)</f>
        <v>0</v>
      </c>
    </row>
    <row r="75" spans="1:41">
      <c r="A75" t="s">
        <v>17</v>
      </c>
      <c r="B75" t="s">
        <v>66</v>
      </c>
      <c r="C75" t="s">
        <v>67</v>
      </c>
      <c r="E75">
        <v>1</v>
      </c>
      <c r="F75" t="s">
        <v>13</v>
      </c>
      <c r="H75" t="s">
        <v>16</v>
      </c>
      <c r="J75">
        <f>indirect(address(75,9))+indirect(address(73,10))-indirect(address(74,10))</f>
        <v>0</v>
      </c>
      <c r="K75">
        <f>indirect(address(75,10))+indirect(address(73,11))-indirect(address(74,11))</f>
        <v>0</v>
      </c>
      <c r="L75">
        <f>indirect(address(75,11))+indirect(address(73,12))-indirect(address(74,12))</f>
        <v>0</v>
      </c>
      <c r="M75">
        <f>indirect(address(75,12))+indirect(address(73,13))-indirect(address(74,13))</f>
        <v>0</v>
      </c>
      <c r="N75">
        <f>indirect(address(75,13))+indirect(address(73,14))-indirect(address(74,14))</f>
        <v>0</v>
      </c>
      <c r="O75">
        <f>indirect(address(75,14))+indirect(address(73,15))-indirect(address(74,15))</f>
        <v>0</v>
      </c>
      <c r="P75">
        <f>indirect(address(75,15))+indirect(address(73,16))-indirect(address(74,16))</f>
        <v>0</v>
      </c>
      <c r="Q75">
        <f>indirect(address(75,16))+indirect(address(73,17))-indirect(address(74,17))</f>
        <v>0</v>
      </c>
      <c r="R75">
        <f>indirect(address(75,17))+indirect(address(73,18))-indirect(address(74,18))</f>
        <v>0</v>
      </c>
      <c r="S75">
        <f>indirect(address(75,18))+indirect(address(73,19))-indirect(address(74,19))</f>
        <v>0</v>
      </c>
      <c r="T75">
        <f>indirect(address(75,19))+indirect(address(73,20))-indirect(address(74,20))</f>
        <v>0</v>
      </c>
      <c r="U75">
        <f>indirect(address(75,20))+indirect(address(73,21))-indirect(address(74,21))</f>
        <v>0</v>
      </c>
      <c r="V75">
        <f>indirect(address(75,21))+indirect(address(73,22))-indirect(address(74,22))</f>
        <v>0</v>
      </c>
      <c r="W75">
        <f>indirect(address(75,22))+indirect(address(73,23))-indirect(address(74,23))</f>
        <v>0</v>
      </c>
      <c r="X75">
        <f>indirect(address(75,23))+indirect(address(73,24))-indirect(address(74,24))</f>
        <v>0</v>
      </c>
      <c r="Y75">
        <f>indirect(address(75,24))+indirect(address(73,25))-indirect(address(74,25))</f>
        <v>0</v>
      </c>
      <c r="Z75">
        <f>indirect(address(75,25))+indirect(address(73,26))-indirect(address(74,26))</f>
        <v>0</v>
      </c>
      <c r="AA75">
        <f>indirect(address(75,26))+indirect(address(73,27))-indirect(address(74,27))</f>
        <v>0</v>
      </c>
      <c r="AB75">
        <f>indirect(address(75,27))+indirect(address(73,28))-indirect(address(74,28))</f>
        <v>0</v>
      </c>
      <c r="AC75">
        <f>indirect(address(75,28))+indirect(address(73,29))-indirect(address(74,29))</f>
        <v>0</v>
      </c>
      <c r="AD75">
        <f>indirect(address(75,29))+indirect(address(73,30))-indirect(address(74,30))</f>
        <v>0</v>
      </c>
      <c r="AE75">
        <f>indirect(address(75,30))+indirect(address(73,31))-indirect(address(74,31))</f>
        <v>0</v>
      </c>
      <c r="AF75">
        <f>indirect(address(75,31))+indirect(address(73,32))-indirect(address(74,32))</f>
        <v>0</v>
      </c>
      <c r="AG75">
        <f>indirect(address(75,32))+indirect(address(73,33))-indirect(address(74,33))</f>
        <v>0</v>
      </c>
      <c r="AH75">
        <f>indirect(address(75,33))+indirect(address(73,34))-indirect(address(74,34))</f>
        <v>0</v>
      </c>
      <c r="AI75">
        <f>indirect(address(75,34))+indirect(address(73,35))-indirect(address(74,35))</f>
        <v>0</v>
      </c>
      <c r="AJ75">
        <f>indirect(address(75,35))+indirect(address(73,36))-indirect(address(74,36))</f>
        <v>0</v>
      </c>
      <c r="AK75">
        <f>indirect(address(75,36))+indirect(address(73,37))-indirect(address(74,37))</f>
        <v>0</v>
      </c>
      <c r="AL75">
        <f>indirect(address(75,37))+indirect(address(73,38))-indirect(address(74,38))</f>
        <v>0</v>
      </c>
      <c r="AM75">
        <f>indirect(address(75,38))+indirect(address(73,39))-indirect(address(74,39))</f>
        <v>0</v>
      </c>
      <c r="AN75">
        <f>indirect(address(75,39))+indirect(address(73,40))-indirect(address(74,40))</f>
        <v>0</v>
      </c>
      <c r="AO75">
        <f>indirect(address(75,40))+indirect(address(73,41))-indirect(address(74,41))</f>
        <v>0</v>
      </c>
    </row>
    <row r="76" spans="1:41">
      <c r="I76" t="s">
        <v>14</v>
      </c>
      <c r="AO76">
        <f>sum(j76:an76)</f>
        <v>0</v>
      </c>
    </row>
    <row r="77" spans="1:41">
      <c r="I77" t="s">
        <v>15</v>
      </c>
      <c r="J77">
        <f>sumif(Plan!B:B,"825-077000-101",Plan!j:j)</f>
        <v>0</v>
      </c>
      <c r="K77">
        <f>sumif(Plan!B:B,"825-077000-101",Plan!k:k)</f>
        <v>0</v>
      </c>
      <c r="L77">
        <f>sumif(Plan!B:B,"825-077000-101",Plan!l:l)</f>
        <v>0</v>
      </c>
      <c r="M77">
        <f>sumif(Plan!B:B,"825-077000-101",Plan!m:m)</f>
        <v>0</v>
      </c>
      <c r="N77">
        <f>sumif(Plan!B:B,"825-077000-101",Plan!n:n)</f>
        <v>0</v>
      </c>
      <c r="O77">
        <f>sumif(Plan!B:B,"825-077000-101",Plan!o:o)</f>
        <v>0</v>
      </c>
      <c r="P77">
        <f>sumif(Plan!B:B,"825-077000-101",Plan!p:p)</f>
        <v>0</v>
      </c>
      <c r="Q77">
        <f>sumif(Plan!B:B,"825-077000-101",Plan!q:q)</f>
        <v>0</v>
      </c>
      <c r="R77">
        <f>sumif(Plan!B:B,"825-077000-101",Plan!r:r)</f>
        <v>0</v>
      </c>
      <c r="S77">
        <f>sumif(Plan!B:B,"825-077000-101",Plan!s:s)</f>
        <v>0</v>
      </c>
      <c r="T77">
        <f>sumif(Plan!B:B,"825-077000-101",Plan!t:t)</f>
        <v>0</v>
      </c>
      <c r="U77">
        <f>sumif(Plan!B:B,"825-077000-101",Plan!u:u)</f>
        <v>0</v>
      </c>
      <c r="V77">
        <f>sumif(Plan!B:B,"825-077000-101",Plan!v:v)</f>
        <v>0</v>
      </c>
      <c r="W77">
        <f>sumif(Plan!B:B,"825-077000-101",Plan!w:w)</f>
        <v>0</v>
      </c>
      <c r="X77">
        <f>sumif(Plan!B:B,"825-077000-101",Plan!x:x)</f>
        <v>0</v>
      </c>
      <c r="Y77">
        <f>sumif(Plan!B:B,"825-077000-101",Plan!y:y)</f>
        <v>0</v>
      </c>
      <c r="Z77">
        <f>sumif(Plan!B:B,"825-077000-101",Plan!z:z)</f>
        <v>0</v>
      </c>
      <c r="AA77">
        <f>sumif(Plan!B:B,"825-077000-101",Plan!aa:aa)</f>
        <v>0</v>
      </c>
      <c r="AB77">
        <f>sumif(Plan!B:B,"825-077000-101",Plan!ab:ab)</f>
        <v>0</v>
      </c>
      <c r="AC77">
        <f>sumif(Plan!B:B,"825-077000-101",Plan!ac:ac)</f>
        <v>0</v>
      </c>
      <c r="AD77">
        <f>sumif(Plan!B:B,"825-077000-101",Plan!ad:ad)</f>
        <v>0</v>
      </c>
      <c r="AE77">
        <f>sumif(Plan!B:B,"825-077000-101",Plan!ae:ae)</f>
        <v>0</v>
      </c>
      <c r="AF77">
        <f>sumif(Plan!B:B,"825-077000-101",Plan!af:af)</f>
        <v>0</v>
      </c>
      <c r="AG77">
        <f>sumif(Plan!B:B,"825-077000-101",Plan!ag:ag)</f>
        <v>0</v>
      </c>
      <c r="AH77">
        <f>sumif(Plan!B:B,"825-077000-101",Plan!ah:ah)</f>
        <v>0</v>
      </c>
      <c r="AI77">
        <f>sumif(Plan!B:B,"825-077000-101",Plan!ai:ai)</f>
        <v>0</v>
      </c>
      <c r="AJ77">
        <f>sumif(Plan!B:B,"825-077000-101",Plan!aj:aj)</f>
        <v>0</v>
      </c>
      <c r="AK77">
        <f>sumif(Plan!B:B,"825-077000-101",Plan!ak:ak)</f>
        <v>0</v>
      </c>
      <c r="AL77">
        <f>sumif(Plan!B:B,"825-077000-101",Plan!al:al)</f>
        <v>0</v>
      </c>
      <c r="AM77">
        <f>sumif(Plan!B:B,"825-077000-101",Plan!am:am)</f>
        <v>0</v>
      </c>
      <c r="AN77">
        <f>sumif(Plan!B:B,"825-077000-101",Plan!an:an)</f>
        <v>0</v>
      </c>
      <c r="AO77">
        <f>sumif(Plan!B:B,"825-077000-101",Plan!ao:ao)</f>
        <v>0</v>
      </c>
    </row>
    <row r="78" spans="1:41">
      <c r="A78" t="s">
        <v>17</v>
      </c>
      <c r="B78" t="s">
        <v>68</v>
      </c>
      <c r="C78" t="s">
        <v>69</v>
      </c>
      <c r="E78">
        <v>1</v>
      </c>
      <c r="F78" t="s">
        <v>13</v>
      </c>
      <c r="H78" t="s">
        <v>16</v>
      </c>
      <c r="J78">
        <f>indirect(address(78,9))+indirect(address(76,10))-indirect(address(77,10))</f>
        <v>0</v>
      </c>
      <c r="K78">
        <f>indirect(address(78,10))+indirect(address(76,11))-indirect(address(77,11))</f>
        <v>0</v>
      </c>
      <c r="L78">
        <f>indirect(address(78,11))+indirect(address(76,12))-indirect(address(77,12))</f>
        <v>0</v>
      </c>
      <c r="M78">
        <f>indirect(address(78,12))+indirect(address(76,13))-indirect(address(77,13))</f>
        <v>0</v>
      </c>
      <c r="N78">
        <f>indirect(address(78,13))+indirect(address(76,14))-indirect(address(77,14))</f>
        <v>0</v>
      </c>
      <c r="O78">
        <f>indirect(address(78,14))+indirect(address(76,15))-indirect(address(77,15))</f>
        <v>0</v>
      </c>
      <c r="P78">
        <f>indirect(address(78,15))+indirect(address(76,16))-indirect(address(77,16))</f>
        <v>0</v>
      </c>
      <c r="Q78">
        <f>indirect(address(78,16))+indirect(address(76,17))-indirect(address(77,17))</f>
        <v>0</v>
      </c>
      <c r="R78">
        <f>indirect(address(78,17))+indirect(address(76,18))-indirect(address(77,18))</f>
        <v>0</v>
      </c>
      <c r="S78">
        <f>indirect(address(78,18))+indirect(address(76,19))-indirect(address(77,19))</f>
        <v>0</v>
      </c>
      <c r="T78">
        <f>indirect(address(78,19))+indirect(address(76,20))-indirect(address(77,20))</f>
        <v>0</v>
      </c>
      <c r="U78">
        <f>indirect(address(78,20))+indirect(address(76,21))-indirect(address(77,21))</f>
        <v>0</v>
      </c>
      <c r="V78">
        <f>indirect(address(78,21))+indirect(address(76,22))-indirect(address(77,22))</f>
        <v>0</v>
      </c>
      <c r="W78">
        <f>indirect(address(78,22))+indirect(address(76,23))-indirect(address(77,23))</f>
        <v>0</v>
      </c>
      <c r="X78">
        <f>indirect(address(78,23))+indirect(address(76,24))-indirect(address(77,24))</f>
        <v>0</v>
      </c>
      <c r="Y78">
        <f>indirect(address(78,24))+indirect(address(76,25))-indirect(address(77,25))</f>
        <v>0</v>
      </c>
      <c r="Z78">
        <f>indirect(address(78,25))+indirect(address(76,26))-indirect(address(77,26))</f>
        <v>0</v>
      </c>
      <c r="AA78">
        <f>indirect(address(78,26))+indirect(address(76,27))-indirect(address(77,27))</f>
        <v>0</v>
      </c>
      <c r="AB78">
        <f>indirect(address(78,27))+indirect(address(76,28))-indirect(address(77,28))</f>
        <v>0</v>
      </c>
      <c r="AC78">
        <f>indirect(address(78,28))+indirect(address(76,29))-indirect(address(77,29))</f>
        <v>0</v>
      </c>
      <c r="AD78">
        <f>indirect(address(78,29))+indirect(address(76,30))-indirect(address(77,30))</f>
        <v>0</v>
      </c>
      <c r="AE78">
        <f>indirect(address(78,30))+indirect(address(76,31))-indirect(address(77,31))</f>
        <v>0</v>
      </c>
      <c r="AF78">
        <f>indirect(address(78,31))+indirect(address(76,32))-indirect(address(77,32))</f>
        <v>0</v>
      </c>
      <c r="AG78">
        <f>indirect(address(78,32))+indirect(address(76,33))-indirect(address(77,33))</f>
        <v>0</v>
      </c>
      <c r="AH78">
        <f>indirect(address(78,33))+indirect(address(76,34))-indirect(address(77,34))</f>
        <v>0</v>
      </c>
      <c r="AI78">
        <f>indirect(address(78,34))+indirect(address(76,35))-indirect(address(77,35))</f>
        <v>0</v>
      </c>
      <c r="AJ78">
        <f>indirect(address(78,35))+indirect(address(76,36))-indirect(address(77,36))</f>
        <v>0</v>
      </c>
      <c r="AK78">
        <f>indirect(address(78,36))+indirect(address(76,37))-indirect(address(77,37))</f>
        <v>0</v>
      </c>
      <c r="AL78">
        <f>indirect(address(78,37))+indirect(address(76,38))-indirect(address(77,38))</f>
        <v>0</v>
      </c>
      <c r="AM78">
        <f>indirect(address(78,38))+indirect(address(76,39))-indirect(address(77,39))</f>
        <v>0</v>
      </c>
      <c r="AN78">
        <f>indirect(address(78,39))+indirect(address(76,40))-indirect(address(77,40))</f>
        <v>0</v>
      </c>
      <c r="AO78">
        <f>indirect(address(78,40))+indirect(address(76,41))-indirect(address(77,41))</f>
        <v>0</v>
      </c>
    </row>
    <row r="79" spans="1:41">
      <c r="I79" t="s">
        <v>14</v>
      </c>
      <c r="AO79">
        <f>sum(j79:an79)</f>
        <v>0</v>
      </c>
    </row>
    <row r="80" spans="1:41">
      <c r="I80" t="s">
        <v>15</v>
      </c>
      <c r="J80">
        <f>sumif(Plan!B:B,"825-078000-101",Plan!j:j)</f>
        <v>0</v>
      </c>
      <c r="K80">
        <f>sumif(Plan!B:B,"825-078000-101",Plan!k:k)</f>
        <v>0</v>
      </c>
      <c r="L80">
        <f>sumif(Plan!B:B,"825-078000-101",Plan!l:l)</f>
        <v>0</v>
      </c>
      <c r="M80">
        <f>sumif(Plan!B:B,"825-078000-101",Plan!m:m)</f>
        <v>0</v>
      </c>
      <c r="N80">
        <f>sumif(Plan!B:B,"825-078000-101",Plan!n:n)</f>
        <v>0</v>
      </c>
      <c r="O80">
        <f>sumif(Plan!B:B,"825-078000-101",Plan!o:o)</f>
        <v>0</v>
      </c>
      <c r="P80">
        <f>sumif(Plan!B:B,"825-078000-101",Plan!p:p)</f>
        <v>0</v>
      </c>
      <c r="Q80">
        <f>sumif(Plan!B:B,"825-078000-101",Plan!q:q)</f>
        <v>0</v>
      </c>
      <c r="R80">
        <f>sumif(Plan!B:B,"825-078000-101",Plan!r:r)</f>
        <v>0</v>
      </c>
      <c r="S80">
        <f>sumif(Plan!B:B,"825-078000-101",Plan!s:s)</f>
        <v>0</v>
      </c>
      <c r="T80">
        <f>sumif(Plan!B:B,"825-078000-101",Plan!t:t)</f>
        <v>0</v>
      </c>
      <c r="U80">
        <f>sumif(Plan!B:B,"825-078000-101",Plan!u:u)</f>
        <v>0</v>
      </c>
      <c r="V80">
        <f>sumif(Plan!B:B,"825-078000-101",Plan!v:v)</f>
        <v>0</v>
      </c>
      <c r="W80">
        <f>sumif(Plan!B:B,"825-078000-101",Plan!w:w)</f>
        <v>0</v>
      </c>
      <c r="X80">
        <f>sumif(Plan!B:B,"825-078000-101",Plan!x:x)</f>
        <v>0</v>
      </c>
      <c r="Y80">
        <f>sumif(Plan!B:B,"825-078000-101",Plan!y:y)</f>
        <v>0</v>
      </c>
      <c r="Z80">
        <f>sumif(Plan!B:B,"825-078000-101",Plan!z:z)</f>
        <v>0</v>
      </c>
      <c r="AA80">
        <f>sumif(Plan!B:B,"825-078000-101",Plan!aa:aa)</f>
        <v>0</v>
      </c>
      <c r="AB80">
        <f>sumif(Plan!B:B,"825-078000-101",Plan!ab:ab)</f>
        <v>0</v>
      </c>
      <c r="AC80">
        <f>sumif(Plan!B:B,"825-078000-101",Plan!ac:ac)</f>
        <v>0</v>
      </c>
      <c r="AD80">
        <f>sumif(Plan!B:B,"825-078000-101",Plan!ad:ad)</f>
        <v>0</v>
      </c>
      <c r="AE80">
        <f>sumif(Plan!B:B,"825-078000-101",Plan!ae:ae)</f>
        <v>0</v>
      </c>
      <c r="AF80">
        <f>sumif(Plan!B:B,"825-078000-101",Plan!af:af)</f>
        <v>0</v>
      </c>
      <c r="AG80">
        <f>sumif(Plan!B:B,"825-078000-101",Plan!ag:ag)</f>
        <v>0</v>
      </c>
      <c r="AH80">
        <f>sumif(Plan!B:B,"825-078000-101",Plan!ah:ah)</f>
        <v>0</v>
      </c>
      <c r="AI80">
        <f>sumif(Plan!B:B,"825-078000-101",Plan!ai:ai)</f>
        <v>0</v>
      </c>
      <c r="AJ80">
        <f>sumif(Plan!B:B,"825-078000-101",Plan!aj:aj)</f>
        <v>0</v>
      </c>
      <c r="AK80">
        <f>sumif(Plan!B:B,"825-078000-101",Plan!ak:ak)</f>
        <v>0</v>
      </c>
      <c r="AL80">
        <f>sumif(Plan!B:B,"825-078000-101",Plan!al:al)</f>
        <v>0</v>
      </c>
      <c r="AM80">
        <f>sumif(Plan!B:B,"825-078000-101",Plan!am:am)</f>
        <v>0</v>
      </c>
      <c r="AN80">
        <f>sumif(Plan!B:B,"825-078000-101",Plan!an:an)</f>
        <v>0</v>
      </c>
      <c r="AO80">
        <f>sumif(Plan!B:B,"825-078000-101",Plan!ao:ao)</f>
        <v>0</v>
      </c>
    </row>
    <row r="81" spans="1:41">
      <c r="A81" t="s">
        <v>17</v>
      </c>
      <c r="B81" t="s">
        <v>70</v>
      </c>
      <c r="C81" t="s">
        <v>71</v>
      </c>
      <c r="E81">
        <v>1</v>
      </c>
      <c r="F81" t="s">
        <v>13</v>
      </c>
      <c r="H81" t="s">
        <v>16</v>
      </c>
      <c r="J81">
        <f>indirect(address(81,9))+indirect(address(79,10))-indirect(address(80,10))</f>
        <v>0</v>
      </c>
      <c r="K81">
        <f>indirect(address(81,10))+indirect(address(79,11))-indirect(address(80,11))</f>
        <v>0</v>
      </c>
      <c r="L81">
        <f>indirect(address(81,11))+indirect(address(79,12))-indirect(address(80,12))</f>
        <v>0</v>
      </c>
      <c r="M81">
        <f>indirect(address(81,12))+indirect(address(79,13))-indirect(address(80,13))</f>
        <v>0</v>
      </c>
      <c r="N81">
        <f>indirect(address(81,13))+indirect(address(79,14))-indirect(address(80,14))</f>
        <v>0</v>
      </c>
      <c r="O81">
        <f>indirect(address(81,14))+indirect(address(79,15))-indirect(address(80,15))</f>
        <v>0</v>
      </c>
      <c r="P81">
        <f>indirect(address(81,15))+indirect(address(79,16))-indirect(address(80,16))</f>
        <v>0</v>
      </c>
      <c r="Q81">
        <f>indirect(address(81,16))+indirect(address(79,17))-indirect(address(80,17))</f>
        <v>0</v>
      </c>
      <c r="R81">
        <f>indirect(address(81,17))+indirect(address(79,18))-indirect(address(80,18))</f>
        <v>0</v>
      </c>
      <c r="S81">
        <f>indirect(address(81,18))+indirect(address(79,19))-indirect(address(80,19))</f>
        <v>0</v>
      </c>
      <c r="T81">
        <f>indirect(address(81,19))+indirect(address(79,20))-indirect(address(80,20))</f>
        <v>0</v>
      </c>
      <c r="U81">
        <f>indirect(address(81,20))+indirect(address(79,21))-indirect(address(80,21))</f>
        <v>0</v>
      </c>
      <c r="V81">
        <f>indirect(address(81,21))+indirect(address(79,22))-indirect(address(80,22))</f>
        <v>0</v>
      </c>
      <c r="W81">
        <f>indirect(address(81,22))+indirect(address(79,23))-indirect(address(80,23))</f>
        <v>0</v>
      </c>
      <c r="X81">
        <f>indirect(address(81,23))+indirect(address(79,24))-indirect(address(80,24))</f>
        <v>0</v>
      </c>
      <c r="Y81">
        <f>indirect(address(81,24))+indirect(address(79,25))-indirect(address(80,25))</f>
        <v>0</v>
      </c>
      <c r="Z81">
        <f>indirect(address(81,25))+indirect(address(79,26))-indirect(address(80,26))</f>
        <v>0</v>
      </c>
      <c r="AA81">
        <f>indirect(address(81,26))+indirect(address(79,27))-indirect(address(80,27))</f>
        <v>0</v>
      </c>
      <c r="AB81">
        <f>indirect(address(81,27))+indirect(address(79,28))-indirect(address(80,28))</f>
        <v>0</v>
      </c>
      <c r="AC81">
        <f>indirect(address(81,28))+indirect(address(79,29))-indirect(address(80,29))</f>
        <v>0</v>
      </c>
      <c r="AD81">
        <f>indirect(address(81,29))+indirect(address(79,30))-indirect(address(80,30))</f>
        <v>0</v>
      </c>
      <c r="AE81">
        <f>indirect(address(81,30))+indirect(address(79,31))-indirect(address(80,31))</f>
        <v>0</v>
      </c>
      <c r="AF81">
        <f>indirect(address(81,31))+indirect(address(79,32))-indirect(address(80,32))</f>
        <v>0</v>
      </c>
      <c r="AG81">
        <f>indirect(address(81,32))+indirect(address(79,33))-indirect(address(80,33))</f>
        <v>0</v>
      </c>
      <c r="AH81">
        <f>indirect(address(81,33))+indirect(address(79,34))-indirect(address(80,34))</f>
        <v>0</v>
      </c>
      <c r="AI81">
        <f>indirect(address(81,34))+indirect(address(79,35))-indirect(address(80,35))</f>
        <v>0</v>
      </c>
      <c r="AJ81">
        <f>indirect(address(81,35))+indirect(address(79,36))-indirect(address(80,36))</f>
        <v>0</v>
      </c>
      <c r="AK81">
        <f>indirect(address(81,36))+indirect(address(79,37))-indirect(address(80,37))</f>
        <v>0</v>
      </c>
      <c r="AL81">
        <f>indirect(address(81,37))+indirect(address(79,38))-indirect(address(80,38))</f>
        <v>0</v>
      </c>
      <c r="AM81">
        <f>indirect(address(81,38))+indirect(address(79,39))-indirect(address(80,39))</f>
        <v>0</v>
      </c>
      <c r="AN81">
        <f>indirect(address(81,39))+indirect(address(79,40))-indirect(address(80,40))</f>
        <v>0</v>
      </c>
      <c r="AO81">
        <f>indirect(address(81,40))+indirect(address(79,41))-indirect(address(80,41))</f>
        <v>0</v>
      </c>
    </row>
    <row r="82" spans="1:41">
      <c r="I82" t="s">
        <v>14</v>
      </c>
      <c r="AO82">
        <f>sum(j82:an82)</f>
        <v>0</v>
      </c>
    </row>
    <row r="83" spans="1:41">
      <c r="I83" t="s">
        <v>15</v>
      </c>
      <c r="J83">
        <f>sumif(Plan!B:B,"825-079000-100",Plan!j:j)</f>
        <v>0</v>
      </c>
      <c r="K83">
        <f>sumif(Plan!B:B,"825-079000-100",Plan!k:k)</f>
        <v>0</v>
      </c>
      <c r="L83">
        <f>sumif(Plan!B:B,"825-079000-100",Plan!l:l)</f>
        <v>0</v>
      </c>
      <c r="M83">
        <f>sumif(Plan!B:B,"825-079000-100",Plan!m:m)</f>
        <v>0</v>
      </c>
      <c r="N83">
        <f>sumif(Plan!B:B,"825-079000-100",Plan!n:n)</f>
        <v>0</v>
      </c>
      <c r="O83">
        <f>sumif(Plan!B:B,"825-079000-100",Plan!o:o)</f>
        <v>0</v>
      </c>
      <c r="P83">
        <f>sumif(Plan!B:B,"825-079000-100",Plan!p:p)</f>
        <v>0</v>
      </c>
      <c r="Q83">
        <f>sumif(Plan!B:B,"825-079000-100",Plan!q:q)</f>
        <v>0</v>
      </c>
      <c r="R83">
        <f>sumif(Plan!B:B,"825-079000-100",Plan!r:r)</f>
        <v>0</v>
      </c>
      <c r="S83">
        <f>sumif(Plan!B:B,"825-079000-100",Plan!s:s)</f>
        <v>0</v>
      </c>
      <c r="T83">
        <f>sumif(Plan!B:B,"825-079000-100",Plan!t:t)</f>
        <v>0</v>
      </c>
      <c r="U83">
        <f>sumif(Plan!B:B,"825-079000-100",Plan!u:u)</f>
        <v>0</v>
      </c>
      <c r="V83">
        <f>sumif(Plan!B:B,"825-079000-100",Plan!v:v)</f>
        <v>0</v>
      </c>
      <c r="W83">
        <f>sumif(Plan!B:B,"825-079000-100",Plan!w:w)</f>
        <v>0</v>
      </c>
      <c r="X83">
        <f>sumif(Plan!B:B,"825-079000-100",Plan!x:x)</f>
        <v>0</v>
      </c>
      <c r="Y83">
        <f>sumif(Plan!B:B,"825-079000-100",Plan!y:y)</f>
        <v>0</v>
      </c>
      <c r="Z83">
        <f>sumif(Plan!B:B,"825-079000-100",Plan!z:z)</f>
        <v>0</v>
      </c>
      <c r="AA83">
        <f>sumif(Plan!B:B,"825-079000-100",Plan!aa:aa)</f>
        <v>0</v>
      </c>
      <c r="AB83">
        <f>sumif(Plan!B:B,"825-079000-100",Plan!ab:ab)</f>
        <v>0</v>
      </c>
      <c r="AC83">
        <f>sumif(Plan!B:B,"825-079000-100",Plan!ac:ac)</f>
        <v>0</v>
      </c>
      <c r="AD83">
        <f>sumif(Plan!B:B,"825-079000-100",Plan!ad:ad)</f>
        <v>0</v>
      </c>
      <c r="AE83">
        <f>sumif(Plan!B:B,"825-079000-100",Plan!ae:ae)</f>
        <v>0</v>
      </c>
      <c r="AF83">
        <f>sumif(Plan!B:B,"825-079000-100",Plan!af:af)</f>
        <v>0</v>
      </c>
      <c r="AG83">
        <f>sumif(Plan!B:B,"825-079000-100",Plan!ag:ag)</f>
        <v>0</v>
      </c>
      <c r="AH83">
        <f>sumif(Plan!B:B,"825-079000-100",Plan!ah:ah)</f>
        <v>0</v>
      </c>
      <c r="AI83">
        <f>sumif(Plan!B:B,"825-079000-100",Plan!ai:ai)</f>
        <v>0</v>
      </c>
      <c r="AJ83">
        <f>sumif(Plan!B:B,"825-079000-100",Plan!aj:aj)</f>
        <v>0</v>
      </c>
      <c r="AK83">
        <f>sumif(Plan!B:B,"825-079000-100",Plan!ak:ak)</f>
        <v>0</v>
      </c>
      <c r="AL83">
        <f>sumif(Plan!B:B,"825-079000-100",Plan!al:al)</f>
        <v>0</v>
      </c>
      <c r="AM83">
        <f>sumif(Plan!B:B,"825-079000-100",Plan!am:am)</f>
        <v>0</v>
      </c>
      <c r="AN83">
        <f>sumif(Plan!B:B,"825-079000-100",Plan!an:an)</f>
        <v>0</v>
      </c>
      <c r="AO83">
        <f>sumif(Plan!B:B,"825-079000-100",Plan!ao:ao)</f>
        <v>0</v>
      </c>
    </row>
    <row r="84" spans="1:41">
      <c r="A84" t="s">
        <v>17</v>
      </c>
      <c r="B84" t="s">
        <v>72</v>
      </c>
      <c r="C84" t="s">
        <v>73</v>
      </c>
      <c r="E84">
        <v>1</v>
      </c>
      <c r="F84" t="s">
        <v>13</v>
      </c>
      <c r="H84" t="s">
        <v>16</v>
      </c>
      <c r="J84">
        <f>indirect(address(84,9))+indirect(address(82,10))-indirect(address(83,10))</f>
        <v>0</v>
      </c>
      <c r="K84">
        <f>indirect(address(84,10))+indirect(address(82,11))-indirect(address(83,11))</f>
        <v>0</v>
      </c>
      <c r="L84">
        <f>indirect(address(84,11))+indirect(address(82,12))-indirect(address(83,12))</f>
        <v>0</v>
      </c>
      <c r="M84">
        <f>indirect(address(84,12))+indirect(address(82,13))-indirect(address(83,13))</f>
        <v>0</v>
      </c>
      <c r="N84">
        <f>indirect(address(84,13))+indirect(address(82,14))-indirect(address(83,14))</f>
        <v>0</v>
      </c>
      <c r="O84">
        <f>indirect(address(84,14))+indirect(address(82,15))-indirect(address(83,15))</f>
        <v>0</v>
      </c>
      <c r="P84">
        <f>indirect(address(84,15))+indirect(address(82,16))-indirect(address(83,16))</f>
        <v>0</v>
      </c>
      <c r="Q84">
        <f>indirect(address(84,16))+indirect(address(82,17))-indirect(address(83,17))</f>
        <v>0</v>
      </c>
      <c r="R84">
        <f>indirect(address(84,17))+indirect(address(82,18))-indirect(address(83,18))</f>
        <v>0</v>
      </c>
      <c r="S84">
        <f>indirect(address(84,18))+indirect(address(82,19))-indirect(address(83,19))</f>
        <v>0</v>
      </c>
      <c r="T84">
        <f>indirect(address(84,19))+indirect(address(82,20))-indirect(address(83,20))</f>
        <v>0</v>
      </c>
      <c r="U84">
        <f>indirect(address(84,20))+indirect(address(82,21))-indirect(address(83,21))</f>
        <v>0</v>
      </c>
      <c r="V84">
        <f>indirect(address(84,21))+indirect(address(82,22))-indirect(address(83,22))</f>
        <v>0</v>
      </c>
      <c r="W84">
        <f>indirect(address(84,22))+indirect(address(82,23))-indirect(address(83,23))</f>
        <v>0</v>
      </c>
      <c r="X84">
        <f>indirect(address(84,23))+indirect(address(82,24))-indirect(address(83,24))</f>
        <v>0</v>
      </c>
      <c r="Y84">
        <f>indirect(address(84,24))+indirect(address(82,25))-indirect(address(83,25))</f>
        <v>0</v>
      </c>
      <c r="Z84">
        <f>indirect(address(84,25))+indirect(address(82,26))-indirect(address(83,26))</f>
        <v>0</v>
      </c>
      <c r="AA84">
        <f>indirect(address(84,26))+indirect(address(82,27))-indirect(address(83,27))</f>
        <v>0</v>
      </c>
      <c r="AB84">
        <f>indirect(address(84,27))+indirect(address(82,28))-indirect(address(83,28))</f>
        <v>0</v>
      </c>
      <c r="AC84">
        <f>indirect(address(84,28))+indirect(address(82,29))-indirect(address(83,29))</f>
        <v>0</v>
      </c>
      <c r="AD84">
        <f>indirect(address(84,29))+indirect(address(82,30))-indirect(address(83,30))</f>
        <v>0</v>
      </c>
      <c r="AE84">
        <f>indirect(address(84,30))+indirect(address(82,31))-indirect(address(83,31))</f>
        <v>0</v>
      </c>
      <c r="AF84">
        <f>indirect(address(84,31))+indirect(address(82,32))-indirect(address(83,32))</f>
        <v>0</v>
      </c>
      <c r="AG84">
        <f>indirect(address(84,32))+indirect(address(82,33))-indirect(address(83,33))</f>
        <v>0</v>
      </c>
      <c r="AH84">
        <f>indirect(address(84,33))+indirect(address(82,34))-indirect(address(83,34))</f>
        <v>0</v>
      </c>
      <c r="AI84">
        <f>indirect(address(84,34))+indirect(address(82,35))-indirect(address(83,35))</f>
        <v>0</v>
      </c>
      <c r="AJ84">
        <f>indirect(address(84,35))+indirect(address(82,36))-indirect(address(83,36))</f>
        <v>0</v>
      </c>
      <c r="AK84">
        <f>indirect(address(84,36))+indirect(address(82,37))-indirect(address(83,37))</f>
        <v>0</v>
      </c>
      <c r="AL84">
        <f>indirect(address(84,37))+indirect(address(82,38))-indirect(address(83,38))</f>
        <v>0</v>
      </c>
      <c r="AM84">
        <f>indirect(address(84,38))+indirect(address(82,39))-indirect(address(83,39))</f>
        <v>0</v>
      </c>
      <c r="AN84">
        <f>indirect(address(84,39))+indirect(address(82,40))-indirect(address(83,40))</f>
        <v>0</v>
      </c>
      <c r="AO84">
        <f>indirect(address(84,40))+indirect(address(82,41))-indirect(address(83,41))</f>
        <v>0</v>
      </c>
    </row>
    <row r="85" spans="1:41">
      <c r="I85" t="s">
        <v>14</v>
      </c>
      <c r="AO85">
        <f>sum(j85:an85)</f>
        <v>0</v>
      </c>
    </row>
    <row r="86" spans="1:41">
      <c r="I86" t="s">
        <v>15</v>
      </c>
      <c r="J86">
        <f>sumif(Plan!B:B,"262-000000-077",Plan!j:j)</f>
        <v>0</v>
      </c>
      <c r="K86">
        <f>sumif(Plan!B:B,"262-000000-077",Plan!k:k)</f>
        <v>0</v>
      </c>
      <c r="L86">
        <f>sumif(Plan!B:B,"262-000000-077",Plan!l:l)</f>
        <v>0</v>
      </c>
      <c r="M86">
        <f>sumif(Plan!B:B,"262-000000-077",Plan!m:m)</f>
        <v>0</v>
      </c>
      <c r="N86">
        <f>sumif(Plan!B:B,"262-000000-077",Plan!n:n)</f>
        <v>0</v>
      </c>
      <c r="O86">
        <f>sumif(Plan!B:B,"262-000000-077",Plan!o:o)</f>
        <v>0</v>
      </c>
      <c r="P86">
        <f>sumif(Plan!B:B,"262-000000-077",Plan!p:p)</f>
        <v>0</v>
      </c>
      <c r="Q86">
        <f>sumif(Plan!B:B,"262-000000-077",Plan!q:q)</f>
        <v>0</v>
      </c>
      <c r="R86">
        <f>sumif(Plan!B:B,"262-000000-077",Plan!r:r)</f>
        <v>0</v>
      </c>
      <c r="S86">
        <f>sumif(Plan!B:B,"262-000000-077",Plan!s:s)</f>
        <v>0</v>
      </c>
      <c r="T86">
        <f>sumif(Plan!B:B,"262-000000-077",Plan!t:t)</f>
        <v>0</v>
      </c>
      <c r="U86">
        <f>sumif(Plan!B:B,"262-000000-077",Plan!u:u)</f>
        <v>0</v>
      </c>
      <c r="V86">
        <f>sumif(Plan!B:B,"262-000000-077",Plan!v:v)</f>
        <v>0</v>
      </c>
      <c r="W86">
        <f>sumif(Plan!B:B,"262-000000-077",Plan!w:w)</f>
        <v>0</v>
      </c>
      <c r="X86">
        <f>sumif(Plan!B:B,"262-000000-077",Plan!x:x)</f>
        <v>0</v>
      </c>
      <c r="Y86">
        <f>sumif(Plan!B:B,"262-000000-077",Plan!y:y)</f>
        <v>0</v>
      </c>
      <c r="Z86">
        <f>sumif(Plan!B:B,"262-000000-077",Plan!z:z)</f>
        <v>0</v>
      </c>
      <c r="AA86">
        <f>sumif(Plan!B:B,"262-000000-077",Plan!aa:aa)</f>
        <v>0</v>
      </c>
      <c r="AB86">
        <f>sumif(Plan!B:B,"262-000000-077",Plan!ab:ab)</f>
        <v>0</v>
      </c>
      <c r="AC86">
        <f>sumif(Plan!B:B,"262-000000-077",Plan!ac:ac)</f>
        <v>0</v>
      </c>
      <c r="AD86">
        <f>sumif(Plan!B:B,"262-000000-077",Plan!ad:ad)</f>
        <v>0</v>
      </c>
      <c r="AE86">
        <f>sumif(Plan!B:B,"262-000000-077",Plan!ae:ae)</f>
        <v>0</v>
      </c>
      <c r="AF86">
        <f>sumif(Plan!B:B,"262-000000-077",Plan!af:af)</f>
        <v>0</v>
      </c>
      <c r="AG86">
        <f>sumif(Plan!B:B,"262-000000-077",Plan!ag:ag)</f>
        <v>0</v>
      </c>
      <c r="AH86">
        <f>sumif(Plan!B:B,"262-000000-077",Plan!ah:ah)</f>
        <v>0</v>
      </c>
      <c r="AI86">
        <f>sumif(Plan!B:B,"262-000000-077",Plan!ai:ai)</f>
        <v>0</v>
      </c>
      <c r="AJ86">
        <f>sumif(Plan!B:B,"262-000000-077",Plan!aj:aj)</f>
        <v>0</v>
      </c>
      <c r="AK86">
        <f>sumif(Plan!B:B,"262-000000-077",Plan!ak:ak)</f>
        <v>0</v>
      </c>
      <c r="AL86">
        <f>sumif(Plan!B:B,"262-000000-077",Plan!al:al)</f>
        <v>0</v>
      </c>
      <c r="AM86">
        <f>sumif(Plan!B:B,"262-000000-077",Plan!am:am)</f>
        <v>0</v>
      </c>
      <c r="AN86">
        <f>sumif(Plan!B:B,"262-000000-077",Plan!an:an)</f>
        <v>0</v>
      </c>
      <c r="AO86">
        <f>sumif(Plan!B:B,"262-000000-077",Plan!ao:ao)</f>
        <v>0</v>
      </c>
    </row>
    <row r="87" spans="1:41">
      <c r="A87" t="s">
        <v>22</v>
      </c>
      <c r="B87" t="s">
        <v>74</v>
      </c>
      <c r="C87" t="s">
        <v>75</v>
      </c>
      <c r="E87">
        <v>4</v>
      </c>
      <c r="F87" t="s">
        <v>13</v>
      </c>
      <c r="H87" t="s">
        <v>16</v>
      </c>
      <c r="J87">
        <f>indirect(address(87,9))+indirect(address(85,10))-indirect(address(86,10))</f>
        <v>0</v>
      </c>
      <c r="K87">
        <f>indirect(address(87,10))+indirect(address(85,11))-indirect(address(86,11))</f>
        <v>0</v>
      </c>
      <c r="L87">
        <f>indirect(address(87,11))+indirect(address(85,12))-indirect(address(86,12))</f>
        <v>0</v>
      </c>
      <c r="M87">
        <f>indirect(address(87,12))+indirect(address(85,13))-indirect(address(86,13))</f>
        <v>0</v>
      </c>
      <c r="N87">
        <f>indirect(address(87,13))+indirect(address(85,14))-indirect(address(86,14))</f>
        <v>0</v>
      </c>
      <c r="O87">
        <f>indirect(address(87,14))+indirect(address(85,15))-indirect(address(86,15))</f>
        <v>0</v>
      </c>
      <c r="P87">
        <f>indirect(address(87,15))+indirect(address(85,16))-indirect(address(86,16))</f>
        <v>0</v>
      </c>
      <c r="Q87">
        <f>indirect(address(87,16))+indirect(address(85,17))-indirect(address(86,17))</f>
        <v>0</v>
      </c>
      <c r="R87">
        <f>indirect(address(87,17))+indirect(address(85,18))-indirect(address(86,18))</f>
        <v>0</v>
      </c>
      <c r="S87">
        <f>indirect(address(87,18))+indirect(address(85,19))-indirect(address(86,19))</f>
        <v>0</v>
      </c>
      <c r="T87">
        <f>indirect(address(87,19))+indirect(address(85,20))-indirect(address(86,20))</f>
        <v>0</v>
      </c>
      <c r="U87">
        <f>indirect(address(87,20))+indirect(address(85,21))-indirect(address(86,21))</f>
        <v>0</v>
      </c>
      <c r="V87">
        <f>indirect(address(87,21))+indirect(address(85,22))-indirect(address(86,22))</f>
        <v>0</v>
      </c>
      <c r="W87">
        <f>indirect(address(87,22))+indirect(address(85,23))-indirect(address(86,23))</f>
        <v>0</v>
      </c>
      <c r="X87">
        <f>indirect(address(87,23))+indirect(address(85,24))-indirect(address(86,24))</f>
        <v>0</v>
      </c>
      <c r="Y87">
        <f>indirect(address(87,24))+indirect(address(85,25))-indirect(address(86,25))</f>
        <v>0</v>
      </c>
      <c r="Z87">
        <f>indirect(address(87,25))+indirect(address(85,26))-indirect(address(86,26))</f>
        <v>0</v>
      </c>
      <c r="AA87">
        <f>indirect(address(87,26))+indirect(address(85,27))-indirect(address(86,27))</f>
        <v>0</v>
      </c>
      <c r="AB87">
        <f>indirect(address(87,27))+indirect(address(85,28))-indirect(address(86,28))</f>
        <v>0</v>
      </c>
      <c r="AC87">
        <f>indirect(address(87,28))+indirect(address(85,29))-indirect(address(86,29))</f>
        <v>0</v>
      </c>
      <c r="AD87">
        <f>indirect(address(87,29))+indirect(address(85,30))-indirect(address(86,30))</f>
        <v>0</v>
      </c>
      <c r="AE87">
        <f>indirect(address(87,30))+indirect(address(85,31))-indirect(address(86,31))</f>
        <v>0</v>
      </c>
      <c r="AF87">
        <f>indirect(address(87,31))+indirect(address(85,32))-indirect(address(86,32))</f>
        <v>0</v>
      </c>
      <c r="AG87">
        <f>indirect(address(87,32))+indirect(address(85,33))-indirect(address(86,33))</f>
        <v>0</v>
      </c>
      <c r="AH87">
        <f>indirect(address(87,33))+indirect(address(85,34))-indirect(address(86,34))</f>
        <v>0</v>
      </c>
      <c r="AI87">
        <f>indirect(address(87,34))+indirect(address(85,35))-indirect(address(86,35))</f>
        <v>0</v>
      </c>
      <c r="AJ87">
        <f>indirect(address(87,35))+indirect(address(85,36))-indirect(address(86,36))</f>
        <v>0</v>
      </c>
      <c r="AK87">
        <f>indirect(address(87,36))+indirect(address(85,37))-indirect(address(86,37))</f>
        <v>0</v>
      </c>
      <c r="AL87">
        <f>indirect(address(87,37))+indirect(address(85,38))-indirect(address(86,38))</f>
        <v>0</v>
      </c>
      <c r="AM87">
        <f>indirect(address(87,38))+indirect(address(85,39))-indirect(address(86,39))</f>
        <v>0</v>
      </c>
      <c r="AN87">
        <f>indirect(address(87,39))+indirect(address(85,40))-indirect(address(86,40))</f>
        <v>0</v>
      </c>
      <c r="AO87">
        <f>indirect(address(87,40))+indirect(address(85,41))-indirect(address(86,41))</f>
        <v>0</v>
      </c>
    </row>
    <row r="88" spans="1:41">
      <c r="I88" t="s">
        <v>14</v>
      </c>
      <c r="AO88">
        <f>sum(j88:an88)</f>
        <v>0</v>
      </c>
    </row>
    <row r="89" spans="1:41">
      <c r="I89" t="s">
        <v>15</v>
      </c>
      <c r="J89">
        <f>sumif(Plan!B:B,"261-000000-154",Plan!j:j)</f>
        <v>0</v>
      </c>
      <c r="K89">
        <f>sumif(Plan!B:B,"261-000000-154",Plan!k:k)</f>
        <v>0</v>
      </c>
      <c r="L89">
        <f>sumif(Plan!B:B,"261-000000-154",Plan!l:l)</f>
        <v>0</v>
      </c>
      <c r="M89">
        <f>sumif(Plan!B:B,"261-000000-154",Plan!m:m)</f>
        <v>0</v>
      </c>
      <c r="N89">
        <f>sumif(Plan!B:B,"261-000000-154",Plan!n:n)</f>
        <v>0</v>
      </c>
      <c r="O89">
        <f>sumif(Plan!B:B,"261-000000-154",Plan!o:o)</f>
        <v>0</v>
      </c>
      <c r="P89">
        <f>sumif(Plan!B:B,"261-000000-154",Plan!p:p)</f>
        <v>0</v>
      </c>
      <c r="Q89">
        <f>sumif(Plan!B:B,"261-000000-154",Plan!q:q)</f>
        <v>0</v>
      </c>
      <c r="R89">
        <f>sumif(Plan!B:B,"261-000000-154",Plan!r:r)</f>
        <v>0</v>
      </c>
      <c r="S89">
        <f>sumif(Plan!B:B,"261-000000-154",Plan!s:s)</f>
        <v>0</v>
      </c>
      <c r="T89">
        <f>sumif(Plan!B:B,"261-000000-154",Plan!t:t)</f>
        <v>0</v>
      </c>
      <c r="U89">
        <f>sumif(Plan!B:B,"261-000000-154",Plan!u:u)</f>
        <v>0</v>
      </c>
      <c r="V89">
        <f>sumif(Plan!B:B,"261-000000-154",Plan!v:v)</f>
        <v>0</v>
      </c>
      <c r="W89">
        <f>sumif(Plan!B:B,"261-000000-154",Plan!w:w)</f>
        <v>0</v>
      </c>
      <c r="X89">
        <f>sumif(Plan!B:B,"261-000000-154",Plan!x:x)</f>
        <v>0</v>
      </c>
      <c r="Y89">
        <f>sumif(Plan!B:B,"261-000000-154",Plan!y:y)</f>
        <v>0</v>
      </c>
      <c r="Z89">
        <f>sumif(Plan!B:B,"261-000000-154",Plan!z:z)</f>
        <v>0</v>
      </c>
      <c r="AA89">
        <f>sumif(Plan!B:B,"261-000000-154",Plan!aa:aa)</f>
        <v>0</v>
      </c>
      <c r="AB89">
        <f>sumif(Plan!B:B,"261-000000-154",Plan!ab:ab)</f>
        <v>0</v>
      </c>
      <c r="AC89">
        <f>sumif(Plan!B:B,"261-000000-154",Plan!ac:ac)</f>
        <v>0</v>
      </c>
      <c r="AD89">
        <f>sumif(Plan!B:B,"261-000000-154",Plan!ad:ad)</f>
        <v>0</v>
      </c>
      <c r="AE89">
        <f>sumif(Plan!B:B,"261-000000-154",Plan!ae:ae)</f>
        <v>0</v>
      </c>
      <c r="AF89">
        <f>sumif(Plan!B:B,"261-000000-154",Plan!af:af)</f>
        <v>0</v>
      </c>
      <c r="AG89">
        <f>sumif(Plan!B:B,"261-000000-154",Plan!ag:ag)</f>
        <v>0</v>
      </c>
      <c r="AH89">
        <f>sumif(Plan!B:B,"261-000000-154",Plan!ah:ah)</f>
        <v>0</v>
      </c>
      <c r="AI89">
        <f>sumif(Plan!B:B,"261-000000-154",Plan!ai:ai)</f>
        <v>0</v>
      </c>
      <c r="AJ89">
        <f>sumif(Plan!B:B,"261-000000-154",Plan!aj:aj)</f>
        <v>0</v>
      </c>
      <c r="AK89">
        <f>sumif(Plan!B:B,"261-000000-154",Plan!ak:ak)</f>
        <v>0</v>
      </c>
      <c r="AL89">
        <f>sumif(Plan!B:B,"261-000000-154",Plan!al:al)</f>
        <v>0</v>
      </c>
      <c r="AM89">
        <f>sumif(Plan!B:B,"261-000000-154",Plan!am:am)</f>
        <v>0</v>
      </c>
      <c r="AN89">
        <f>sumif(Plan!B:B,"261-000000-154",Plan!an:an)</f>
        <v>0</v>
      </c>
      <c r="AO89">
        <f>sumif(Plan!B:B,"261-000000-154",Plan!ao:ao)</f>
        <v>0</v>
      </c>
    </row>
    <row r="90" spans="1:41">
      <c r="A90" t="s">
        <v>22</v>
      </c>
      <c r="B90" t="s">
        <v>76</v>
      </c>
      <c r="C90" t="s">
        <v>77</v>
      </c>
      <c r="E90">
        <v>1</v>
      </c>
      <c r="F90" t="s">
        <v>13</v>
      </c>
      <c r="H90" t="s">
        <v>16</v>
      </c>
      <c r="J90">
        <f>indirect(address(90,9))+indirect(address(88,10))-indirect(address(89,10))</f>
        <v>0</v>
      </c>
      <c r="K90">
        <f>indirect(address(90,10))+indirect(address(88,11))-indirect(address(89,11))</f>
        <v>0</v>
      </c>
      <c r="L90">
        <f>indirect(address(90,11))+indirect(address(88,12))-indirect(address(89,12))</f>
        <v>0</v>
      </c>
      <c r="M90">
        <f>indirect(address(90,12))+indirect(address(88,13))-indirect(address(89,13))</f>
        <v>0</v>
      </c>
      <c r="N90">
        <f>indirect(address(90,13))+indirect(address(88,14))-indirect(address(89,14))</f>
        <v>0</v>
      </c>
      <c r="O90">
        <f>indirect(address(90,14))+indirect(address(88,15))-indirect(address(89,15))</f>
        <v>0</v>
      </c>
      <c r="P90">
        <f>indirect(address(90,15))+indirect(address(88,16))-indirect(address(89,16))</f>
        <v>0</v>
      </c>
      <c r="Q90">
        <f>indirect(address(90,16))+indirect(address(88,17))-indirect(address(89,17))</f>
        <v>0</v>
      </c>
      <c r="R90">
        <f>indirect(address(90,17))+indirect(address(88,18))-indirect(address(89,18))</f>
        <v>0</v>
      </c>
      <c r="S90">
        <f>indirect(address(90,18))+indirect(address(88,19))-indirect(address(89,19))</f>
        <v>0</v>
      </c>
      <c r="T90">
        <f>indirect(address(90,19))+indirect(address(88,20))-indirect(address(89,20))</f>
        <v>0</v>
      </c>
      <c r="U90">
        <f>indirect(address(90,20))+indirect(address(88,21))-indirect(address(89,21))</f>
        <v>0</v>
      </c>
      <c r="V90">
        <f>indirect(address(90,21))+indirect(address(88,22))-indirect(address(89,22))</f>
        <v>0</v>
      </c>
      <c r="W90">
        <f>indirect(address(90,22))+indirect(address(88,23))-indirect(address(89,23))</f>
        <v>0</v>
      </c>
      <c r="X90">
        <f>indirect(address(90,23))+indirect(address(88,24))-indirect(address(89,24))</f>
        <v>0</v>
      </c>
      <c r="Y90">
        <f>indirect(address(90,24))+indirect(address(88,25))-indirect(address(89,25))</f>
        <v>0</v>
      </c>
      <c r="Z90">
        <f>indirect(address(90,25))+indirect(address(88,26))-indirect(address(89,26))</f>
        <v>0</v>
      </c>
      <c r="AA90">
        <f>indirect(address(90,26))+indirect(address(88,27))-indirect(address(89,27))</f>
        <v>0</v>
      </c>
      <c r="AB90">
        <f>indirect(address(90,27))+indirect(address(88,28))-indirect(address(89,28))</f>
        <v>0</v>
      </c>
      <c r="AC90">
        <f>indirect(address(90,28))+indirect(address(88,29))-indirect(address(89,29))</f>
        <v>0</v>
      </c>
      <c r="AD90">
        <f>indirect(address(90,29))+indirect(address(88,30))-indirect(address(89,30))</f>
        <v>0</v>
      </c>
      <c r="AE90">
        <f>indirect(address(90,30))+indirect(address(88,31))-indirect(address(89,31))</f>
        <v>0</v>
      </c>
      <c r="AF90">
        <f>indirect(address(90,31))+indirect(address(88,32))-indirect(address(89,32))</f>
        <v>0</v>
      </c>
      <c r="AG90">
        <f>indirect(address(90,32))+indirect(address(88,33))-indirect(address(89,33))</f>
        <v>0</v>
      </c>
      <c r="AH90">
        <f>indirect(address(90,33))+indirect(address(88,34))-indirect(address(89,34))</f>
        <v>0</v>
      </c>
      <c r="AI90">
        <f>indirect(address(90,34))+indirect(address(88,35))-indirect(address(89,35))</f>
        <v>0</v>
      </c>
      <c r="AJ90">
        <f>indirect(address(90,35))+indirect(address(88,36))-indirect(address(89,36))</f>
        <v>0</v>
      </c>
      <c r="AK90">
        <f>indirect(address(90,36))+indirect(address(88,37))-indirect(address(89,37))</f>
        <v>0</v>
      </c>
      <c r="AL90">
        <f>indirect(address(90,37))+indirect(address(88,38))-indirect(address(89,38))</f>
        <v>0</v>
      </c>
      <c r="AM90">
        <f>indirect(address(90,38))+indirect(address(88,39))-indirect(address(89,39))</f>
        <v>0</v>
      </c>
      <c r="AN90">
        <f>indirect(address(90,39))+indirect(address(88,40))-indirect(address(89,40))</f>
        <v>0</v>
      </c>
      <c r="AO90">
        <f>indirect(address(90,40))+indirect(address(88,41))-indirect(address(89,41))</f>
        <v>0</v>
      </c>
    </row>
    <row r="91" spans="1:41">
      <c r="I91" t="s">
        <v>14</v>
      </c>
      <c r="AO91">
        <f>sum(j91:an91)</f>
        <v>0</v>
      </c>
    </row>
    <row r="92" spans="1:41">
      <c r="I92" t="s">
        <v>15</v>
      </c>
      <c r="J92">
        <f>sumif(Plan!B:B,"261-000000-154",Plan!j:j)</f>
        <v>0</v>
      </c>
      <c r="K92">
        <f>sumif(Plan!B:B,"261-000000-154",Plan!k:k)</f>
        <v>0</v>
      </c>
      <c r="L92">
        <f>sumif(Plan!B:B,"261-000000-154",Plan!l:l)</f>
        <v>0</v>
      </c>
      <c r="M92">
        <f>sumif(Plan!B:B,"261-000000-154",Plan!m:m)</f>
        <v>0</v>
      </c>
      <c r="N92">
        <f>sumif(Plan!B:B,"261-000000-154",Plan!n:n)</f>
        <v>0</v>
      </c>
      <c r="O92">
        <f>sumif(Plan!B:B,"261-000000-154",Plan!o:o)</f>
        <v>0</v>
      </c>
      <c r="P92">
        <f>sumif(Plan!B:B,"261-000000-154",Plan!p:p)</f>
        <v>0</v>
      </c>
      <c r="Q92">
        <f>sumif(Plan!B:B,"261-000000-154",Plan!q:q)</f>
        <v>0</v>
      </c>
      <c r="R92">
        <f>sumif(Plan!B:B,"261-000000-154",Plan!r:r)</f>
        <v>0</v>
      </c>
      <c r="S92">
        <f>sumif(Plan!B:B,"261-000000-154",Plan!s:s)</f>
        <v>0</v>
      </c>
      <c r="T92">
        <f>sumif(Plan!B:B,"261-000000-154",Plan!t:t)</f>
        <v>0</v>
      </c>
      <c r="U92">
        <f>sumif(Plan!B:B,"261-000000-154",Plan!u:u)</f>
        <v>0</v>
      </c>
      <c r="V92">
        <f>sumif(Plan!B:B,"261-000000-154",Plan!v:v)</f>
        <v>0</v>
      </c>
      <c r="W92">
        <f>sumif(Plan!B:B,"261-000000-154",Plan!w:w)</f>
        <v>0</v>
      </c>
      <c r="X92">
        <f>sumif(Plan!B:B,"261-000000-154",Plan!x:x)</f>
        <v>0</v>
      </c>
      <c r="Y92">
        <f>sumif(Plan!B:B,"261-000000-154",Plan!y:y)</f>
        <v>0</v>
      </c>
      <c r="Z92">
        <f>sumif(Plan!B:B,"261-000000-154",Plan!z:z)</f>
        <v>0</v>
      </c>
      <c r="AA92">
        <f>sumif(Plan!B:B,"261-000000-154",Plan!aa:aa)</f>
        <v>0</v>
      </c>
      <c r="AB92">
        <f>sumif(Plan!B:B,"261-000000-154",Plan!ab:ab)</f>
        <v>0</v>
      </c>
      <c r="AC92">
        <f>sumif(Plan!B:B,"261-000000-154",Plan!ac:ac)</f>
        <v>0</v>
      </c>
      <c r="AD92">
        <f>sumif(Plan!B:B,"261-000000-154",Plan!ad:ad)</f>
        <v>0</v>
      </c>
      <c r="AE92">
        <f>sumif(Plan!B:B,"261-000000-154",Plan!ae:ae)</f>
        <v>0</v>
      </c>
      <c r="AF92">
        <f>sumif(Plan!B:B,"261-000000-154",Plan!af:af)</f>
        <v>0</v>
      </c>
      <c r="AG92">
        <f>sumif(Plan!B:B,"261-000000-154",Plan!ag:ag)</f>
        <v>0</v>
      </c>
      <c r="AH92">
        <f>sumif(Plan!B:B,"261-000000-154",Plan!ah:ah)</f>
        <v>0</v>
      </c>
      <c r="AI92">
        <f>sumif(Plan!B:B,"261-000000-154",Plan!ai:ai)</f>
        <v>0</v>
      </c>
      <c r="AJ92">
        <f>sumif(Plan!B:B,"261-000000-154",Plan!aj:aj)</f>
        <v>0</v>
      </c>
      <c r="AK92">
        <f>sumif(Plan!B:B,"261-000000-154",Plan!ak:ak)</f>
        <v>0</v>
      </c>
      <c r="AL92">
        <f>sumif(Plan!B:B,"261-000000-154",Plan!al:al)</f>
        <v>0</v>
      </c>
      <c r="AM92">
        <f>sumif(Plan!B:B,"261-000000-154",Plan!am:am)</f>
        <v>0</v>
      </c>
      <c r="AN92">
        <f>sumif(Plan!B:B,"261-000000-154",Plan!an:an)</f>
        <v>0</v>
      </c>
      <c r="AO92">
        <f>sumif(Plan!B:B,"261-000000-154",Plan!ao:ao)</f>
        <v>0</v>
      </c>
    </row>
    <row r="93" spans="1:41">
      <c r="A93" t="s">
        <v>43</v>
      </c>
      <c r="B93" t="s">
        <v>76</v>
      </c>
      <c r="C93" t="s">
        <v>43</v>
      </c>
      <c r="E93">
        <v>0.03</v>
      </c>
      <c r="F93" t="s">
        <v>13</v>
      </c>
      <c r="H93" t="s">
        <v>16</v>
      </c>
      <c r="J93">
        <f>indirect(address(93,9))+indirect(address(91,10))-indirect(address(92,10))</f>
        <v>0</v>
      </c>
      <c r="K93">
        <f>indirect(address(93,10))+indirect(address(91,11))-indirect(address(92,11))</f>
        <v>0</v>
      </c>
      <c r="L93">
        <f>indirect(address(93,11))+indirect(address(91,12))-indirect(address(92,12))</f>
        <v>0</v>
      </c>
      <c r="M93">
        <f>indirect(address(93,12))+indirect(address(91,13))-indirect(address(92,13))</f>
        <v>0</v>
      </c>
      <c r="N93">
        <f>indirect(address(93,13))+indirect(address(91,14))-indirect(address(92,14))</f>
        <v>0</v>
      </c>
      <c r="O93">
        <f>indirect(address(93,14))+indirect(address(91,15))-indirect(address(92,15))</f>
        <v>0</v>
      </c>
      <c r="P93">
        <f>indirect(address(93,15))+indirect(address(91,16))-indirect(address(92,16))</f>
        <v>0</v>
      </c>
      <c r="Q93">
        <f>indirect(address(93,16))+indirect(address(91,17))-indirect(address(92,17))</f>
        <v>0</v>
      </c>
      <c r="R93">
        <f>indirect(address(93,17))+indirect(address(91,18))-indirect(address(92,18))</f>
        <v>0</v>
      </c>
      <c r="S93">
        <f>indirect(address(93,18))+indirect(address(91,19))-indirect(address(92,19))</f>
        <v>0</v>
      </c>
      <c r="T93">
        <f>indirect(address(93,19))+indirect(address(91,20))-indirect(address(92,20))</f>
        <v>0</v>
      </c>
      <c r="U93">
        <f>indirect(address(93,20))+indirect(address(91,21))-indirect(address(92,21))</f>
        <v>0</v>
      </c>
      <c r="V93">
        <f>indirect(address(93,21))+indirect(address(91,22))-indirect(address(92,22))</f>
        <v>0</v>
      </c>
      <c r="W93">
        <f>indirect(address(93,22))+indirect(address(91,23))-indirect(address(92,23))</f>
        <v>0</v>
      </c>
      <c r="X93">
        <f>indirect(address(93,23))+indirect(address(91,24))-indirect(address(92,24))</f>
        <v>0</v>
      </c>
      <c r="Y93">
        <f>indirect(address(93,24))+indirect(address(91,25))-indirect(address(92,25))</f>
        <v>0</v>
      </c>
      <c r="Z93">
        <f>indirect(address(93,25))+indirect(address(91,26))-indirect(address(92,26))</f>
        <v>0</v>
      </c>
      <c r="AA93">
        <f>indirect(address(93,26))+indirect(address(91,27))-indirect(address(92,27))</f>
        <v>0</v>
      </c>
      <c r="AB93">
        <f>indirect(address(93,27))+indirect(address(91,28))-indirect(address(92,28))</f>
        <v>0</v>
      </c>
      <c r="AC93">
        <f>indirect(address(93,28))+indirect(address(91,29))-indirect(address(92,29))</f>
        <v>0</v>
      </c>
      <c r="AD93">
        <f>indirect(address(93,29))+indirect(address(91,30))-indirect(address(92,30))</f>
        <v>0</v>
      </c>
      <c r="AE93">
        <f>indirect(address(93,30))+indirect(address(91,31))-indirect(address(92,31))</f>
        <v>0</v>
      </c>
      <c r="AF93">
        <f>indirect(address(93,31))+indirect(address(91,32))-indirect(address(92,32))</f>
        <v>0</v>
      </c>
      <c r="AG93">
        <f>indirect(address(93,32))+indirect(address(91,33))-indirect(address(92,33))</f>
        <v>0</v>
      </c>
      <c r="AH93">
        <f>indirect(address(93,33))+indirect(address(91,34))-indirect(address(92,34))</f>
        <v>0</v>
      </c>
      <c r="AI93">
        <f>indirect(address(93,34))+indirect(address(91,35))-indirect(address(92,35))</f>
        <v>0</v>
      </c>
      <c r="AJ93">
        <f>indirect(address(93,35))+indirect(address(91,36))-indirect(address(92,36))</f>
        <v>0</v>
      </c>
      <c r="AK93">
        <f>indirect(address(93,36))+indirect(address(91,37))-indirect(address(92,37))</f>
        <v>0</v>
      </c>
      <c r="AL93">
        <f>indirect(address(93,37))+indirect(address(91,38))-indirect(address(92,38))</f>
        <v>0</v>
      </c>
      <c r="AM93">
        <f>indirect(address(93,38))+indirect(address(91,39))-indirect(address(92,39))</f>
        <v>0</v>
      </c>
      <c r="AN93">
        <f>indirect(address(93,39))+indirect(address(91,40))-indirect(address(92,40))</f>
        <v>0</v>
      </c>
      <c r="AO93">
        <f>indirect(address(93,40))+indirect(address(91,41))-indirect(address(92,41))</f>
        <v>0</v>
      </c>
    </row>
    <row r="94" spans="1:41">
      <c r="I94" t="s">
        <v>14</v>
      </c>
      <c r="AO94">
        <f>sum(j94:an94)</f>
        <v>0</v>
      </c>
    </row>
    <row r="95" spans="1:41">
      <c r="I95" t="s">
        <v>15</v>
      </c>
      <c r="J95">
        <f>sumif(Plan!B:B,"261-000000-154",Plan!j:j)</f>
        <v>0</v>
      </c>
      <c r="K95">
        <f>sumif(Plan!B:B,"261-000000-154",Plan!k:k)</f>
        <v>0</v>
      </c>
      <c r="L95">
        <f>sumif(Plan!B:B,"261-000000-154",Plan!l:l)</f>
        <v>0</v>
      </c>
      <c r="M95">
        <f>sumif(Plan!B:B,"261-000000-154",Plan!m:m)</f>
        <v>0</v>
      </c>
      <c r="N95">
        <f>sumif(Plan!B:B,"261-000000-154",Plan!n:n)</f>
        <v>0</v>
      </c>
      <c r="O95">
        <f>sumif(Plan!B:B,"261-000000-154",Plan!o:o)</f>
        <v>0</v>
      </c>
      <c r="P95">
        <f>sumif(Plan!B:B,"261-000000-154",Plan!p:p)</f>
        <v>0</v>
      </c>
      <c r="Q95">
        <f>sumif(Plan!B:B,"261-000000-154",Plan!q:q)</f>
        <v>0</v>
      </c>
      <c r="R95">
        <f>sumif(Plan!B:B,"261-000000-154",Plan!r:r)</f>
        <v>0</v>
      </c>
      <c r="S95">
        <f>sumif(Plan!B:B,"261-000000-154",Plan!s:s)</f>
        <v>0</v>
      </c>
      <c r="T95">
        <f>sumif(Plan!B:B,"261-000000-154",Plan!t:t)</f>
        <v>0</v>
      </c>
      <c r="U95">
        <f>sumif(Plan!B:B,"261-000000-154",Plan!u:u)</f>
        <v>0</v>
      </c>
      <c r="V95">
        <f>sumif(Plan!B:B,"261-000000-154",Plan!v:v)</f>
        <v>0</v>
      </c>
      <c r="W95">
        <f>sumif(Plan!B:B,"261-000000-154",Plan!w:w)</f>
        <v>0</v>
      </c>
      <c r="X95">
        <f>sumif(Plan!B:B,"261-000000-154",Plan!x:x)</f>
        <v>0</v>
      </c>
      <c r="Y95">
        <f>sumif(Plan!B:B,"261-000000-154",Plan!y:y)</f>
        <v>0</v>
      </c>
      <c r="Z95">
        <f>sumif(Plan!B:B,"261-000000-154",Plan!z:z)</f>
        <v>0</v>
      </c>
      <c r="AA95">
        <f>sumif(Plan!B:B,"261-000000-154",Plan!aa:aa)</f>
        <v>0</v>
      </c>
      <c r="AB95">
        <f>sumif(Plan!B:B,"261-000000-154",Plan!ab:ab)</f>
        <v>0</v>
      </c>
      <c r="AC95">
        <f>sumif(Plan!B:B,"261-000000-154",Plan!ac:ac)</f>
        <v>0</v>
      </c>
      <c r="AD95">
        <f>sumif(Plan!B:B,"261-000000-154",Plan!ad:ad)</f>
        <v>0</v>
      </c>
      <c r="AE95">
        <f>sumif(Plan!B:B,"261-000000-154",Plan!ae:ae)</f>
        <v>0</v>
      </c>
      <c r="AF95">
        <f>sumif(Plan!B:B,"261-000000-154",Plan!af:af)</f>
        <v>0</v>
      </c>
      <c r="AG95">
        <f>sumif(Plan!B:B,"261-000000-154",Plan!ag:ag)</f>
        <v>0</v>
      </c>
      <c r="AH95">
        <f>sumif(Plan!B:B,"261-000000-154",Plan!ah:ah)</f>
        <v>0</v>
      </c>
      <c r="AI95">
        <f>sumif(Plan!B:B,"261-000000-154",Plan!ai:ai)</f>
        <v>0</v>
      </c>
      <c r="AJ95">
        <f>sumif(Plan!B:B,"261-000000-154",Plan!aj:aj)</f>
        <v>0</v>
      </c>
      <c r="AK95">
        <f>sumif(Plan!B:B,"261-000000-154",Plan!ak:ak)</f>
        <v>0</v>
      </c>
      <c r="AL95">
        <f>sumif(Plan!B:B,"261-000000-154",Plan!al:al)</f>
        <v>0</v>
      </c>
      <c r="AM95">
        <f>sumif(Plan!B:B,"261-000000-154",Plan!am:am)</f>
        <v>0</v>
      </c>
      <c r="AN95">
        <f>sumif(Plan!B:B,"261-000000-154",Plan!an:an)</f>
        <v>0</v>
      </c>
      <c r="AO95">
        <f>sumif(Plan!B:B,"261-000000-154",Plan!ao:ao)</f>
        <v>0</v>
      </c>
    </row>
    <row r="96" spans="1:41">
      <c r="A96" t="s">
        <v>78</v>
      </c>
      <c r="B96" t="s">
        <v>76</v>
      </c>
      <c r="C96" t="s">
        <v>79</v>
      </c>
      <c r="E96">
        <v>0.03</v>
      </c>
      <c r="F96" t="s">
        <v>13</v>
      </c>
      <c r="H96" t="s">
        <v>16</v>
      </c>
      <c r="J96">
        <f>indirect(address(96,9))+indirect(address(94,10))-indirect(address(95,10))</f>
        <v>0</v>
      </c>
      <c r="K96">
        <f>indirect(address(96,10))+indirect(address(94,11))-indirect(address(95,11))</f>
        <v>0</v>
      </c>
      <c r="L96">
        <f>indirect(address(96,11))+indirect(address(94,12))-indirect(address(95,12))</f>
        <v>0</v>
      </c>
      <c r="M96">
        <f>indirect(address(96,12))+indirect(address(94,13))-indirect(address(95,13))</f>
        <v>0</v>
      </c>
      <c r="N96">
        <f>indirect(address(96,13))+indirect(address(94,14))-indirect(address(95,14))</f>
        <v>0</v>
      </c>
      <c r="O96">
        <f>indirect(address(96,14))+indirect(address(94,15))-indirect(address(95,15))</f>
        <v>0</v>
      </c>
      <c r="P96">
        <f>indirect(address(96,15))+indirect(address(94,16))-indirect(address(95,16))</f>
        <v>0</v>
      </c>
      <c r="Q96">
        <f>indirect(address(96,16))+indirect(address(94,17))-indirect(address(95,17))</f>
        <v>0</v>
      </c>
      <c r="R96">
        <f>indirect(address(96,17))+indirect(address(94,18))-indirect(address(95,18))</f>
        <v>0</v>
      </c>
      <c r="S96">
        <f>indirect(address(96,18))+indirect(address(94,19))-indirect(address(95,19))</f>
        <v>0</v>
      </c>
      <c r="T96">
        <f>indirect(address(96,19))+indirect(address(94,20))-indirect(address(95,20))</f>
        <v>0</v>
      </c>
      <c r="U96">
        <f>indirect(address(96,20))+indirect(address(94,21))-indirect(address(95,21))</f>
        <v>0</v>
      </c>
      <c r="V96">
        <f>indirect(address(96,21))+indirect(address(94,22))-indirect(address(95,22))</f>
        <v>0</v>
      </c>
      <c r="W96">
        <f>indirect(address(96,22))+indirect(address(94,23))-indirect(address(95,23))</f>
        <v>0</v>
      </c>
      <c r="X96">
        <f>indirect(address(96,23))+indirect(address(94,24))-indirect(address(95,24))</f>
        <v>0</v>
      </c>
      <c r="Y96">
        <f>indirect(address(96,24))+indirect(address(94,25))-indirect(address(95,25))</f>
        <v>0</v>
      </c>
      <c r="Z96">
        <f>indirect(address(96,25))+indirect(address(94,26))-indirect(address(95,26))</f>
        <v>0</v>
      </c>
      <c r="AA96">
        <f>indirect(address(96,26))+indirect(address(94,27))-indirect(address(95,27))</f>
        <v>0</v>
      </c>
      <c r="AB96">
        <f>indirect(address(96,27))+indirect(address(94,28))-indirect(address(95,28))</f>
        <v>0</v>
      </c>
      <c r="AC96">
        <f>indirect(address(96,28))+indirect(address(94,29))-indirect(address(95,29))</f>
        <v>0</v>
      </c>
      <c r="AD96">
        <f>indirect(address(96,29))+indirect(address(94,30))-indirect(address(95,30))</f>
        <v>0</v>
      </c>
      <c r="AE96">
        <f>indirect(address(96,30))+indirect(address(94,31))-indirect(address(95,31))</f>
        <v>0</v>
      </c>
      <c r="AF96">
        <f>indirect(address(96,31))+indirect(address(94,32))-indirect(address(95,32))</f>
        <v>0</v>
      </c>
      <c r="AG96">
        <f>indirect(address(96,32))+indirect(address(94,33))-indirect(address(95,33))</f>
        <v>0</v>
      </c>
      <c r="AH96">
        <f>indirect(address(96,33))+indirect(address(94,34))-indirect(address(95,34))</f>
        <v>0</v>
      </c>
      <c r="AI96">
        <f>indirect(address(96,34))+indirect(address(94,35))-indirect(address(95,35))</f>
        <v>0</v>
      </c>
      <c r="AJ96">
        <f>indirect(address(96,35))+indirect(address(94,36))-indirect(address(95,36))</f>
        <v>0</v>
      </c>
      <c r="AK96">
        <f>indirect(address(96,36))+indirect(address(94,37))-indirect(address(95,37))</f>
        <v>0</v>
      </c>
      <c r="AL96">
        <f>indirect(address(96,37))+indirect(address(94,38))-indirect(address(95,38))</f>
        <v>0</v>
      </c>
      <c r="AM96">
        <f>indirect(address(96,38))+indirect(address(94,39))-indirect(address(95,39))</f>
        <v>0</v>
      </c>
      <c r="AN96">
        <f>indirect(address(96,39))+indirect(address(94,40))-indirect(address(95,40))</f>
        <v>0</v>
      </c>
      <c r="AO96">
        <f>indirect(address(96,40))+indirect(address(94,41))-indirect(address(95,41))</f>
        <v>0</v>
      </c>
    </row>
    <row r="97" spans="1:41">
      <c r="I97" t="s">
        <v>14</v>
      </c>
      <c r="AO97">
        <f>sum(j97:an97)</f>
        <v>0</v>
      </c>
    </row>
    <row r="98" spans="1:41">
      <c r="I98" t="s">
        <v>15</v>
      </c>
      <c r="J98">
        <f>sumif(Plan!B:B,"827-054000-100",Plan!j:j)</f>
        <v>0</v>
      </c>
      <c r="K98">
        <f>sumif(Plan!B:B,"827-054000-100",Plan!k:k)</f>
        <v>0</v>
      </c>
      <c r="L98">
        <f>sumif(Plan!B:B,"827-054000-100",Plan!l:l)</f>
        <v>0</v>
      </c>
      <c r="M98">
        <f>sumif(Plan!B:B,"827-054000-100",Plan!m:m)</f>
        <v>0</v>
      </c>
      <c r="N98">
        <f>sumif(Plan!B:B,"827-054000-100",Plan!n:n)</f>
        <v>0</v>
      </c>
      <c r="O98">
        <f>sumif(Plan!B:B,"827-054000-100",Plan!o:o)</f>
        <v>0</v>
      </c>
      <c r="P98">
        <f>sumif(Plan!B:B,"827-054000-100",Plan!p:p)</f>
        <v>0</v>
      </c>
      <c r="Q98">
        <f>sumif(Plan!B:B,"827-054000-100",Plan!q:q)</f>
        <v>0</v>
      </c>
      <c r="R98">
        <f>sumif(Plan!B:B,"827-054000-100",Plan!r:r)</f>
        <v>0</v>
      </c>
      <c r="S98">
        <f>sumif(Plan!B:B,"827-054000-100",Plan!s:s)</f>
        <v>0</v>
      </c>
      <c r="T98">
        <f>sumif(Plan!B:B,"827-054000-100",Plan!t:t)</f>
        <v>0</v>
      </c>
      <c r="U98">
        <f>sumif(Plan!B:B,"827-054000-100",Plan!u:u)</f>
        <v>0</v>
      </c>
      <c r="V98">
        <f>sumif(Plan!B:B,"827-054000-100",Plan!v:v)</f>
        <v>0</v>
      </c>
      <c r="W98">
        <f>sumif(Plan!B:B,"827-054000-100",Plan!w:w)</f>
        <v>0</v>
      </c>
      <c r="X98">
        <f>sumif(Plan!B:B,"827-054000-100",Plan!x:x)</f>
        <v>0</v>
      </c>
      <c r="Y98">
        <f>sumif(Plan!B:B,"827-054000-100",Plan!y:y)</f>
        <v>0</v>
      </c>
      <c r="Z98">
        <f>sumif(Plan!B:B,"827-054000-100",Plan!z:z)</f>
        <v>0</v>
      </c>
      <c r="AA98">
        <f>sumif(Plan!B:B,"827-054000-100",Plan!aa:aa)</f>
        <v>0</v>
      </c>
      <c r="AB98">
        <f>sumif(Plan!B:B,"827-054000-100",Plan!ab:ab)</f>
        <v>0</v>
      </c>
      <c r="AC98">
        <f>sumif(Plan!B:B,"827-054000-100",Plan!ac:ac)</f>
        <v>0</v>
      </c>
      <c r="AD98">
        <f>sumif(Plan!B:B,"827-054000-100",Plan!ad:ad)</f>
        <v>0</v>
      </c>
      <c r="AE98">
        <f>sumif(Plan!B:B,"827-054000-100",Plan!ae:ae)</f>
        <v>0</v>
      </c>
      <c r="AF98">
        <f>sumif(Plan!B:B,"827-054000-100",Plan!af:af)</f>
        <v>0</v>
      </c>
      <c r="AG98">
        <f>sumif(Plan!B:B,"827-054000-100",Plan!ag:ag)</f>
        <v>0</v>
      </c>
      <c r="AH98">
        <f>sumif(Plan!B:B,"827-054000-100",Plan!ah:ah)</f>
        <v>0</v>
      </c>
      <c r="AI98">
        <f>sumif(Plan!B:B,"827-054000-100",Plan!ai:ai)</f>
        <v>0</v>
      </c>
      <c r="AJ98">
        <f>sumif(Plan!B:B,"827-054000-100",Plan!aj:aj)</f>
        <v>0</v>
      </c>
      <c r="AK98">
        <f>sumif(Plan!B:B,"827-054000-100",Plan!ak:ak)</f>
        <v>0</v>
      </c>
      <c r="AL98">
        <f>sumif(Plan!B:B,"827-054000-100",Plan!al:al)</f>
        <v>0</v>
      </c>
      <c r="AM98">
        <f>sumif(Plan!B:B,"827-054000-100",Plan!am:am)</f>
        <v>0</v>
      </c>
      <c r="AN98">
        <f>sumif(Plan!B:B,"827-054000-100",Plan!an:an)</f>
        <v>0</v>
      </c>
      <c r="AO98">
        <f>sumif(Plan!B:B,"827-054000-100",Plan!ao:ao)</f>
        <v>0</v>
      </c>
    </row>
    <row r="99" spans="1:41">
      <c r="A99" t="s">
        <v>17</v>
      </c>
      <c r="B99" t="s">
        <v>82</v>
      </c>
      <c r="C99" t="s">
        <v>83</v>
      </c>
      <c r="E99">
        <v>1</v>
      </c>
      <c r="F99" t="s">
        <v>13</v>
      </c>
      <c r="H99" t="s">
        <v>16</v>
      </c>
      <c r="J99">
        <f>indirect(address(99,9))+indirect(address(97,10))-indirect(address(98,10))</f>
        <v>0</v>
      </c>
      <c r="K99">
        <f>indirect(address(99,10))+indirect(address(97,11))-indirect(address(98,11))</f>
        <v>0</v>
      </c>
      <c r="L99">
        <f>indirect(address(99,11))+indirect(address(97,12))-indirect(address(98,12))</f>
        <v>0</v>
      </c>
      <c r="M99">
        <f>indirect(address(99,12))+indirect(address(97,13))-indirect(address(98,13))</f>
        <v>0</v>
      </c>
      <c r="N99">
        <f>indirect(address(99,13))+indirect(address(97,14))-indirect(address(98,14))</f>
        <v>0</v>
      </c>
      <c r="O99">
        <f>indirect(address(99,14))+indirect(address(97,15))-indirect(address(98,15))</f>
        <v>0</v>
      </c>
      <c r="P99">
        <f>indirect(address(99,15))+indirect(address(97,16))-indirect(address(98,16))</f>
        <v>0</v>
      </c>
      <c r="Q99">
        <f>indirect(address(99,16))+indirect(address(97,17))-indirect(address(98,17))</f>
        <v>0</v>
      </c>
      <c r="R99">
        <f>indirect(address(99,17))+indirect(address(97,18))-indirect(address(98,18))</f>
        <v>0</v>
      </c>
      <c r="S99">
        <f>indirect(address(99,18))+indirect(address(97,19))-indirect(address(98,19))</f>
        <v>0</v>
      </c>
      <c r="T99">
        <f>indirect(address(99,19))+indirect(address(97,20))-indirect(address(98,20))</f>
        <v>0</v>
      </c>
      <c r="U99">
        <f>indirect(address(99,20))+indirect(address(97,21))-indirect(address(98,21))</f>
        <v>0</v>
      </c>
      <c r="V99">
        <f>indirect(address(99,21))+indirect(address(97,22))-indirect(address(98,22))</f>
        <v>0</v>
      </c>
      <c r="W99">
        <f>indirect(address(99,22))+indirect(address(97,23))-indirect(address(98,23))</f>
        <v>0</v>
      </c>
      <c r="X99">
        <f>indirect(address(99,23))+indirect(address(97,24))-indirect(address(98,24))</f>
        <v>0</v>
      </c>
      <c r="Y99">
        <f>indirect(address(99,24))+indirect(address(97,25))-indirect(address(98,25))</f>
        <v>0</v>
      </c>
      <c r="Z99">
        <f>indirect(address(99,25))+indirect(address(97,26))-indirect(address(98,26))</f>
        <v>0</v>
      </c>
      <c r="AA99">
        <f>indirect(address(99,26))+indirect(address(97,27))-indirect(address(98,27))</f>
        <v>0</v>
      </c>
      <c r="AB99">
        <f>indirect(address(99,27))+indirect(address(97,28))-indirect(address(98,28))</f>
        <v>0</v>
      </c>
      <c r="AC99">
        <f>indirect(address(99,28))+indirect(address(97,29))-indirect(address(98,29))</f>
        <v>0</v>
      </c>
      <c r="AD99">
        <f>indirect(address(99,29))+indirect(address(97,30))-indirect(address(98,30))</f>
        <v>0</v>
      </c>
      <c r="AE99">
        <f>indirect(address(99,30))+indirect(address(97,31))-indirect(address(98,31))</f>
        <v>0</v>
      </c>
      <c r="AF99">
        <f>indirect(address(99,31))+indirect(address(97,32))-indirect(address(98,32))</f>
        <v>0</v>
      </c>
      <c r="AG99">
        <f>indirect(address(99,32))+indirect(address(97,33))-indirect(address(98,33))</f>
        <v>0</v>
      </c>
      <c r="AH99">
        <f>indirect(address(99,33))+indirect(address(97,34))-indirect(address(98,34))</f>
        <v>0</v>
      </c>
      <c r="AI99">
        <f>indirect(address(99,34))+indirect(address(97,35))-indirect(address(98,35))</f>
        <v>0</v>
      </c>
      <c r="AJ99">
        <f>indirect(address(99,35))+indirect(address(97,36))-indirect(address(98,36))</f>
        <v>0</v>
      </c>
      <c r="AK99">
        <f>indirect(address(99,36))+indirect(address(97,37))-indirect(address(98,37))</f>
        <v>0</v>
      </c>
      <c r="AL99">
        <f>indirect(address(99,37))+indirect(address(97,38))-indirect(address(98,38))</f>
        <v>0</v>
      </c>
      <c r="AM99">
        <f>indirect(address(99,38))+indirect(address(97,39))-indirect(address(98,39))</f>
        <v>0</v>
      </c>
      <c r="AN99">
        <f>indirect(address(99,39))+indirect(address(97,40))-indirect(address(98,40))</f>
        <v>0</v>
      </c>
      <c r="AO99">
        <f>indirect(address(99,40))+indirect(address(97,41))-indirect(address(98,41))</f>
        <v>0</v>
      </c>
    </row>
    <row r="100" spans="1:41">
      <c r="I100" t="s">
        <v>14</v>
      </c>
      <c r="AO100">
        <f>sum(j100:an100)</f>
        <v>0</v>
      </c>
    </row>
    <row r="101" spans="1:41">
      <c r="I101" t="s">
        <v>15</v>
      </c>
      <c r="J101">
        <f>sumif(Plan!B:B,"927-005000-100",Plan!j:j)</f>
        <v>0</v>
      </c>
      <c r="K101">
        <f>sumif(Plan!B:B,"927-005000-100",Plan!k:k)</f>
        <v>0</v>
      </c>
      <c r="L101">
        <f>sumif(Plan!B:B,"927-005000-100",Plan!l:l)</f>
        <v>0</v>
      </c>
      <c r="M101">
        <f>sumif(Plan!B:B,"927-005000-100",Plan!m:m)</f>
        <v>0</v>
      </c>
      <c r="N101">
        <f>sumif(Plan!B:B,"927-005000-100",Plan!n:n)</f>
        <v>0</v>
      </c>
      <c r="O101">
        <f>sumif(Plan!B:B,"927-005000-100",Plan!o:o)</f>
        <v>0</v>
      </c>
      <c r="P101">
        <f>sumif(Plan!B:B,"927-005000-100",Plan!p:p)</f>
        <v>0</v>
      </c>
      <c r="Q101">
        <f>sumif(Plan!B:B,"927-005000-100",Plan!q:q)</f>
        <v>0</v>
      </c>
      <c r="R101">
        <f>sumif(Plan!B:B,"927-005000-100",Plan!r:r)</f>
        <v>0</v>
      </c>
      <c r="S101">
        <f>sumif(Plan!B:B,"927-005000-100",Plan!s:s)</f>
        <v>0</v>
      </c>
      <c r="T101">
        <f>sumif(Plan!B:B,"927-005000-100",Plan!t:t)</f>
        <v>0</v>
      </c>
      <c r="U101">
        <f>sumif(Plan!B:B,"927-005000-100",Plan!u:u)</f>
        <v>0</v>
      </c>
      <c r="V101">
        <f>sumif(Plan!B:B,"927-005000-100",Plan!v:v)</f>
        <v>0</v>
      </c>
      <c r="W101">
        <f>sumif(Plan!B:B,"927-005000-100",Plan!w:w)</f>
        <v>0</v>
      </c>
      <c r="X101">
        <f>sumif(Plan!B:B,"927-005000-100",Plan!x:x)</f>
        <v>0</v>
      </c>
      <c r="Y101">
        <f>sumif(Plan!B:B,"927-005000-100",Plan!y:y)</f>
        <v>0</v>
      </c>
      <c r="Z101">
        <f>sumif(Plan!B:B,"927-005000-100",Plan!z:z)</f>
        <v>0</v>
      </c>
      <c r="AA101">
        <f>sumif(Plan!B:B,"927-005000-100",Plan!aa:aa)</f>
        <v>0</v>
      </c>
      <c r="AB101">
        <f>sumif(Plan!B:B,"927-005000-100",Plan!ab:ab)</f>
        <v>0</v>
      </c>
      <c r="AC101">
        <f>sumif(Plan!B:B,"927-005000-100",Plan!ac:ac)</f>
        <v>0</v>
      </c>
      <c r="AD101">
        <f>sumif(Plan!B:B,"927-005000-100",Plan!ad:ad)</f>
        <v>0</v>
      </c>
      <c r="AE101">
        <f>sumif(Plan!B:B,"927-005000-100",Plan!ae:ae)</f>
        <v>0</v>
      </c>
      <c r="AF101">
        <f>sumif(Plan!B:B,"927-005000-100",Plan!af:af)</f>
        <v>0</v>
      </c>
      <c r="AG101">
        <f>sumif(Plan!B:B,"927-005000-100",Plan!ag:ag)</f>
        <v>0</v>
      </c>
      <c r="AH101">
        <f>sumif(Plan!B:B,"927-005000-100",Plan!ah:ah)</f>
        <v>0</v>
      </c>
      <c r="AI101">
        <f>sumif(Plan!B:B,"927-005000-100",Plan!ai:ai)</f>
        <v>0</v>
      </c>
      <c r="AJ101">
        <f>sumif(Plan!B:B,"927-005000-100",Plan!aj:aj)</f>
        <v>0</v>
      </c>
      <c r="AK101">
        <f>sumif(Plan!B:B,"927-005000-100",Plan!ak:ak)</f>
        <v>0</v>
      </c>
      <c r="AL101">
        <f>sumif(Plan!B:B,"927-005000-100",Plan!al:al)</f>
        <v>0</v>
      </c>
      <c r="AM101">
        <f>sumif(Plan!B:B,"927-005000-100",Plan!am:am)</f>
        <v>0</v>
      </c>
      <c r="AN101">
        <f>sumif(Plan!B:B,"927-005000-100",Plan!an:an)</f>
        <v>0</v>
      </c>
      <c r="AO101">
        <f>sumif(Plan!B:B,"927-005000-100",Plan!ao:ao)</f>
        <v>0</v>
      </c>
    </row>
    <row r="102" spans="1:41">
      <c r="A102" t="s">
        <v>17</v>
      </c>
      <c r="B102" t="s">
        <v>84</v>
      </c>
      <c r="C102" t="s">
        <v>85</v>
      </c>
      <c r="E102">
        <v>1</v>
      </c>
      <c r="F102" t="s">
        <v>13</v>
      </c>
      <c r="H102" t="s">
        <v>16</v>
      </c>
      <c r="J102">
        <f>indirect(address(102,9))+indirect(address(100,10))-indirect(address(101,10))</f>
        <v>0</v>
      </c>
      <c r="K102">
        <f>indirect(address(102,10))+indirect(address(100,11))-indirect(address(101,11))</f>
        <v>0</v>
      </c>
      <c r="L102">
        <f>indirect(address(102,11))+indirect(address(100,12))-indirect(address(101,12))</f>
        <v>0</v>
      </c>
      <c r="M102">
        <f>indirect(address(102,12))+indirect(address(100,13))-indirect(address(101,13))</f>
        <v>0</v>
      </c>
      <c r="N102">
        <f>indirect(address(102,13))+indirect(address(100,14))-indirect(address(101,14))</f>
        <v>0</v>
      </c>
      <c r="O102">
        <f>indirect(address(102,14))+indirect(address(100,15))-indirect(address(101,15))</f>
        <v>0</v>
      </c>
      <c r="P102">
        <f>indirect(address(102,15))+indirect(address(100,16))-indirect(address(101,16))</f>
        <v>0</v>
      </c>
      <c r="Q102">
        <f>indirect(address(102,16))+indirect(address(100,17))-indirect(address(101,17))</f>
        <v>0</v>
      </c>
      <c r="R102">
        <f>indirect(address(102,17))+indirect(address(100,18))-indirect(address(101,18))</f>
        <v>0</v>
      </c>
      <c r="S102">
        <f>indirect(address(102,18))+indirect(address(100,19))-indirect(address(101,19))</f>
        <v>0</v>
      </c>
      <c r="T102">
        <f>indirect(address(102,19))+indirect(address(100,20))-indirect(address(101,20))</f>
        <v>0</v>
      </c>
      <c r="U102">
        <f>indirect(address(102,20))+indirect(address(100,21))-indirect(address(101,21))</f>
        <v>0</v>
      </c>
      <c r="V102">
        <f>indirect(address(102,21))+indirect(address(100,22))-indirect(address(101,22))</f>
        <v>0</v>
      </c>
      <c r="W102">
        <f>indirect(address(102,22))+indirect(address(100,23))-indirect(address(101,23))</f>
        <v>0</v>
      </c>
      <c r="X102">
        <f>indirect(address(102,23))+indirect(address(100,24))-indirect(address(101,24))</f>
        <v>0</v>
      </c>
      <c r="Y102">
        <f>indirect(address(102,24))+indirect(address(100,25))-indirect(address(101,25))</f>
        <v>0</v>
      </c>
      <c r="Z102">
        <f>indirect(address(102,25))+indirect(address(100,26))-indirect(address(101,26))</f>
        <v>0</v>
      </c>
      <c r="AA102">
        <f>indirect(address(102,26))+indirect(address(100,27))-indirect(address(101,27))</f>
        <v>0</v>
      </c>
      <c r="AB102">
        <f>indirect(address(102,27))+indirect(address(100,28))-indirect(address(101,28))</f>
        <v>0</v>
      </c>
      <c r="AC102">
        <f>indirect(address(102,28))+indirect(address(100,29))-indirect(address(101,29))</f>
        <v>0</v>
      </c>
      <c r="AD102">
        <f>indirect(address(102,29))+indirect(address(100,30))-indirect(address(101,30))</f>
        <v>0</v>
      </c>
      <c r="AE102">
        <f>indirect(address(102,30))+indirect(address(100,31))-indirect(address(101,31))</f>
        <v>0</v>
      </c>
      <c r="AF102">
        <f>indirect(address(102,31))+indirect(address(100,32))-indirect(address(101,32))</f>
        <v>0</v>
      </c>
      <c r="AG102">
        <f>indirect(address(102,32))+indirect(address(100,33))-indirect(address(101,33))</f>
        <v>0</v>
      </c>
      <c r="AH102">
        <f>indirect(address(102,33))+indirect(address(100,34))-indirect(address(101,34))</f>
        <v>0</v>
      </c>
      <c r="AI102">
        <f>indirect(address(102,34))+indirect(address(100,35))-indirect(address(101,35))</f>
        <v>0</v>
      </c>
      <c r="AJ102">
        <f>indirect(address(102,35))+indirect(address(100,36))-indirect(address(101,36))</f>
        <v>0</v>
      </c>
      <c r="AK102">
        <f>indirect(address(102,36))+indirect(address(100,37))-indirect(address(101,37))</f>
        <v>0</v>
      </c>
      <c r="AL102">
        <f>indirect(address(102,37))+indirect(address(100,38))-indirect(address(101,38))</f>
        <v>0</v>
      </c>
      <c r="AM102">
        <f>indirect(address(102,38))+indirect(address(100,39))-indirect(address(101,39))</f>
        <v>0</v>
      </c>
      <c r="AN102">
        <f>indirect(address(102,39))+indirect(address(100,40))-indirect(address(101,40))</f>
        <v>0</v>
      </c>
      <c r="AO102">
        <f>indirect(address(102,40))+indirect(address(100,41))-indirect(address(101,41))</f>
        <v>0</v>
      </c>
    </row>
    <row r="103" spans="1:41">
      <c r="I103" t="s">
        <v>14</v>
      </c>
      <c r="AO103">
        <f>sum(j103:an103)</f>
        <v>0</v>
      </c>
    </row>
    <row r="104" spans="1:41">
      <c r="I104" t="s">
        <v>15</v>
      </c>
      <c r="J104">
        <f>sumif(Plan!B:B,"242-001300-000",Plan!j:j)</f>
        <v>0</v>
      </c>
      <c r="K104">
        <f>sumif(Plan!B:B,"242-001300-000",Plan!k:k)</f>
        <v>0</v>
      </c>
      <c r="L104">
        <f>sumif(Plan!B:B,"242-001300-000",Plan!l:l)</f>
        <v>0</v>
      </c>
      <c r="M104">
        <f>sumif(Plan!B:B,"242-001300-000",Plan!m:m)</f>
        <v>0</v>
      </c>
      <c r="N104">
        <f>sumif(Plan!B:B,"242-001300-000",Plan!n:n)</f>
        <v>0</v>
      </c>
      <c r="O104">
        <f>sumif(Plan!B:B,"242-001300-000",Plan!o:o)</f>
        <v>0</v>
      </c>
      <c r="P104">
        <f>sumif(Plan!B:B,"242-001300-000",Plan!p:p)</f>
        <v>0</v>
      </c>
      <c r="Q104">
        <f>sumif(Plan!B:B,"242-001300-000",Plan!q:q)</f>
        <v>0</v>
      </c>
      <c r="R104">
        <f>sumif(Plan!B:B,"242-001300-000",Plan!r:r)</f>
        <v>0</v>
      </c>
      <c r="S104">
        <f>sumif(Plan!B:B,"242-001300-000",Plan!s:s)</f>
        <v>0</v>
      </c>
      <c r="T104">
        <f>sumif(Plan!B:B,"242-001300-000",Plan!t:t)</f>
        <v>0</v>
      </c>
      <c r="U104">
        <f>sumif(Plan!B:B,"242-001300-000",Plan!u:u)</f>
        <v>0</v>
      </c>
      <c r="V104">
        <f>sumif(Plan!B:B,"242-001300-000",Plan!v:v)</f>
        <v>0</v>
      </c>
      <c r="W104">
        <f>sumif(Plan!B:B,"242-001300-000",Plan!w:w)</f>
        <v>0</v>
      </c>
      <c r="X104">
        <f>sumif(Plan!B:B,"242-001300-000",Plan!x:x)</f>
        <v>0</v>
      </c>
      <c r="Y104">
        <f>sumif(Plan!B:B,"242-001300-000",Plan!y:y)</f>
        <v>0</v>
      </c>
      <c r="Z104">
        <f>sumif(Plan!B:B,"242-001300-000",Plan!z:z)</f>
        <v>0</v>
      </c>
      <c r="AA104">
        <f>sumif(Plan!B:B,"242-001300-000",Plan!aa:aa)</f>
        <v>0</v>
      </c>
      <c r="AB104">
        <f>sumif(Plan!B:B,"242-001300-000",Plan!ab:ab)</f>
        <v>0</v>
      </c>
      <c r="AC104">
        <f>sumif(Plan!B:B,"242-001300-000",Plan!ac:ac)</f>
        <v>0</v>
      </c>
      <c r="AD104">
        <f>sumif(Plan!B:B,"242-001300-000",Plan!ad:ad)</f>
        <v>0</v>
      </c>
      <c r="AE104">
        <f>sumif(Plan!B:B,"242-001300-000",Plan!ae:ae)</f>
        <v>0</v>
      </c>
      <c r="AF104">
        <f>sumif(Plan!B:B,"242-001300-000",Plan!af:af)</f>
        <v>0</v>
      </c>
      <c r="AG104">
        <f>sumif(Plan!B:B,"242-001300-000",Plan!ag:ag)</f>
        <v>0</v>
      </c>
      <c r="AH104">
        <f>sumif(Plan!B:B,"242-001300-000",Plan!ah:ah)</f>
        <v>0</v>
      </c>
      <c r="AI104">
        <f>sumif(Plan!B:B,"242-001300-000",Plan!ai:ai)</f>
        <v>0</v>
      </c>
      <c r="AJ104">
        <f>sumif(Plan!B:B,"242-001300-000",Plan!aj:aj)</f>
        <v>0</v>
      </c>
      <c r="AK104">
        <f>sumif(Plan!B:B,"242-001300-000",Plan!ak:ak)</f>
        <v>0</v>
      </c>
      <c r="AL104">
        <f>sumif(Plan!B:B,"242-001300-000",Plan!al:al)</f>
        <v>0</v>
      </c>
      <c r="AM104">
        <f>sumif(Plan!B:B,"242-001300-000",Plan!am:am)</f>
        <v>0</v>
      </c>
      <c r="AN104">
        <f>sumif(Plan!B:B,"242-001300-000",Plan!an:an)</f>
        <v>0</v>
      </c>
      <c r="AO104">
        <f>sumif(Plan!B:B,"242-001300-000",Plan!ao:ao)</f>
        <v>0</v>
      </c>
    </row>
    <row r="105" spans="1:41">
      <c r="A105" t="s">
        <v>78</v>
      </c>
      <c r="B105" t="s">
        <v>49</v>
      </c>
      <c r="C105" t="s">
        <v>86</v>
      </c>
      <c r="E105">
        <v>0.17</v>
      </c>
      <c r="F105" t="s">
        <v>13</v>
      </c>
      <c r="H105" t="s">
        <v>16</v>
      </c>
      <c r="J105">
        <f>indirect(address(105,9))+indirect(address(103,10))-indirect(address(104,10))</f>
        <v>0</v>
      </c>
      <c r="K105">
        <f>indirect(address(105,10))+indirect(address(103,11))-indirect(address(104,11))</f>
        <v>0</v>
      </c>
      <c r="L105">
        <f>indirect(address(105,11))+indirect(address(103,12))-indirect(address(104,12))</f>
        <v>0</v>
      </c>
      <c r="M105">
        <f>indirect(address(105,12))+indirect(address(103,13))-indirect(address(104,13))</f>
        <v>0</v>
      </c>
      <c r="N105">
        <f>indirect(address(105,13))+indirect(address(103,14))-indirect(address(104,14))</f>
        <v>0</v>
      </c>
      <c r="O105">
        <f>indirect(address(105,14))+indirect(address(103,15))-indirect(address(104,15))</f>
        <v>0</v>
      </c>
      <c r="P105">
        <f>indirect(address(105,15))+indirect(address(103,16))-indirect(address(104,16))</f>
        <v>0</v>
      </c>
      <c r="Q105">
        <f>indirect(address(105,16))+indirect(address(103,17))-indirect(address(104,17))</f>
        <v>0</v>
      </c>
      <c r="R105">
        <f>indirect(address(105,17))+indirect(address(103,18))-indirect(address(104,18))</f>
        <v>0</v>
      </c>
      <c r="S105">
        <f>indirect(address(105,18))+indirect(address(103,19))-indirect(address(104,19))</f>
        <v>0</v>
      </c>
      <c r="T105">
        <f>indirect(address(105,19))+indirect(address(103,20))-indirect(address(104,20))</f>
        <v>0</v>
      </c>
      <c r="U105">
        <f>indirect(address(105,20))+indirect(address(103,21))-indirect(address(104,21))</f>
        <v>0</v>
      </c>
      <c r="V105">
        <f>indirect(address(105,21))+indirect(address(103,22))-indirect(address(104,22))</f>
        <v>0</v>
      </c>
      <c r="W105">
        <f>indirect(address(105,22))+indirect(address(103,23))-indirect(address(104,23))</f>
        <v>0</v>
      </c>
      <c r="X105">
        <f>indirect(address(105,23))+indirect(address(103,24))-indirect(address(104,24))</f>
        <v>0</v>
      </c>
      <c r="Y105">
        <f>indirect(address(105,24))+indirect(address(103,25))-indirect(address(104,25))</f>
        <v>0</v>
      </c>
      <c r="Z105">
        <f>indirect(address(105,25))+indirect(address(103,26))-indirect(address(104,26))</f>
        <v>0</v>
      </c>
      <c r="AA105">
        <f>indirect(address(105,26))+indirect(address(103,27))-indirect(address(104,27))</f>
        <v>0</v>
      </c>
      <c r="AB105">
        <f>indirect(address(105,27))+indirect(address(103,28))-indirect(address(104,28))</f>
        <v>0</v>
      </c>
      <c r="AC105">
        <f>indirect(address(105,28))+indirect(address(103,29))-indirect(address(104,29))</f>
        <v>0</v>
      </c>
      <c r="AD105">
        <f>indirect(address(105,29))+indirect(address(103,30))-indirect(address(104,30))</f>
        <v>0</v>
      </c>
      <c r="AE105">
        <f>indirect(address(105,30))+indirect(address(103,31))-indirect(address(104,31))</f>
        <v>0</v>
      </c>
      <c r="AF105">
        <f>indirect(address(105,31))+indirect(address(103,32))-indirect(address(104,32))</f>
        <v>0</v>
      </c>
      <c r="AG105">
        <f>indirect(address(105,32))+indirect(address(103,33))-indirect(address(104,33))</f>
        <v>0</v>
      </c>
      <c r="AH105">
        <f>indirect(address(105,33))+indirect(address(103,34))-indirect(address(104,34))</f>
        <v>0</v>
      </c>
      <c r="AI105">
        <f>indirect(address(105,34))+indirect(address(103,35))-indirect(address(104,35))</f>
        <v>0</v>
      </c>
      <c r="AJ105">
        <f>indirect(address(105,35))+indirect(address(103,36))-indirect(address(104,36))</f>
        <v>0</v>
      </c>
      <c r="AK105">
        <f>indirect(address(105,36))+indirect(address(103,37))-indirect(address(104,37))</f>
        <v>0</v>
      </c>
      <c r="AL105">
        <f>indirect(address(105,37))+indirect(address(103,38))-indirect(address(104,38))</f>
        <v>0</v>
      </c>
      <c r="AM105">
        <f>indirect(address(105,38))+indirect(address(103,39))-indirect(address(104,39))</f>
        <v>0</v>
      </c>
      <c r="AN105">
        <f>indirect(address(105,39))+indirect(address(103,40))-indirect(address(104,40))</f>
        <v>0</v>
      </c>
      <c r="AO105">
        <f>indirect(address(105,40))+indirect(address(103,41))-indirect(address(104,41))</f>
        <v>0</v>
      </c>
    </row>
    <row r="106" spans="1:41">
      <c r="I106" t="s">
        <v>14</v>
      </c>
      <c r="AO106">
        <f>sum(j106:an106)</f>
        <v>0</v>
      </c>
    </row>
    <row r="107" spans="1:41">
      <c r="I107" t="s">
        <v>15</v>
      </c>
      <c r="J107">
        <f>sumif(Plan!B:B,"204-01500",Plan!j:j)</f>
        <v>0</v>
      </c>
      <c r="K107">
        <f>sumif(Plan!B:B,"204-01500",Plan!k:k)</f>
        <v>0</v>
      </c>
      <c r="L107">
        <f>sumif(Plan!B:B,"204-01500",Plan!l:l)</f>
        <v>0</v>
      </c>
      <c r="M107">
        <f>sumif(Plan!B:B,"204-01500",Plan!m:m)</f>
        <v>0</v>
      </c>
      <c r="N107">
        <f>sumif(Plan!B:B,"204-01500",Plan!n:n)</f>
        <v>0</v>
      </c>
      <c r="O107">
        <f>sumif(Plan!B:B,"204-01500",Plan!o:o)</f>
        <v>0</v>
      </c>
      <c r="P107">
        <f>sumif(Plan!B:B,"204-01500",Plan!p:p)</f>
        <v>0</v>
      </c>
      <c r="Q107">
        <f>sumif(Plan!B:B,"204-01500",Plan!q:q)</f>
        <v>0</v>
      </c>
      <c r="R107">
        <f>sumif(Plan!B:B,"204-01500",Plan!r:r)</f>
        <v>0</v>
      </c>
      <c r="S107">
        <f>sumif(Plan!B:B,"204-01500",Plan!s:s)</f>
        <v>0</v>
      </c>
      <c r="T107">
        <f>sumif(Plan!B:B,"204-01500",Plan!t:t)</f>
        <v>0</v>
      </c>
      <c r="U107">
        <f>sumif(Plan!B:B,"204-01500",Plan!u:u)</f>
        <v>0</v>
      </c>
      <c r="V107">
        <f>sumif(Plan!B:B,"204-01500",Plan!v:v)</f>
        <v>0</v>
      </c>
      <c r="W107">
        <f>sumif(Plan!B:B,"204-01500",Plan!w:w)</f>
        <v>0</v>
      </c>
      <c r="X107">
        <f>sumif(Plan!B:B,"204-01500",Plan!x:x)</f>
        <v>0</v>
      </c>
      <c r="Y107">
        <f>sumif(Plan!B:B,"204-01500",Plan!y:y)</f>
        <v>0</v>
      </c>
      <c r="Z107">
        <f>sumif(Plan!B:B,"204-01500",Plan!z:z)</f>
        <v>0</v>
      </c>
      <c r="AA107">
        <f>sumif(Plan!B:B,"204-01500",Plan!aa:aa)</f>
        <v>0</v>
      </c>
      <c r="AB107">
        <f>sumif(Plan!B:B,"204-01500",Plan!ab:ab)</f>
        <v>0</v>
      </c>
      <c r="AC107">
        <f>sumif(Plan!B:B,"204-01500",Plan!ac:ac)</f>
        <v>0</v>
      </c>
      <c r="AD107">
        <f>sumif(Plan!B:B,"204-01500",Plan!ad:ad)</f>
        <v>0</v>
      </c>
      <c r="AE107">
        <f>sumif(Plan!B:B,"204-01500",Plan!ae:ae)</f>
        <v>0</v>
      </c>
      <c r="AF107">
        <f>sumif(Plan!B:B,"204-01500",Plan!af:af)</f>
        <v>0</v>
      </c>
      <c r="AG107">
        <f>sumif(Plan!B:B,"204-01500",Plan!ag:ag)</f>
        <v>0</v>
      </c>
      <c r="AH107">
        <f>sumif(Plan!B:B,"204-01500",Plan!ah:ah)</f>
        <v>0</v>
      </c>
      <c r="AI107">
        <f>sumif(Plan!B:B,"204-01500",Plan!ai:ai)</f>
        <v>0</v>
      </c>
      <c r="AJ107">
        <f>sumif(Plan!B:B,"204-01500",Plan!aj:aj)</f>
        <v>0</v>
      </c>
      <c r="AK107">
        <f>sumif(Plan!B:B,"204-01500",Plan!ak:ak)</f>
        <v>0</v>
      </c>
      <c r="AL107">
        <f>sumif(Plan!B:B,"204-01500",Plan!al:al)</f>
        <v>0</v>
      </c>
      <c r="AM107">
        <f>sumif(Plan!B:B,"204-01500",Plan!am:am)</f>
        <v>0</v>
      </c>
      <c r="AN107">
        <f>sumif(Plan!B:B,"204-01500",Plan!an:an)</f>
        <v>0</v>
      </c>
      <c r="AO107">
        <f>sumif(Plan!B:B,"204-01500",Plan!ao:ao)</f>
        <v>0</v>
      </c>
    </row>
    <row r="108" spans="1:41">
      <c r="A108" t="s">
        <v>43</v>
      </c>
      <c r="B108" t="s">
        <v>87</v>
      </c>
      <c r="C108" t="s">
        <v>88</v>
      </c>
      <c r="E108">
        <v>0.17</v>
      </c>
      <c r="F108" t="s">
        <v>13</v>
      </c>
      <c r="H108" t="s">
        <v>16</v>
      </c>
      <c r="J108">
        <f>indirect(address(108,9))+indirect(address(106,10))-indirect(address(107,10))</f>
        <v>0</v>
      </c>
      <c r="K108">
        <f>indirect(address(108,10))+indirect(address(106,11))-indirect(address(107,11))</f>
        <v>0</v>
      </c>
      <c r="L108">
        <f>indirect(address(108,11))+indirect(address(106,12))-indirect(address(107,12))</f>
        <v>0</v>
      </c>
      <c r="M108">
        <f>indirect(address(108,12))+indirect(address(106,13))-indirect(address(107,13))</f>
        <v>0</v>
      </c>
      <c r="N108">
        <f>indirect(address(108,13))+indirect(address(106,14))-indirect(address(107,14))</f>
        <v>0</v>
      </c>
      <c r="O108">
        <f>indirect(address(108,14))+indirect(address(106,15))-indirect(address(107,15))</f>
        <v>0</v>
      </c>
      <c r="P108">
        <f>indirect(address(108,15))+indirect(address(106,16))-indirect(address(107,16))</f>
        <v>0</v>
      </c>
      <c r="Q108">
        <f>indirect(address(108,16))+indirect(address(106,17))-indirect(address(107,17))</f>
        <v>0</v>
      </c>
      <c r="R108">
        <f>indirect(address(108,17))+indirect(address(106,18))-indirect(address(107,18))</f>
        <v>0</v>
      </c>
      <c r="S108">
        <f>indirect(address(108,18))+indirect(address(106,19))-indirect(address(107,19))</f>
        <v>0</v>
      </c>
      <c r="T108">
        <f>indirect(address(108,19))+indirect(address(106,20))-indirect(address(107,20))</f>
        <v>0</v>
      </c>
      <c r="U108">
        <f>indirect(address(108,20))+indirect(address(106,21))-indirect(address(107,21))</f>
        <v>0</v>
      </c>
      <c r="V108">
        <f>indirect(address(108,21))+indirect(address(106,22))-indirect(address(107,22))</f>
        <v>0</v>
      </c>
      <c r="W108">
        <f>indirect(address(108,22))+indirect(address(106,23))-indirect(address(107,23))</f>
        <v>0</v>
      </c>
      <c r="X108">
        <f>indirect(address(108,23))+indirect(address(106,24))-indirect(address(107,24))</f>
        <v>0</v>
      </c>
      <c r="Y108">
        <f>indirect(address(108,24))+indirect(address(106,25))-indirect(address(107,25))</f>
        <v>0</v>
      </c>
      <c r="Z108">
        <f>indirect(address(108,25))+indirect(address(106,26))-indirect(address(107,26))</f>
        <v>0</v>
      </c>
      <c r="AA108">
        <f>indirect(address(108,26))+indirect(address(106,27))-indirect(address(107,27))</f>
        <v>0</v>
      </c>
      <c r="AB108">
        <f>indirect(address(108,27))+indirect(address(106,28))-indirect(address(107,28))</f>
        <v>0</v>
      </c>
      <c r="AC108">
        <f>indirect(address(108,28))+indirect(address(106,29))-indirect(address(107,29))</f>
        <v>0</v>
      </c>
      <c r="AD108">
        <f>indirect(address(108,29))+indirect(address(106,30))-indirect(address(107,30))</f>
        <v>0</v>
      </c>
      <c r="AE108">
        <f>indirect(address(108,30))+indirect(address(106,31))-indirect(address(107,31))</f>
        <v>0</v>
      </c>
      <c r="AF108">
        <f>indirect(address(108,31))+indirect(address(106,32))-indirect(address(107,32))</f>
        <v>0</v>
      </c>
      <c r="AG108">
        <f>indirect(address(108,32))+indirect(address(106,33))-indirect(address(107,33))</f>
        <v>0</v>
      </c>
      <c r="AH108">
        <f>indirect(address(108,33))+indirect(address(106,34))-indirect(address(107,34))</f>
        <v>0</v>
      </c>
      <c r="AI108">
        <f>indirect(address(108,34))+indirect(address(106,35))-indirect(address(107,35))</f>
        <v>0</v>
      </c>
      <c r="AJ108">
        <f>indirect(address(108,35))+indirect(address(106,36))-indirect(address(107,36))</f>
        <v>0</v>
      </c>
      <c r="AK108">
        <f>indirect(address(108,36))+indirect(address(106,37))-indirect(address(107,37))</f>
        <v>0</v>
      </c>
      <c r="AL108">
        <f>indirect(address(108,37))+indirect(address(106,38))-indirect(address(107,38))</f>
        <v>0</v>
      </c>
      <c r="AM108">
        <f>indirect(address(108,38))+indirect(address(106,39))-indirect(address(107,39))</f>
        <v>0</v>
      </c>
      <c r="AN108">
        <f>indirect(address(108,39))+indirect(address(106,40))-indirect(address(107,40))</f>
        <v>0</v>
      </c>
      <c r="AO108">
        <f>indirect(address(108,40))+indirect(address(106,41))-indirect(address(107,41))</f>
        <v>0</v>
      </c>
    </row>
    <row r="109" spans="1:41">
      <c r="I109" t="s">
        <v>14</v>
      </c>
      <c r="AO109">
        <f>sum(j109:an109)</f>
        <v>0</v>
      </c>
    </row>
    <row r="110" spans="1:41">
      <c r="I110" t="s">
        <v>15</v>
      </c>
      <c r="J110">
        <f>sumif(Plan!B:B,"827-007000-200",Plan!j:j)</f>
        <v>0</v>
      </c>
      <c r="K110">
        <f>sumif(Plan!B:B,"827-007000-200",Plan!k:k)</f>
        <v>0</v>
      </c>
      <c r="L110">
        <f>sumif(Plan!B:B,"827-007000-200",Plan!l:l)</f>
        <v>0</v>
      </c>
      <c r="M110">
        <f>sumif(Plan!B:B,"827-007000-200",Plan!m:m)</f>
        <v>0</v>
      </c>
      <c r="N110">
        <f>sumif(Plan!B:B,"827-007000-200",Plan!n:n)</f>
        <v>0</v>
      </c>
      <c r="O110">
        <f>sumif(Plan!B:B,"827-007000-200",Plan!o:o)</f>
        <v>0</v>
      </c>
      <c r="P110">
        <f>sumif(Plan!B:B,"827-007000-200",Plan!p:p)</f>
        <v>0</v>
      </c>
      <c r="Q110">
        <f>sumif(Plan!B:B,"827-007000-200",Plan!q:q)</f>
        <v>0</v>
      </c>
      <c r="R110">
        <f>sumif(Plan!B:B,"827-007000-200",Plan!r:r)</f>
        <v>0</v>
      </c>
      <c r="S110">
        <f>sumif(Plan!B:B,"827-007000-200",Plan!s:s)</f>
        <v>0</v>
      </c>
      <c r="T110">
        <f>sumif(Plan!B:B,"827-007000-200",Plan!t:t)</f>
        <v>0</v>
      </c>
      <c r="U110">
        <f>sumif(Plan!B:B,"827-007000-200",Plan!u:u)</f>
        <v>0</v>
      </c>
      <c r="V110">
        <f>sumif(Plan!B:B,"827-007000-200",Plan!v:v)</f>
        <v>0</v>
      </c>
      <c r="W110">
        <f>sumif(Plan!B:B,"827-007000-200",Plan!w:w)</f>
        <v>0</v>
      </c>
      <c r="X110">
        <f>sumif(Plan!B:B,"827-007000-200",Plan!x:x)</f>
        <v>0</v>
      </c>
      <c r="Y110">
        <f>sumif(Plan!B:B,"827-007000-200",Plan!y:y)</f>
        <v>0</v>
      </c>
      <c r="Z110">
        <f>sumif(Plan!B:B,"827-007000-200",Plan!z:z)</f>
        <v>0</v>
      </c>
      <c r="AA110">
        <f>sumif(Plan!B:B,"827-007000-200",Plan!aa:aa)</f>
        <v>0</v>
      </c>
      <c r="AB110">
        <f>sumif(Plan!B:B,"827-007000-200",Plan!ab:ab)</f>
        <v>0</v>
      </c>
      <c r="AC110">
        <f>sumif(Plan!B:B,"827-007000-200",Plan!ac:ac)</f>
        <v>0</v>
      </c>
      <c r="AD110">
        <f>sumif(Plan!B:B,"827-007000-200",Plan!ad:ad)</f>
        <v>0</v>
      </c>
      <c r="AE110">
        <f>sumif(Plan!B:B,"827-007000-200",Plan!ae:ae)</f>
        <v>0</v>
      </c>
      <c r="AF110">
        <f>sumif(Plan!B:B,"827-007000-200",Plan!af:af)</f>
        <v>0</v>
      </c>
      <c r="AG110">
        <f>sumif(Plan!B:B,"827-007000-200",Plan!ag:ag)</f>
        <v>0</v>
      </c>
      <c r="AH110">
        <f>sumif(Plan!B:B,"827-007000-200",Plan!ah:ah)</f>
        <v>0</v>
      </c>
      <c r="AI110">
        <f>sumif(Plan!B:B,"827-007000-200",Plan!ai:ai)</f>
        <v>0</v>
      </c>
      <c r="AJ110">
        <f>sumif(Plan!B:B,"827-007000-200",Plan!aj:aj)</f>
        <v>0</v>
      </c>
      <c r="AK110">
        <f>sumif(Plan!B:B,"827-007000-200",Plan!ak:ak)</f>
        <v>0</v>
      </c>
      <c r="AL110">
        <f>sumif(Plan!B:B,"827-007000-200",Plan!al:al)</f>
        <v>0</v>
      </c>
      <c r="AM110">
        <f>sumif(Plan!B:B,"827-007000-200",Plan!am:am)</f>
        <v>0</v>
      </c>
      <c r="AN110">
        <f>sumif(Plan!B:B,"827-007000-200",Plan!an:an)</f>
        <v>0</v>
      </c>
      <c r="AO110">
        <f>sumif(Plan!B:B,"827-007000-200",Plan!ao:ao)</f>
        <v>0</v>
      </c>
    </row>
    <row r="111" spans="1:41">
      <c r="A111" t="s">
        <v>17</v>
      </c>
      <c r="B111" t="s">
        <v>91</v>
      </c>
      <c r="C111" t="s">
        <v>92</v>
      </c>
      <c r="E111">
        <v>1</v>
      </c>
      <c r="F111" t="s">
        <v>13</v>
      </c>
      <c r="H111" t="s">
        <v>16</v>
      </c>
      <c r="J111">
        <f>indirect(address(111,9))+indirect(address(109,10))-indirect(address(110,10))</f>
        <v>0</v>
      </c>
      <c r="K111">
        <f>indirect(address(111,10))+indirect(address(109,11))-indirect(address(110,11))</f>
        <v>0</v>
      </c>
      <c r="L111">
        <f>indirect(address(111,11))+indirect(address(109,12))-indirect(address(110,12))</f>
        <v>0</v>
      </c>
      <c r="M111">
        <f>indirect(address(111,12))+indirect(address(109,13))-indirect(address(110,13))</f>
        <v>0</v>
      </c>
      <c r="N111">
        <f>indirect(address(111,13))+indirect(address(109,14))-indirect(address(110,14))</f>
        <v>0</v>
      </c>
      <c r="O111">
        <f>indirect(address(111,14))+indirect(address(109,15))-indirect(address(110,15))</f>
        <v>0</v>
      </c>
      <c r="P111">
        <f>indirect(address(111,15))+indirect(address(109,16))-indirect(address(110,16))</f>
        <v>0</v>
      </c>
      <c r="Q111">
        <f>indirect(address(111,16))+indirect(address(109,17))-indirect(address(110,17))</f>
        <v>0</v>
      </c>
      <c r="R111">
        <f>indirect(address(111,17))+indirect(address(109,18))-indirect(address(110,18))</f>
        <v>0</v>
      </c>
      <c r="S111">
        <f>indirect(address(111,18))+indirect(address(109,19))-indirect(address(110,19))</f>
        <v>0</v>
      </c>
      <c r="T111">
        <f>indirect(address(111,19))+indirect(address(109,20))-indirect(address(110,20))</f>
        <v>0</v>
      </c>
      <c r="U111">
        <f>indirect(address(111,20))+indirect(address(109,21))-indirect(address(110,21))</f>
        <v>0</v>
      </c>
      <c r="V111">
        <f>indirect(address(111,21))+indirect(address(109,22))-indirect(address(110,22))</f>
        <v>0</v>
      </c>
      <c r="W111">
        <f>indirect(address(111,22))+indirect(address(109,23))-indirect(address(110,23))</f>
        <v>0</v>
      </c>
      <c r="X111">
        <f>indirect(address(111,23))+indirect(address(109,24))-indirect(address(110,24))</f>
        <v>0</v>
      </c>
      <c r="Y111">
        <f>indirect(address(111,24))+indirect(address(109,25))-indirect(address(110,25))</f>
        <v>0</v>
      </c>
      <c r="Z111">
        <f>indirect(address(111,25))+indirect(address(109,26))-indirect(address(110,26))</f>
        <v>0</v>
      </c>
      <c r="AA111">
        <f>indirect(address(111,26))+indirect(address(109,27))-indirect(address(110,27))</f>
        <v>0</v>
      </c>
      <c r="AB111">
        <f>indirect(address(111,27))+indirect(address(109,28))-indirect(address(110,28))</f>
        <v>0</v>
      </c>
      <c r="AC111">
        <f>indirect(address(111,28))+indirect(address(109,29))-indirect(address(110,29))</f>
        <v>0</v>
      </c>
      <c r="AD111">
        <f>indirect(address(111,29))+indirect(address(109,30))-indirect(address(110,30))</f>
        <v>0</v>
      </c>
      <c r="AE111">
        <f>indirect(address(111,30))+indirect(address(109,31))-indirect(address(110,31))</f>
        <v>0</v>
      </c>
      <c r="AF111">
        <f>indirect(address(111,31))+indirect(address(109,32))-indirect(address(110,32))</f>
        <v>0</v>
      </c>
      <c r="AG111">
        <f>indirect(address(111,32))+indirect(address(109,33))-indirect(address(110,33))</f>
        <v>0</v>
      </c>
      <c r="AH111">
        <f>indirect(address(111,33))+indirect(address(109,34))-indirect(address(110,34))</f>
        <v>0</v>
      </c>
      <c r="AI111">
        <f>indirect(address(111,34))+indirect(address(109,35))-indirect(address(110,35))</f>
        <v>0</v>
      </c>
      <c r="AJ111">
        <f>indirect(address(111,35))+indirect(address(109,36))-indirect(address(110,36))</f>
        <v>0</v>
      </c>
      <c r="AK111">
        <f>indirect(address(111,36))+indirect(address(109,37))-indirect(address(110,37))</f>
        <v>0</v>
      </c>
      <c r="AL111">
        <f>indirect(address(111,37))+indirect(address(109,38))-indirect(address(110,38))</f>
        <v>0</v>
      </c>
      <c r="AM111">
        <f>indirect(address(111,38))+indirect(address(109,39))-indirect(address(110,39))</f>
        <v>0</v>
      </c>
      <c r="AN111">
        <f>indirect(address(111,39))+indirect(address(109,40))-indirect(address(110,40))</f>
        <v>0</v>
      </c>
      <c r="AO111">
        <f>indirect(address(111,40))+indirect(address(109,41))-indirect(address(110,41))</f>
        <v>0</v>
      </c>
    </row>
    <row r="112" spans="1:41">
      <c r="I112" t="s">
        <v>14</v>
      </c>
      <c r="AO112">
        <f>sum(j112:an112)</f>
        <v>0</v>
      </c>
    </row>
    <row r="113" spans="1:41">
      <c r="I113" t="s">
        <v>15</v>
      </c>
      <c r="J113">
        <f>sumif(Plan!B:B,"263-000000-010",Plan!j:j)</f>
        <v>0</v>
      </c>
      <c r="K113">
        <f>sumif(Plan!B:B,"263-000000-010",Plan!k:k)</f>
        <v>0</v>
      </c>
      <c r="L113">
        <f>sumif(Plan!B:B,"263-000000-010",Plan!l:l)</f>
        <v>0</v>
      </c>
      <c r="M113">
        <f>sumif(Plan!B:B,"263-000000-010",Plan!m:m)</f>
        <v>0</v>
      </c>
      <c r="N113">
        <f>sumif(Plan!B:B,"263-000000-010",Plan!n:n)</f>
        <v>0</v>
      </c>
      <c r="O113">
        <f>sumif(Plan!B:B,"263-000000-010",Plan!o:o)</f>
        <v>0</v>
      </c>
      <c r="P113">
        <f>sumif(Plan!B:B,"263-000000-010",Plan!p:p)</f>
        <v>0</v>
      </c>
      <c r="Q113">
        <f>sumif(Plan!B:B,"263-000000-010",Plan!q:q)</f>
        <v>0</v>
      </c>
      <c r="R113">
        <f>sumif(Plan!B:B,"263-000000-010",Plan!r:r)</f>
        <v>0</v>
      </c>
      <c r="S113">
        <f>sumif(Plan!B:B,"263-000000-010",Plan!s:s)</f>
        <v>0</v>
      </c>
      <c r="T113">
        <f>sumif(Plan!B:B,"263-000000-010",Plan!t:t)</f>
        <v>0</v>
      </c>
      <c r="U113">
        <f>sumif(Plan!B:B,"263-000000-010",Plan!u:u)</f>
        <v>0</v>
      </c>
      <c r="V113">
        <f>sumif(Plan!B:B,"263-000000-010",Plan!v:v)</f>
        <v>0</v>
      </c>
      <c r="W113">
        <f>sumif(Plan!B:B,"263-000000-010",Plan!w:w)</f>
        <v>0</v>
      </c>
      <c r="X113">
        <f>sumif(Plan!B:B,"263-000000-010",Plan!x:x)</f>
        <v>0</v>
      </c>
      <c r="Y113">
        <f>sumif(Plan!B:B,"263-000000-010",Plan!y:y)</f>
        <v>0</v>
      </c>
      <c r="Z113">
        <f>sumif(Plan!B:B,"263-000000-010",Plan!z:z)</f>
        <v>0</v>
      </c>
      <c r="AA113">
        <f>sumif(Plan!B:B,"263-000000-010",Plan!aa:aa)</f>
        <v>0</v>
      </c>
      <c r="AB113">
        <f>sumif(Plan!B:B,"263-000000-010",Plan!ab:ab)</f>
        <v>0</v>
      </c>
      <c r="AC113">
        <f>sumif(Plan!B:B,"263-000000-010",Plan!ac:ac)</f>
        <v>0</v>
      </c>
      <c r="AD113">
        <f>sumif(Plan!B:B,"263-000000-010",Plan!ad:ad)</f>
        <v>0</v>
      </c>
      <c r="AE113">
        <f>sumif(Plan!B:B,"263-000000-010",Plan!ae:ae)</f>
        <v>0</v>
      </c>
      <c r="AF113">
        <f>sumif(Plan!B:B,"263-000000-010",Plan!af:af)</f>
        <v>0</v>
      </c>
      <c r="AG113">
        <f>sumif(Plan!B:B,"263-000000-010",Plan!ag:ag)</f>
        <v>0</v>
      </c>
      <c r="AH113">
        <f>sumif(Plan!B:B,"263-000000-010",Plan!ah:ah)</f>
        <v>0</v>
      </c>
      <c r="AI113">
        <f>sumif(Plan!B:B,"263-000000-010",Plan!ai:ai)</f>
        <v>0</v>
      </c>
      <c r="AJ113">
        <f>sumif(Plan!B:B,"263-000000-010",Plan!aj:aj)</f>
        <v>0</v>
      </c>
      <c r="AK113">
        <f>sumif(Plan!B:B,"263-000000-010",Plan!ak:ak)</f>
        <v>0</v>
      </c>
      <c r="AL113">
        <f>sumif(Plan!B:B,"263-000000-010",Plan!al:al)</f>
        <v>0</v>
      </c>
      <c r="AM113">
        <f>sumif(Plan!B:B,"263-000000-010",Plan!am:am)</f>
        <v>0</v>
      </c>
      <c r="AN113">
        <f>sumif(Plan!B:B,"263-000000-010",Plan!an:an)</f>
        <v>0</v>
      </c>
      <c r="AO113">
        <f>sumif(Plan!B:B,"263-000000-010",Plan!ao:ao)</f>
        <v>0</v>
      </c>
    </row>
    <row r="114" spans="1:41">
      <c r="A114" t="s">
        <v>22</v>
      </c>
      <c r="B114" t="s">
        <v>93</v>
      </c>
      <c r="C114" t="s">
        <v>94</v>
      </c>
      <c r="E114">
        <v>1</v>
      </c>
      <c r="F114" t="s">
        <v>13</v>
      </c>
      <c r="H114" t="s">
        <v>16</v>
      </c>
      <c r="J114">
        <f>indirect(address(114,9))+indirect(address(112,10))-indirect(address(113,10))</f>
        <v>0</v>
      </c>
      <c r="K114">
        <f>indirect(address(114,10))+indirect(address(112,11))-indirect(address(113,11))</f>
        <v>0</v>
      </c>
      <c r="L114">
        <f>indirect(address(114,11))+indirect(address(112,12))-indirect(address(113,12))</f>
        <v>0</v>
      </c>
      <c r="M114">
        <f>indirect(address(114,12))+indirect(address(112,13))-indirect(address(113,13))</f>
        <v>0</v>
      </c>
      <c r="N114">
        <f>indirect(address(114,13))+indirect(address(112,14))-indirect(address(113,14))</f>
        <v>0</v>
      </c>
      <c r="O114">
        <f>indirect(address(114,14))+indirect(address(112,15))-indirect(address(113,15))</f>
        <v>0</v>
      </c>
      <c r="P114">
        <f>indirect(address(114,15))+indirect(address(112,16))-indirect(address(113,16))</f>
        <v>0</v>
      </c>
      <c r="Q114">
        <f>indirect(address(114,16))+indirect(address(112,17))-indirect(address(113,17))</f>
        <v>0</v>
      </c>
      <c r="R114">
        <f>indirect(address(114,17))+indirect(address(112,18))-indirect(address(113,18))</f>
        <v>0</v>
      </c>
      <c r="S114">
        <f>indirect(address(114,18))+indirect(address(112,19))-indirect(address(113,19))</f>
        <v>0</v>
      </c>
      <c r="T114">
        <f>indirect(address(114,19))+indirect(address(112,20))-indirect(address(113,20))</f>
        <v>0</v>
      </c>
      <c r="U114">
        <f>indirect(address(114,20))+indirect(address(112,21))-indirect(address(113,21))</f>
        <v>0</v>
      </c>
      <c r="V114">
        <f>indirect(address(114,21))+indirect(address(112,22))-indirect(address(113,22))</f>
        <v>0</v>
      </c>
      <c r="W114">
        <f>indirect(address(114,22))+indirect(address(112,23))-indirect(address(113,23))</f>
        <v>0</v>
      </c>
      <c r="X114">
        <f>indirect(address(114,23))+indirect(address(112,24))-indirect(address(113,24))</f>
        <v>0</v>
      </c>
      <c r="Y114">
        <f>indirect(address(114,24))+indirect(address(112,25))-indirect(address(113,25))</f>
        <v>0</v>
      </c>
      <c r="Z114">
        <f>indirect(address(114,25))+indirect(address(112,26))-indirect(address(113,26))</f>
        <v>0</v>
      </c>
      <c r="AA114">
        <f>indirect(address(114,26))+indirect(address(112,27))-indirect(address(113,27))</f>
        <v>0</v>
      </c>
      <c r="AB114">
        <f>indirect(address(114,27))+indirect(address(112,28))-indirect(address(113,28))</f>
        <v>0</v>
      </c>
      <c r="AC114">
        <f>indirect(address(114,28))+indirect(address(112,29))-indirect(address(113,29))</f>
        <v>0</v>
      </c>
      <c r="AD114">
        <f>indirect(address(114,29))+indirect(address(112,30))-indirect(address(113,30))</f>
        <v>0</v>
      </c>
      <c r="AE114">
        <f>indirect(address(114,30))+indirect(address(112,31))-indirect(address(113,31))</f>
        <v>0</v>
      </c>
      <c r="AF114">
        <f>indirect(address(114,31))+indirect(address(112,32))-indirect(address(113,32))</f>
        <v>0</v>
      </c>
      <c r="AG114">
        <f>indirect(address(114,32))+indirect(address(112,33))-indirect(address(113,33))</f>
        <v>0</v>
      </c>
      <c r="AH114">
        <f>indirect(address(114,33))+indirect(address(112,34))-indirect(address(113,34))</f>
        <v>0</v>
      </c>
      <c r="AI114">
        <f>indirect(address(114,34))+indirect(address(112,35))-indirect(address(113,35))</f>
        <v>0</v>
      </c>
      <c r="AJ114">
        <f>indirect(address(114,35))+indirect(address(112,36))-indirect(address(113,36))</f>
        <v>0</v>
      </c>
      <c r="AK114">
        <f>indirect(address(114,36))+indirect(address(112,37))-indirect(address(113,37))</f>
        <v>0</v>
      </c>
      <c r="AL114">
        <f>indirect(address(114,37))+indirect(address(112,38))-indirect(address(113,38))</f>
        <v>0</v>
      </c>
      <c r="AM114">
        <f>indirect(address(114,38))+indirect(address(112,39))-indirect(address(113,39))</f>
        <v>0</v>
      </c>
      <c r="AN114">
        <f>indirect(address(114,39))+indirect(address(112,40))-indirect(address(113,40))</f>
        <v>0</v>
      </c>
      <c r="AO114">
        <f>indirect(address(114,40))+indirect(address(112,41))-indirect(address(113,41))</f>
        <v>0</v>
      </c>
    </row>
    <row r="115" spans="1:41">
      <c r="I115" t="s">
        <v>14</v>
      </c>
      <c r="AO115">
        <f>sum(j115:an115)</f>
        <v>0</v>
      </c>
    </row>
    <row r="116" spans="1:41">
      <c r="I116" t="s">
        <v>15</v>
      </c>
      <c r="J116">
        <f>sumif(Plan!B:B,"262-000000-036",Plan!j:j)</f>
        <v>0</v>
      </c>
      <c r="K116">
        <f>sumif(Plan!B:B,"262-000000-036",Plan!k:k)</f>
        <v>0</v>
      </c>
      <c r="L116">
        <f>sumif(Plan!B:B,"262-000000-036",Plan!l:l)</f>
        <v>0</v>
      </c>
      <c r="M116">
        <f>sumif(Plan!B:B,"262-000000-036",Plan!m:m)</f>
        <v>0</v>
      </c>
      <c r="N116">
        <f>sumif(Plan!B:B,"262-000000-036",Plan!n:n)</f>
        <v>0</v>
      </c>
      <c r="O116">
        <f>sumif(Plan!B:B,"262-000000-036",Plan!o:o)</f>
        <v>0</v>
      </c>
      <c r="P116">
        <f>sumif(Plan!B:B,"262-000000-036",Plan!p:p)</f>
        <v>0</v>
      </c>
      <c r="Q116">
        <f>sumif(Plan!B:B,"262-000000-036",Plan!q:q)</f>
        <v>0</v>
      </c>
      <c r="R116">
        <f>sumif(Plan!B:B,"262-000000-036",Plan!r:r)</f>
        <v>0</v>
      </c>
      <c r="S116">
        <f>sumif(Plan!B:B,"262-000000-036",Plan!s:s)</f>
        <v>0</v>
      </c>
      <c r="T116">
        <f>sumif(Plan!B:B,"262-000000-036",Plan!t:t)</f>
        <v>0</v>
      </c>
      <c r="U116">
        <f>sumif(Plan!B:B,"262-000000-036",Plan!u:u)</f>
        <v>0</v>
      </c>
      <c r="V116">
        <f>sumif(Plan!B:B,"262-000000-036",Plan!v:v)</f>
        <v>0</v>
      </c>
      <c r="W116">
        <f>sumif(Plan!B:B,"262-000000-036",Plan!w:w)</f>
        <v>0</v>
      </c>
      <c r="X116">
        <f>sumif(Plan!B:B,"262-000000-036",Plan!x:x)</f>
        <v>0</v>
      </c>
      <c r="Y116">
        <f>sumif(Plan!B:B,"262-000000-036",Plan!y:y)</f>
        <v>0</v>
      </c>
      <c r="Z116">
        <f>sumif(Plan!B:B,"262-000000-036",Plan!z:z)</f>
        <v>0</v>
      </c>
      <c r="AA116">
        <f>sumif(Plan!B:B,"262-000000-036",Plan!aa:aa)</f>
        <v>0</v>
      </c>
      <c r="AB116">
        <f>sumif(Plan!B:B,"262-000000-036",Plan!ab:ab)</f>
        <v>0</v>
      </c>
      <c r="AC116">
        <f>sumif(Plan!B:B,"262-000000-036",Plan!ac:ac)</f>
        <v>0</v>
      </c>
      <c r="AD116">
        <f>sumif(Plan!B:B,"262-000000-036",Plan!ad:ad)</f>
        <v>0</v>
      </c>
      <c r="AE116">
        <f>sumif(Plan!B:B,"262-000000-036",Plan!ae:ae)</f>
        <v>0</v>
      </c>
      <c r="AF116">
        <f>sumif(Plan!B:B,"262-000000-036",Plan!af:af)</f>
        <v>0</v>
      </c>
      <c r="AG116">
        <f>sumif(Plan!B:B,"262-000000-036",Plan!ag:ag)</f>
        <v>0</v>
      </c>
      <c r="AH116">
        <f>sumif(Plan!B:B,"262-000000-036",Plan!ah:ah)</f>
        <v>0</v>
      </c>
      <c r="AI116">
        <f>sumif(Plan!B:B,"262-000000-036",Plan!ai:ai)</f>
        <v>0</v>
      </c>
      <c r="AJ116">
        <f>sumif(Plan!B:B,"262-000000-036",Plan!aj:aj)</f>
        <v>0</v>
      </c>
      <c r="AK116">
        <f>sumif(Plan!B:B,"262-000000-036",Plan!ak:ak)</f>
        <v>0</v>
      </c>
      <c r="AL116">
        <f>sumif(Plan!B:B,"262-000000-036",Plan!al:al)</f>
        <v>0</v>
      </c>
      <c r="AM116">
        <f>sumif(Plan!B:B,"262-000000-036",Plan!am:am)</f>
        <v>0</v>
      </c>
      <c r="AN116">
        <f>sumif(Plan!B:B,"262-000000-036",Plan!an:an)</f>
        <v>0</v>
      </c>
      <c r="AO116">
        <f>sumif(Plan!B:B,"262-000000-036",Plan!ao:ao)</f>
        <v>0</v>
      </c>
    </row>
    <row r="117" spans="1:41">
      <c r="A117" t="s">
        <v>22</v>
      </c>
      <c r="B117" t="s">
        <v>95</v>
      </c>
      <c r="C117" t="s">
        <v>96</v>
      </c>
      <c r="E117">
        <v>2</v>
      </c>
      <c r="F117" t="s">
        <v>13</v>
      </c>
      <c r="H117" t="s">
        <v>16</v>
      </c>
      <c r="J117">
        <f>indirect(address(117,9))+indirect(address(115,10))-indirect(address(116,10))</f>
        <v>0</v>
      </c>
      <c r="K117">
        <f>indirect(address(117,10))+indirect(address(115,11))-indirect(address(116,11))</f>
        <v>0</v>
      </c>
      <c r="L117">
        <f>indirect(address(117,11))+indirect(address(115,12))-indirect(address(116,12))</f>
        <v>0</v>
      </c>
      <c r="M117">
        <f>indirect(address(117,12))+indirect(address(115,13))-indirect(address(116,13))</f>
        <v>0</v>
      </c>
      <c r="N117">
        <f>indirect(address(117,13))+indirect(address(115,14))-indirect(address(116,14))</f>
        <v>0</v>
      </c>
      <c r="O117">
        <f>indirect(address(117,14))+indirect(address(115,15))-indirect(address(116,15))</f>
        <v>0</v>
      </c>
      <c r="P117">
        <f>indirect(address(117,15))+indirect(address(115,16))-indirect(address(116,16))</f>
        <v>0</v>
      </c>
      <c r="Q117">
        <f>indirect(address(117,16))+indirect(address(115,17))-indirect(address(116,17))</f>
        <v>0</v>
      </c>
      <c r="R117">
        <f>indirect(address(117,17))+indirect(address(115,18))-indirect(address(116,18))</f>
        <v>0</v>
      </c>
      <c r="S117">
        <f>indirect(address(117,18))+indirect(address(115,19))-indirect(address(116,19))</f>
        <v>0</v>
      </c>
      <c r="T117">
        <f>indirect(address(117,19))+indirect(address(115,20))-indirect(address(116,20))</f>
        <v>0</v>
      </c>
      <c r="U117">
        <f>indirect(address(117,20))+indirect(address(115,21))-indirect(address(116,21))</f>
        <v>0</v>
      </c>
      <c r="V117">
        <f>indirect(address(117,21))+indirect(address(115,22))-indirect(address(116,22))</f>
        <v>0</v>
      </c>
      <c r="W117">
        <f>indirect(address(117,22))+indirect(address(115,23))-indirect(address(116,23))</f>
        <v>0</v>
      </c>
      <c r="X117">
        <f>indirect(address(117,23))+indirect(address(115,24))-indirect(address(116,24))</f>
        <v>0</v>
      </c>
      <c r="Y117">
        <f>indirect(address(117,24))+indirect(address(115,25))-indirect(address(116,25))</f>
        <v>0</v>
      </c>
      <c r="Z117">
        <f>indirect(address(117,25))+indirect(address(115,26))-indirect(address(116,26))</f>
        <v>0</v>
      </c>
      <c r="AA117">
        <f>indirect(address(117,26))+indirect(address(115,27))-indirect(address(116,27))</f>
        <v>0</v>
      </c>
      <c r="AB117">
        <f>indirect(address(117,27))+indirect(address(115,28))-indirect(address(116,28))</f>
        <v>0</v>
      </c>
      <c r="AC117">
        <f>indirect(address(117,28))+indirect(address(115,29))-indirect(address(116,29))</f>
        <v>0</v>
      </c>
      <c r="AD117">
        <f>indirect(address(117,29))+indirect(address(115,30))-indirect(address(116,30))</f>
        <v>0</v>
      </c>
      <c r="AE117">
        <f>indirect(address(117,30))+indirect(address(115,31))-indirect(address(116,31))</f>
        <v>0</v>
      </c>
      <c r="AF117">
        <f>indirect(address(117,31))+indirect(address(115,32))-indirect(address(116,32))</f>
        <v>0</v>
      </c>
      <c r="AG117">
        <f>indirect(address(117,32))+indirect(address(115,33))-indirect(address(116,33))</f>
        <v>0</v>
      </c>
      <c r="AH117">
        <f>indirect(address(117,33))+indirect(address(115,34))-indirect(address(116,34))</f>
        <v>0</v>
      </c>
      <c r="AI117">
        <f>indirect(address(117,34))+indirect(address(115,35))-indirect(address(116,35))</f>
        <v>0</v>
      </c>
      <c r="AJ117">
        <f>indirect(address(117,35))+indirect(address(115,36))-indirect(address(116,36))</f>
        <v>0</v>
      </c>
      <c r="AK117">
        <f>indirect(address(117,36))+indirect(address(115,37))-indirect(address(116,37))</f>
        <v>0</v>
      </c>
      <c r="AL117">
        <f>indirect(address(117,37))+indirect(address(115,38))-indirect(address(116,38))</f>
        <v>0</v>
      </c>
      <c r="AM117">
        <f>indirect(address(117,38))+indirect(address(115,39))-indirect(address(116,39))</f>
        <v>0</v>
      </c>
      <c r="AN117">
        <f>indirect(address(117,39))+indirect(address(115,40))-indirect(address(116,40))</f>
        <v>0</v>
      </c>
      <c r="AO117">
        <f>indirect(address(117,40))+indirect(address(115,41))-indirect(address(116,41))</f>
        <v>0</v>
      </c>
    </row>
    <row r="118" spans="1:41">
      <c r="I118" t="s">
        <v>14</v>
      </c>
      <c r="AO118">
        <f>sum(j118:an118)</f>
        <v>0</v>
      </c>
    </row>
    <row r="119" spans="1:41">
      <c r="I119" t="s">
        <v>15</v>
      </c>
      <c r="J119">
        <f>sumif(Plan!B:B,"827-015000-100",Plan!j:j)</f>
        <v>0</v>
      </c>
      <c r="K119">
        <f>sumif(Plan!B:B,"827-015000-100",Plan!k:k)</f>
        <v>0</v>
      </c>
      <c r="L119">
        <f>sumif(Plan!B:B,"827-015000-100",Plan!l:l)</f>
        <v>0</v>
      </c>
      <c r="M119">
        <f>sumif(Plan!B:B,"827-015000-100",Plan!m:m)</f>
        <v>0</v>
      </c>
      <c r="N119">
        <f>sumif(Plan!B:B,"827-015000-100",Plan!n:n)</f>
        <v>0</v>
      </c>
      <c r="O119">
        <f>sumif(Plan!B:B,"827-015000-100",Plan!o:o)</f>
        <v>0</v>
      </c>
      <c r="P119">
        <f>sumif(Plan!B:B,"827-015000-100",Plan!p:p)</f>
        <v>0</v>
      </c>
      <c r="Q119">
        <f>sumif(Plan!B:B,"827-015000-100",Plan!q:q)</f>
        <v>0</v>
      </c>
      <c r="R119">
        <f>sumif(Plan!B:B,"827-015000-100",Plan!r:r)</f>
        <v>0</v>
      </c>
      <c r="S119">
        <f>sumif(Plan!B:B,"827-015000-100",Plan!s:s)</f>
        <v>0</v>
      </c>
      <c r="T119">
        <f>sumif(Plan!B:B,"827-015000-100",Plan!t:t)</f>
        <v>0</v>
      </c>
      <c r="U119">
        <f>sumif(Plan!B:B,"827-015000-100",Plan!u:u)</f>
        <v>0</v>
      </c>
      <c r="V119">
        <f>sumif(Plan!B:B,"827-015000-100",Plan!v:v)</f>
        <v>0</v>
      </c>
      <c r="W119">
        <f>sumif(Plan!B:B,"827-015000-100",Plan!w:w)</f>
        <v>0</v>
      </c>
      <c r="X119">
        <f>sumif(Plan!B:B,"827-015000-100",Plan!x:x)</f>
        <v>0</v>
      </c>
      <c r="Y119">
        <f>sumif(Plan!B:B,"827-015000-100",Plan!y:y)</f>
        <v>0</v>
      </c>
      <c r="Z119">
        <f>sumif(Plan!B:B,"827-015000-100",Plan!z:z)</f>
        <v>0</v>
      </c>
      <c r="AA119">
        <f>sumif(Plan!B:B,"827-015000-100",Plan!aa:aa)</f>
        <v>0</v>
      </c>
      <c r="AB119">
        <f>sumif(Plan!B:B,"827-015000-100",Plan!ab:ab)</f>
        <v>0</v>
      </c>
      <c r="AC119">
        <f>sumif(Plan!B:B,"827-015000-100",Plan!ac:ac)</f>
        <v>0</v>
      </c>
      <c r="AD119">
        <f>sumif(Plan!B:B,"827-015000-100",Plan!ad:ad)</f>
        <v>0</v>
      </c>
      <c r="AE119">
        <f>sumif(Plan!B:B,"827-015000-100",Plan!ae:ae)</f>
        <v>0</v>
      </c>
      <c r="AF119">
        <f>sumif(Plan!B:B,"827-015000-100",Plan!af:af)</f>
        <v>0</v>
      </c>
      <c r="AG119">
        <f>sumif(Plan!B:B,"827-015000-100",Plan!ag:ag)</f>
        <v>0</v>
      </c>
      <c r="AH119">
        <f>sumif(Plan!B:B,"827-015000-100",Plan!ah:ah)</f>
        <v>0</v>
      </c>
      <c r="AI119">
        <f>sumif(Plan!B:B,"827-015000-100",Plan!ai:ai)</f>
        <v>0</v>
      </c>
      <c r="AJ119">
        <f>sumif(Plan!B:B,"827-015000-100",Plan!aj:aj)</f>
        <v>0</v>
      </c>
      <c r="AK119">
        <f>sumif(Plan!B:B,"827-015000-100",Plan!ak:ak)</f>
        <v>0</v>
      </c>
      <c r="AL119">
        <f>sumif(Plan!B:B,"827-015000-100",Plan!al:al)</f>
        <v>0</v>
      </c>
      <c r="AM119">
        <f>sumif(Plan!B:B,"827-015000-100",Plan!am:am)</f>
        <v>0</v>
      </c>
      <c r="AN119">
        <f>sumif(Plan!B:B,"827-015000-100",Plan!an:an)</f>
        <v>0</v>
      </c>
      <c r="AO119">
        <f>sumif(Plan!B:B,"827-015000-100",Plan!ao:ao)</f>
        <v>0</v>
      </c>
    </row>
    <row r="120" spans="1:41">
      <c r="A120" t="s">
        <v>17</v>
      </c>
      <c r="B120" t="s">
        <v>97</v>
      </c>
      <c r="C120" t="s">
        <v>98</v>
      </c>
      <c r="E120">
        <v>1</v>
      </c>
      <c r="F120" t="s">
        <v>13</v>
      </c>
      <c r="H120" t="s">
        <v>16</v>
      </c>
      <c r="J120">
        <f>indirect(address(120,9))+indirect(address(118,10))-indirect(address(119,10))</f>
        <v>0</v>
      </c>
      <c r="K120">
        <f>indirect(address(120,10))+indirect(address(118,11))-indirect(address(119,11))</f>
        <v>0</v>
      </c>
      <c r="L120">
        <f>indirect(address(120,11))+indirect(address(118,12))-indirect(address(119,12))</f>
        <v>0</v>
      </c>
      <c r="M120">
        <f>indirect(address(120,12))+indirect(address(118,13))-indirect(address(119,13))</f>
        <v>0</v>
      </c>
      <c r="N120">
        <f>indirect(address(120,13))+indirect(address(118,14))-indirect(address(119,14))</f>
        <v>0</v>
      </c>
      <c r="O120">
        <f>indirect(address(120,14))+indirect(address(118,15))-indirect(address(119,15))</f>
        <v>0</v>
      </c>
      <c r="P120">
        <f>indirect(address(120,15))+indirect(address(118,16))-indirect(address(119,16))</f>
        <v>0</v>
      </c>
      <c r="Q120">
        <f>indirect(address(120,16))+indirect(address(118,17))-indirect(address(119,17))</f>
        <v>0</v>
      </c>
      <c r="R120">
        <f>indirect(address(120,17))+indirect(address(118,18))-indirect(address(119,18))</f>
        <v>0</v>
      </c>
      <c r="S120">
        <f>indirect(address(120,18))+indirect(address(118,19))-indirect(address(119,19))</f>
        <v>0</v>
      </c>
      <c r="T120">
        <f>indirect(address(120,19))+indirect(address(118,20))-indirect(address(119,20))</f>
        <v>0</v>
      </c>
      <c r="U120">
        <f>indirect(address(120,20))+indirect(address(118,21))-indirect(address(119,21))</f>
        <v>0</v>
      </c>
      <c r="V120">
        <f>indirect(address(120,21))+indirect(address(118,22))-indirect(address(119,22))</f>
        <v>0</v>
      </c>
      <c r="W120">
        <f>indirect(address(120,22))+indirect(address(118,23))-indirect(address(119,23))</f>
        <v>0</v>
      </c>
      <c r="X120">
        <f>indirect(address(120,23))+indirect(address(118,24))-indirect(address(119,24))</f>
        <v>0</v>
      </c>
      <c r="Y120">
        <f>indirect(address(120,24))+indirect(address(118,25))-indirect(address(119,25))</f>
        <v>0</v>
      </c>
      <c r="Z120">
        <f>indirect(address(120,25))+indirect(address(118,26))-indirect(address(119,26))</f>
        <v>0</v>
      </c>
      <c r="AA120">
        <f>indirect(address(120,26))+indirect(address(118,27))-indirect(address(119,27))</f>
        <v>0</v>
      </c>
      <c r="AB120">
        <f>indirect(address(120,27))+indirect(address(118,28))-indirect(address(119,28))</f>
        <v>0</v>
      </c>
      <c r="AC120">
        <f>indirect(address(120,28))+indirect(address(118,29))-indirect(address(119,29))</f>
        <v>0</v>
      </c>
      <c r="AD120">
        <f>indirect(address(120,29))+indirect(address(118,30))-indirect(address(119,30))</f>
        <v>0</v>
      </c>
      <c r="AE120">
        <f>indirect(address(120,30))+indirect(address(118,31))-indirect(address(119,31))</f>
        <v>0</v>
      </c>
      <c r="AF120">
        <f>indirect(address(120,31))+indirect(address(118,32))-indirect(address(119,32))</f>
        <v>0</v>
      </c>
      <c r="AG120">
        <f>indirect(address(120,32))+indirect(address(118,33))-indirect(address(119,33))</f>
        <v>0</v>
      </c>
      <c r="AH120">
        <f>indirect(address(120,33))+indirect(address(118,34))-indirect(address(119,34))</f>
        <v>0</v>
      </c>
      <c r="AI120">
        <f>indirect(address(120,34))+indirect(address(118,35))-indirect(address(119,35))</f>
        <v>0</v>
      </c>
      <c r="AJ120">
        <f>indirect(address(120,35))+indirect(address(118,36))-indirect(address(119,36))</f>
        <v>0</v>
      </c>
      <c r="AK120">
        <f>indirect(address(120,36))+indirect(address(118,37))-indirect(address(119,37))</f>
        <v>0</v>
      </c>
      <c r="AL120">
        <f>indirect(address(120,37))+indirect(address(118,38))-indirect(address(119,38))</f>
        <v>0</v>
      </c>
      <c r="AM120">
        <f>indirect(address(120,38))+indirect(address(118,39))-indirect(address(119,39))</f>
        <v>0</v>
      </c>
      <c r="AN120">
        <f>indirect(address(120,39))+indirect(address(118,40))-indirect(address(119,40))</f>
        <v>0</v>
      </c>
      <c r="AO120">
        <f>indirect(address(120,40))+indirect(address(118,41))-indirect(address(119,41))</f>
        <v>0</v>
      </c>
    </row>
    <row r="121" spans="1:41">
      <c r="I121" t="s">
        <v>14</v>
      </c>
      <c r="AO121">
        <f>sum(j121:an121)</f>
        <v>0</v>
      </c>
    </row>
    <row r="122" spans="1:41">
      <c r="I122" t="s">
        <v>15</v>
      </c>
      <c r="J122">
        <f>sumif(Plan!B:B,"827-009000-120",Plan!j:j)</f>
        <v>0</v>
      </c>
      <c r="K122">
        <f>sumif(Plan!B:B,"827-009000-120",Plan!k:k)</f>
        <v>0</v>
      </c>
      <c r="L122">
        <f>sumif(Plan!B:B,"827-009000-120",Plan!l:l)</f>
        <v>0</v>
      </c>
      <c r="M122">
        <f>sumif(Plan!B:B,"827-009000-120",Plan!m:m)</f>
        <v>0</v>
      </c>
      <c r="N122">
        <f>sumif(Plan!B:B,"827-009000-120",Plan!n:n)</f>
        <v>0</v>
      </c>
      <c r="O122">
        <f>sumif(Plan!B:B,"827-009000-120",Plan!o:o)</f>
        <v>0</v>
      </c>
      <c r="P122">
        <f>sumif(Plan!B:B,"827-009000-120",Plan!p:p)</f>
        <v>0</v>
      </c>
      <c r="Q122">
        <f>sumif(Plan!B:B,"827-009000-120",Plan!q:q)</f>
        <v>0</v>
      </c>
      <c r="R122">
        <f>sumif(Plan!B:B,"827-009000-120",Plan!r:r)</f>
        <v>0</v>
      </c>
      <c r="S122">
        <f>sumif(Plan!B:B,"827-009000-120",Plan!s:s)</f>
        <v>0</v>
      </c>
      <c r="T122">
        <f>sumif(Plan!B:B,"827-009000-120",Plan!t:t)</f>
        <v>0</v>
      </c>
      <c r="U122">
        <f>sumif(Plan!B:B,"827-009000-120",Plan!u:u)</f>
        <v>0</v>
      </c>
      <c r="V122">
        <f>sumif(Plan!B:B,"827-009000-120",Plan!v:v)</f>
        <v>0</v>
      </c>
      <c r="W122">
        <f>sumif(Plan!B:B,"827-009000-120",Plan!w:w)</f>
        <v>0</v>
      </c>
      <c r="X122">
        <f>sumif(Plan!B:B,"827-009000-120",Plan!x:x)</f>
        <v>0</v>
      </c>
      <c r="Y122">
        <f>sumif(Plan!B:B,"827-009000-120",Plan!y:y)</f>
        <v>0</v>
      </c>
      <c r="Z122">
        <f>sumif(Plan!B:B,"827-009000-120",Plan!z:z)</f>
        <v>0</v>
      </c>
      <c r="AA122">
        <f>sumif(Plan!B:B,"827-009000-120",Plan!aa:aa)</f>
        <v>0</v>
      </c>
      <c r="AB122">
        <f>sumif(Plan!B:B,"827-009000-120",Plan!ab:ab)</f>
        <v>0</v>
      </c>
      <c r="AC122">
        <f>sumif(Plan!B:B,"827-009000-120",Plan!ac:ac)</f>
        <v>0</v>
      </c>
      <c r="AD122">
        <f>sumif(Plan!B:B,"827-009000-120",Plan!ad:ad)</f>
        <v>0</v>
      </c>
      <c r="AE122">
        <f>sumif(Plan!B:B,"827-009000-120",Plan!ae:ae)</f>
        <v>0</v>
      </c>
      <c r="AF122">
        <f>sumif(Plan!B:B,"827-009000-120",Plan!af:af)</f>
        <v>0</v>
      </c>
      <c r="AG122">
        <f>sumif(Plan!B:B,"827-009000-120",Plan!ag:ag)</f>
        <v>0</v>
      </c>
      <c r="AH122">
        <f>sumif(Plan!B:B,"827-009000-120",Plan!ah:ah)</f>
        <v>0</v>
      </c>
      <c r="AI122">
        <f>sumif(Plan!B:B,"827-009000-120",Plan!ai:ai)</f>
        <v>0</v>
      </c>
      <c r="AJ122">
        <f>sumif(Plan!B:B,"827-009000-120",Plan!aj:aj)</f>
        <v>0</v>
      </c>
      <c r="AK122">
        <f>sumif(Plan!B:B,"827-009000-120",Plan!ak:ak)</f>
        <v>0</v>
      </c>
      <c r="AL122">
        <f>sumif(Plan!B:B,"827-009000-120",Plan!al:al)</f>
        <v>0</v>
      </c>
      <c r="AM122">
        <f>sumif(Plan!B:B,"827-009000-120",Plan!am:am)</f>
        <v>0</v>
      </c>
      <c r="AN122">
        <f>sumif(Plan!B:B,"827-009000-120",Plan!an:an)</f>
        <v>0</v>
      </c>
      <c r="AO122">
        <f>sumif(Plan!B:B,"827-009000-120",Plan!ao:ao)</f>
        <v>0</v>
      </c>
    </row>
    <row r="123" spans="1:41">
      <c r="A123" t="s">
        <v>17</v>
      </c>
      <c r="B123" t="s">
        <v>99</v>
      </c>
      <c r="C123" t="s">
        <v>100</v>
      </c>
      <c r="E123">
        <v>1</v>
      </c>
      <c r="F123" t="s">
        <v>13</v>
      </c>
      <c r="H123" t="s">
        <v>16</v>
      </c>
      <c r="J123">
        <f>indirect(address(123,9))+indirect(address(121,10))-indirect(address(122,10))</f>
        <v>0</v>
      </c>
      <c r="K123">
        <f>indirect(address(123,10))+indirect(address(121,11))-indirect(address(122,11))</f>
        <v>0</v>
      </c>
      <c r="L123">
        <f>indirect(address(123,11))+indirect(address(121,12))-indirect(address(122,12))</f>
        <v>0</v>
      </c>
      <c r="M123">
        <f>indirect(address(123,12))+indirect(address(121,13))-indirect(address(122,13))</f>
        <v>0</v>
      </c>
      <c r="N123">
        <f>indirect(address(123,13))+indirect(address(121,14))-indirect(address(122,14))</f>
        <v>0</v>
      </c>
      <c r="O123">
        <f>indirect(address(123,14))+indirect(address(121,15))-indirect(address(122,15))</f>
        <v>0</v>
      </c>
      <c r="P123">
        <f>indirect(address(123,15))+indirect(address(121,16))-indirect(address(122,16))</f>
        <v>0</v>
      </c>
      <c r="Q123">
        <f>indirect(address(123,16))+indirect(address(121,17))-indirect(address(122,17))</f>
        <v>0</v>
      </c>
      <c r="R123">
        <f>indirect(address(123,17))+indirect(address(121,18))-indirect(address(122,18))</f>
        <v>0</v>
      </c>
      <c r="S123">
        <f>indirect(address(123,18))+indirect(address(121,19))-indirect(address(122,19))</f>
        <v>0</v>
      </c>
      <c r="T123">
        <f>indirect(address(123,19))+indirect(address(121,20))-indirect(address(122,20))</f>
        <v>0</v>
      </c>
      <c r="U123">
        <f>indirect(address(123,20))+indirect(address(121,21))-indirect(address(122,21))</f>
        <v>0</v>
      </c>
      <c r="V123">
        <f>indirect(address(123,21))+indirect(address(121,22))-indirect(address(122,22))</f>
        <v>0</v>
      </c>
      <c r="W123">
        <f>indirect(address(123,22))+indirect(address(121,23))-indirect(address(122,23))</f>
        <v>0</v>
      </c>
      <c r="X123">
        <f>indirect(address(123,23))+indirect(address(121,24))-indirect(address(122,24))</f>
        <v>0</v>
      </c>
      <c r="Y123">
        <f>indirect(address(123,24))+indirect(address(121,25))-indirect(address(122,25))</f>
        <v>0</v>
      </c>
      <c r="Z123">
        <f>indirect(address(123,25))+indirect(address(121,26))-indirect(address(122,26))</f>
        <v>0</v>
      </c>
      <c r="AA123">
        <f>indirect(address(123,26))+indirect(address(121,27))-indirect(address(122,27))</f>
        <v>0</v>
      </c>
      <c r="AB123">
        <f>indirect(address(123,27))+indirect(address(121,28))-indirect(address(122,28))</f>
        <v>0</v>
      </c>
      <c r="AC123">
        <f>indirect(address(123,28))+indirect(address(121,29))-indirect(address(122,29))</f>
        <v>0</v>
      </c>
      <c r="AD123">
        <f>indirect(address(123,29))+indirect(address(121,30))-indirect(address(122,30))</f>
        <v>0</v>
      </c>
      <c r="AE123">
        <f>indirect(address(123,30))+indirect(address(121,31))-indirect(address(122,31))</f>
        <v>0</v>
      </c>
      <c r="AF123">
        <f>indirect(address(123,31))+indirect(address(121,32))-indirect(address(122,32))</f>
        <v>0</v>
      </c>
      <c r="AG123">
        <f>indirect(address(123,32))+indirect(address(121,33))-indirect(address(122,33))</f>
        <v>0</v>
      </c>
      <c r="AH123">
        <f>indirect(address(123,33))+indirect(address(121,34))-indirect(address(122,34))</f>
        <v>0</v>
      </c>
      <c r="AI123">
        <f>indirect(address(123,34))+indirect(address(121,35))-indirect(address(122,35))</f>
        <v>0</v>
      </c>
      <c r="AJ123">
        <f>indirect(address(123,35))+indirect(address(121,36))-indirect(address(122,36))</f>
        <v>0</v>
      </c>
      <c r="AK123">
        <f>indirect(address(123,36))+indirect(address(121,37))-indirect(address(122,37))</f>
        <v>0</v>
      </c>
      <c r="AL123">
        <f>indirect(address(123,37))+indirect(address(121,38))-indirect(address(122,38))</f>
        <v>0</v>
      </c>
      <c r="AM123">
        <f>indirect(address(123,38))+indirect(address(121,39))-indirect(address(122,39))</f>
        <v>0</v>
      </c>
      <c r="AN123">
        <f>indirect(address(123,39))+indirect(address(121,40))-indirect(address(122,40))</f>
        <v>0</v>
      </c>
      <c r="AO123">
        <f>indirect(address(123,40))+indirect(address(121,41))-indirect(address(122,41))</f>
        <v>0</v>
      </c>
    </row>
    <row r="124" spans="1:41">
      <c r="I124" t="s">
        <v>14</v>
      </c>
      <c r="AO124">
        <f>sum(j124:an124)</f>
        <v>0</v>
      </c>
    </row>
    <row r="125" spans="1:41">
      <c r="I125" t="s">
        <v>15</v>
      </c>
      <c r="J125">
        <f>sumif(Plan!B:B,"242-101200-000",Plan!j:j)</f>
        <v>0</v>
      </c>
      <c r="K125">
        <f>sumif(Plan!B:B,"242-101200-000",Plan!k:k)</f>
        <v>0</v>
      </c>
      <c r="L125">
        <f>sumif(Plan!B:B,"242-101200-000",Plan!l:l)</f>
        <v>0</v>
      </c>
      <c r="M125">
        <f>sumif(Plan!B:B,"242-101200-000",Plan!m:m)</f>
        <v>0</v>
      </c>
      <c r="N125">
        <f>sumif(Plan!B:B,"242-101200-000",Plan!n:n)</f>
        <v>0</v>
      </c>
      <c r="O125">
        <f>sumif(Plan!B:B,"242-101200-000",Plan!o:o)</f>
        <v>0</v>
      </c>
      <c r="P125">
        <f>sumif(Plan!B:B,"242-101200-000",Plan!p:p)</f>
        <v>0</v>
      </c>
      <c r="Q125">
        <f>sumif(Plan!B:B,"242-101200-000",Plan!q:q)</f>
        <v>0</v>
      </c>
      <c r="R125">
        <f>sumif(Plan!B:B,"242-101200-000",Plan!r:r)</f>
        <v>0</v>
      </c>
      <c r="S125">
        <f>sumif(Plan!B:B,"242-101200-000",Plan!s:s)</f>
        <v>0</v>
      </c>
      <c r="T125">
        <f>sumif(Plan!B:B,"242-101200-000",Plan!t:t)</f>
        <v>0</v>
      </c>
      <c r="U125">
        <f>sumif(Plan!B:B,"242-101200-000",Plan!u:u)</f>
        <v>0</v>
      </c>
      <c r="V125">
        <f>sumif(Plan!B:B,"242-101200-000",Plan!v:v)</f>
        <v>0</v>
      </c>
      <c r="W125">
        <f>sumif(Plan!B:B,"242-101200-000",Plan!w:w)</f>
        <v>0</v>
      </c>
      <c r="X125">
        <f>sumif(Plan!B:B,"242-101200-000",Plan!x:x)</f>
        <v>0</v>
      </c>
      <c r="Y125">
        <f>sumif(Plan!B:B,"242-101200-000",Plan!y:y)</f>
        <v>0</v>
      </c>
      <c r="Z125">
        <f>sumif(Plan!B:B,"242-101200-000",Plan!z:z)</f>
        <v>0</v>
      </c>
      <c r="AA125">
        <f>sumif(Plan!B:B,"242-101200-000",Plan!aa:aa)</f>
        <v>0</v>
      </c>
      <c r="AB125">
        <f>sumif(Plan!B:B,"242-101200-000",Plan!ab:ab)</f>
        <v>0</v>
      </c>
      <c r="AC125">
        <f>sumif(Plan!B:B,"242-101200-000",Plan!ac:ac)</f>
        <v>0</v>
      </c>
      <c r="AD125">
        <f>sumif(Plan!B:B,"242-101200-000",Plan!ad:ad)</f>
        <v>0</v>
      </c>
      <c r="AE125">
        <f>sumif(Plan!B:B,"242-101200-000",Plan!ae:ae)</f>
        <v>0</v>
      </c>
      <c r="AF125">
        <f>sumif(Plan!B:B,"242-101200-000",Plan!af:af)</f>
        <v>0</v>
      </c>
      <c r="AG125">
        <f>sumif(Plan!B:B,"242-101200-000",Plan!ag:ag)</f>
        <v>0</v>
      </c>
      <c r="AH125">
        <f>sumif(Plan!B:B,"242-101200-000",Plan!ah:ah)</f>
        <v>0</v>
      </c>
      <c r="AI125">
        <f>sumif(Plan!B:B,"242-101200-000",Plan!ai:ai)</f>
        <v>0</v>
      </c>
      <c r="AJ125">
        <f>sumif(Plan!B:B,"242-101200-000",Plan!aj:aj)</f>
        <v>0</v>
      </c>
      <c r="AK125">
        <f>sumif(Plan!B:B,"242-101200-000",Plan!ak:ak)</f>
        <v>0</v>
      </c>
      <c r="AL125">
        <f>sumif(Plan!B:B,"242-101200-000",Plan!al:al)</f>
        <v>0</v>
      </c>
      <c r="AM125">
        <f>sumif(Plan!B:B,"242-101200-000",Plan!am:am)</f>
        <v>0</v>
      </c>
      <c r="AN125">
        <f>sumif(Plan!B:B,"242-101200-000",Plan!an:an)</f>
        <v>0</v>
      </c>
      <c r="AO125">
        <f>sumif(Plan!B:B,"242-101200-000",Plan!ao:ao)</f>
        <v>0</v>
      </c>
    </row>
    <row r="126" spans="1:41">
      <c r="A126" t="s">
        <v>78</v>
      </c>
      <c r="B126" t="s">
        <v>101</v>
      </c>
      <c r="C126" t="s">
        <v>102</v>
      </c>
      <c r="E126">
        <v>0.1</v>
      </c>
      <c r="F126" t="s">
        <v>13</v>
      </c>
      <c r="H126" t="s">
        <v>16</v>
      </c>
      <c r="J126">
        <f>indirect(address(126,9))+indirect(address(124,10))-indirect(address(125,10))</f>
        <v>0</v>
      </c>
      <c r="K126">
        <f>indirect(address(126,10))+indirect(address(124,11))-indirect(address(125,11))</f>
        <v>0</v>
      </c>
      <c r="L126">
        <f>indirect(address(126,11))+indirect(address(124,12))-indirect(address(125,12))</f>
        <v>0</v>
      </c>
      <c r="M126">
        <f>indirect(address(126,12))+indirect(address(124,13))-indirect(address(125,13))</f>
        <v>0</v>
      </c>
      <c r="N126">
        <f>indirect(address(126,13))+indirect(address(124,14))-indirect(address(125,14))</f>
        <v>0</v>
      </c>
      <c r="O126">
        <f>indirect(address(126,14))+indirect(address(124,15))-indirect(address(125,15))</f>
        <v>0</v>
      </c>
      <c r="P126">
        <f>indirect(address(126,15))+indirect(address(124,16))-indirect(address(125,16))</f>
        <v>0</v>
      </c>
      <c r="Q126">
        <f>indirect(address(126,16))+indirect(address(124,17))-indirect(address(125,17))</f>
        <v>0</v>
      </c>
      <c r="R126">
        <f>indirect(address(126,17))+indirect(address(124,18))-indirect(address(125,18))</f>
        <v>0</v>
      </c>
      <c r="S126">
        <f>indirect(address(126,18))+indirect(address(124,19))-indirect(address(125,19))</f>
        <v>0</v>
      </c>
      <c r="T126">
        <f>indirect(address(126,19))+indirect(address(124,20))-indirect(address(125,20))</f>
        <v>0</v>
      </c>
      <c r="U126">
        <f>indirect(address(126,20))+indirect(address(124,21))-indirect(address(125,21))</f>
        <v>0</v>
      </c>
      <c r="V126">
        <f>indirect(address(126,21))+indirect(address(124,22))-indirect(address(125,22))</f>
        <v>0</v>
      </c>
      <c r="W126">
        <f>indirect(address(126,22))+indirect(address(124,23))-indirect(address(125,23))</f>
        <v>0</v>
      </c>
      <c r="X126">
        <f>indirect(address(126,23))+indirect(address(124,24))-indirect(address(125,24))</f>
        <v>0</v>
      </c>
      <c r="Y126">
        <f>indirect(address(126,24))+indirect(address(124,25))-indirect(address(125,25))</f>
        <v>0</v>
      </c>
      <c r="Z126">
        <f>indirect(address(126,25))+indirect(address(124,26))-indirect(address(125,26))</f>
        <v>0</v>
      </c>
      <c r="AA126">
        <f>indirect(address(126,26))+indirect(address(124,27))-indirect(address(125,27))</f>
        <v>0</v>
      </c>
      <c r="AB126">
        <f>indirect(address(126,27))+indirect(address(124,28))-indirect(address(125,28))</f>
        <v>0</v>
      </c>
      <c r="AC126">
        <f>indirect(address(126,28))+indirect(address(124,29))-indirect(address(125,29))</f>
        <v>0</v>
      </c>
      <c r="AD126">
        <f>indirect(address(126,29))+indirect(address(124,30))-indirect(address(125,30))</f>
        <v>0</v>
      </c>
      <c r="AE126">
        <f>indirect(address(126,30))+indirect(address(124,31))-indirect(address(125,31))</f>
        <v>0</v>
      </c>
      <c r="AF126">
        <f>indirect(address(126,31))+indirect(address(124,32))-indirect(address(125,32))</f>
        <v>0</v>
      </c>
      <c r="AG126">
        <f>indirect(address(126,32))+indirect(address(124,33))-indirect(address(125,33))</f>
        <v>0</v>
      </c>
      <c r="AH126">
        <f>indirect(address(126,33))+indirect(address(124,34))-indirect(address(125,34))</f>
        <v>0</v>
      </c>
      <c r="AI126">
        <f>indirect(address(126,34))+indirect(address(124,35))-indirect(address(125,35))</f>
        <v>0</v>
      </c>
      <c r="AJ126">
        <f>indirect(address(126,35))+indirect(address(124,36))-indirect(address(125,36))</f>
        <v>0</v>
      </c>
      <c r="AK126">
        <f>indirect(address(126,36))+indirect(address(124,37))-indirect(address(125,37))</f>
        <v>0</v>
      </c>
      <c r="AL126">
        <f>indirect(address(126,37))+indirect(address(124,38))-indirect(address(125,38))</f>
        <v>0</v>
      </c>
      <c r="AM126">
        <f>indirect(address(126,38))+indirect(address(124,39))-indirect(address(125,39))</f>
        <v>0</v>
      </c>
      <c r="AN126">
        <f>indirect(address(126,39))+indirect(address(124,40))-indirect(address(125,40))</f>
        <v>0</v>
      </c>
      <c r="AO126">
        <f>indirect(address(126,40))+indirect(address(124,41))-indirect(address(125,41))</f>
        <v>0</v>
      </c>
    </row>
    <row r="127" spans="1:41">
      <c r="I127" t="s">
        <v>14</v>
      </c>
      <c r="AO127">
        <f>sum(j127:an127)</f>
        <v>0</v>
      </c>
    </row>
    <row r="128" spans="1:41">
      <c r="I128" t="s">
        <v>15</v>
      </c>
      <c r="J128">
        <f>sumif(Plan!B:B,"251-030007-003",Plan!j:j)</f>
        <v>0</v>
      </c>
      <c r="K128">
        <f>sumif(Plan!B:B,"251-030007-003",Plan!k:k)</f>
        <v>0</v>
      </c>
      <c r="L128">
        <f>sumif(Plan!B:B,"251-030007-003",Plan!l:l)</f>
        <v>0</v>
      </c>
      <c r="M128">
        <f>sumif(Plan!B:B,"251-030007-003",Plan!m:m)</f>
        <v>0</v>
      </c>
      <c r="N128">
        <f>sumif(Plan!B:B,"251-030007-003",Plan!n:n)</f>
        <v>0</v>
      </c>
      <c r="O128">
        <f>sumif(Plan!B:B,"251-030007-003",Plan!o:o)</f>
        <v>0</v>
      </c>
      <c r="P128">
        <f>sumif(Plan!B:B,"251-030007-003",Plan!p:p)</f>
        <v>0</v>
      </c>
      <c r="Q128">
        <f>sumif(Plan!B:B,"251-030007-003",Plan!q:q)</f>
        <v>0</v>
      </c>
      <c r="R128">
        <f>sumif(Plan!B:B,"251-030007-003",Plan!r:r)</f>
        <v>0</v>
      </c>
      <c r="S128">
        <f>sumif(Plan!B:B,"251-030007-003",Plan!s:s)</f>
        <v>0</v>
      </c>
      <c r="T128">
        <f>sumif(Plan!B:B,"251-030007-003",Plan!t:t)</f>
        <v>0</v>
      </c>
      <c r="U128">
        <f>sumif(Plan!B:B,"251-030007-003",Plan!u:u)</f>
        <v>0</v>
      </c>
      <c r="V128">
        <f>sumif(Plan!B:B,"251-030007-003",Plan!v:v)</f>
        <v>0</v>
      </c>
      <c r="W128">
        <f>sumif(Plan!B:B,"251-030007-003",Plan!w:w)</f>
        <v>0</v>
      </c>
      <c r="X128">
        <f>sumif(Plan!B:B,"251-030007-003",Plan!x:x)</f>
        <v>0</v>
      </c>
      <c r="Y128">
        <f>sumif(Plan!B:B,"251-030007-003",Plan!y:y)</f>
        <v>0</v>
      </c>
      <c r="Z128">
        <f>sumif(Plan!B:B,"251-030007-003",Plan!z:z)</f>
        <v>0</v>
      </c>
      <c r="AA128">
        <f>sumif(Plan!B:B,"251-030007-003",Plan!aa:aa)</f>
        <v>0</v>
      </c>
      <c r="AB128">
        <f>sumif(Plan!B:B,"251-030007-003",Plan!ab:ab)</f>
        <v>0</v>
      </c>
      <c r="AC128">
        <f>sumif(Plan!B:B,"251-030007-003",Plan!ac:ac)</f>
        <v>0</v>
      </c>
      <c r="AD128">
        <f>sumif(Plan!B:B,"251-030007-003",Plan!ad:ad)</f>
        <v>0</v>
      </c>
      <c r="AE128">
        <f>sumif(Plan!B:B,"251-030007-003",Plan!ae:ae)</f>
        <v>0</v>
      </c>
      <c r="AF128">
        <f>sumif(Plan!B:B,"251-030007-003",Plan!af:af)</f>
        <v>0</v>
      </c>
      <c r="AG128">
        <f>sumif(Plan!B:B,"251-030007-003",Plan!ag:ag)</f>
        <v>0</v>
      </c>
      <c r="AH128">
        <f>sumif(Plan!B:B,"251-030007-003",Plan!ah:ah)</f>
        <v>0</v>
      </c>
      <c r="AI128">
        <f>sumif(Plan!B:B,"251-030007-003",Plan!ai:ai)</f>
        <v>0</v>
      </c>
      <c r="AJ128">
        <f>sumif(Plan!B:B,"251-030007-003",Plan!aj:aj)</f>
        <v>0</v>
      </c>
      <c r="AK128">
        <f>sumif(Plan!B:B,"251-030007-003",Plan!ak:ak)</f>
        <v>0</v>
      </c>
      <c r="AL128">
        <f>sumif(Plan!B:B,"251-030007-003",Plan!al:al)</f>
        <v>0</v>
      </c>
      <c r="AM128">
        <f>sumif(Plan!B:B,"251-030007-003",Plan!am:am)</f>
        <v>0</v>
      </c>
      <c r="AN128">
        <f>sumif(Plan!B:B,"251-030007-003",Plan!an:an)</f>
        <v>0</v>
      </c>
      <c r="AO128">
        <f>sumif(Plan!B:B,"251-030007-003",Plan!ao:ao)</f>
        <v>0</v>
      </c>
    </row>
    <row r="129" spans="1:41">
      <c r="A129" t="s">
        <v>78</v>
      </c>
      <c r="B129" t="s">
        <v>103</v>
      </c>
      <c r="C129" t="s">
        <v>104</v>
      </c>
      <c r="E129">
        <v>1</v>
      </c>
      <c r="F129" t="s">
        <v>13</v>
      </c>
      <c r="H129" t="s">
        <v>16</v>
      </c>
      <c r="J129">
        <f>indirect(address(129,9))+indirect(address(127,10))-indirect(address(128,10))</f>
        <v>0</v>
      </c>
      <c r="K129">
        <f>indirect(address(129,10))+indirect(address(127,11))-indirect(address(128,11))</f>
        <v>0</v>
      </c>
      <c r="L129">
        <f>indirect(address(129,11))+indirect(address(127,12))-indirect(address(128,12))</f>
        <v>0</v>
      </c>
      <c r="M129">
        <f>indirect(address(129,12))+indirect(address(127,13))-indirect(address(128,13))</f>
        <v>0</v>
      </c>
      <c r="N129">
        <f>indirect(address(129,13))+indirect(address(127,14))-indirect(address(128,14))</f>
        <v>0</v>
      </c>
      <c r="O129">
        <f>indirect(address(129,14))+indirect(address(127,15))-indirect(address(128,15))</f>
        <v>0</v>
      </c>
      <c r="P129">
        <f>indirect(address(129,15))+indirect(address(127,16))-indirect(address(128,16))</f>
        <v>0</v>
      </c>
      <c r="Q129">
        <f>indirect(address(129,16))+indirect(address(127,17))-indirect(address(128,17))</f>
        <v>0</v>
      </c>
      <c r="R129">
        <f>indirect(address(129,17))+indirect(address(127,18))-indirect(address(128,18))</f>
        <v>0</v>
      </c>
      <c r="S129">
        <f>indirect(address(129,18))+indirect(address(127,19))-indirect(address(128,19))</f>
        <v>0</v>
      </c>
      <c r="T129">
        <f>indirect(address(129,19))+indirect(address(127,20))-indirect(address(128,20))</f>
        <v>0</v>
      </c>
      <c r="U129">
        <f>indirect(address(129,20))+indirect(address(127,21))-indirect(address(128,21))</f>
        <v>0</v>
      </c>
      <c r="V129">
        <f>indirect(address(129,21))+indirect(address(127,22))-indirect(address(128,22))</f>
        <v>0</v>
      </c>
      <c r="W129">
        <f>indirect(address(129,22))+indirect(address(127,23))-indirect(address(128,23))</f>
        <v>0</v>
      </c>
      <c r="X129">
        <f>indirect(address(129,23))+indirect(address(127,24))-indirect(address(128,24))</f>
        <v>0</v>
      </c>
      <c r="Y129">
        <f>indirect(address(129,24))+indirect(address(127,25))-indirect(address(128,25))</f>
        <v>0</v>
      </c>
      <c r="Z129">
        <f>indirect(address(129,25))+indirect(address(127,26))-indirect(address(128,26))</f>
        <v>0</v>
      </c>
      <c r="AA129">
        <f>indirect(address(129,26))+indirect(address(127,27))-indirect(address(128,27))</f>
        <v>0</v>
      </c>
      <c r="AB129">
        <f>indirect(address(129,27))+indirect(address(127,28))-indirect(address(128,28))</f>
        <v>0</v>
      </c>
      <c r="AC129">
        <f>indirect(address(129,28))+indirect(address(127,29))-indirect(address(128,29))</f>
        <v>0</v>
      </c>
      <c r="AD129">
        <f>indirect(address(129,29))+indirect(address(127,30))-indirect(address(128,30))</f>
        <v>0</v>
      </c>
      <c r="AE129">
        <f>indirect(address(129,30))+indirect(address(127,31))-indirect(address(128,31))</f>
        <v>0</v>
      </c>
      <c r="AF129">
        <f>indirect(address(129,31))+indirect(address(127,32))-indirect(address(128,32))</f>
        <v>0</v>
      </c>
      <c r="AG129">
        <f>indirect(address(129,32))+indirect(address(127,33))-indirect(address(128,33))</f>
        <v>0</v>
      </c>
      <c r="AH129">
        <f>indirect(address(129,33))+indirect(address(127,34))-indirect(address(128,34))</f>
        <v>0</v>
      </c>
      <c r="AI129">
        <f>indirect(address(129,34))+indirect(address(127,35))-indirect(address(128,35))</f>
        <v>0</v>
      </c>
      <c r="AJ129">
        <f>indirect(address(129,35))+indirect(address(127,36))-indirect(address(128,36))</f>
        <v>0</v>
      </c>
      <c r="AK129">
        <f>indirect(address(129,36))+indirect(address(127,37))-indirect(address(128,37))</f>
        <v>0</v>
      </c>
      <c r="AL129">
        <f>indirect(address(129,37))+indirect(address(127,38))-indirect(address(128,38))</f>
        <v>0</v>
      </c>
      <c r="AM129">
        <f>indirect(address(129,38))+indirect(address(127,39))-indirect(address(128,39))</f>
        <v>0</v>
      </c>
      <c r="AN129">
        <f>indirect(address(129,39))+indirect(address(127,40))-indirect(address(128,40))</f>
        <v>0</v>
      </c>
      <c r="AO129">
        <f>indirect(address(129,40))+indirect(address(127,41))-indirect(address(128,41))</f>
        <v>0</v>
      </c>
    </row>
    <row r="130" spans="1:41">
      <c r="I130" t="s">
        <v>14</v>
      </c>
      <c r="AO130">
        <f>sum(j130:an130)</f>
        <v>0</v>
      </c>
    </row>
    <row r="131" spans="1:41">
      <c r="I131" t="s">
        <v>15</v>
      </c>
      <c r="J131">
        <f>sumif(Plan!B:B,"204-01208",Plan!j:j)</f>
        <v>0</v>
      </c>
      <c r="K131">
        <f>sumif(Plan!B:B,"204-01208",Plan!k:k)</f>
        <v>0</v>
      </c>
      <c r="L131">
        <f>sumif(Plan!B:B,"204-01208",Plan!l:l)</f>
        <v>0</v>
      </c>
      <c r="M131">
        <f>sumif(Plan!B:B,"204-01208",Plan!m:m)</f>
        <v>0</v>
      </c>
      <c r="N131">
        <f>sumif(Plan!B:B,"204-01208",Plan!n:n)</f>
        <v>0</v>
      </c>
      <c r="O131">
        <f>sumif(Plan!B:B,"204-01208",Plan!o:o)</f>
        <v>0</v>
      </c>
      <c r="P131">
        <f>sumif(Plan!B:B,"204-01208",Plan!p:p)</f>
        <v>0</v>
      </c>
      <c r="Q131">
        <f>sumif(Plan!B:B,"204-01208",Plan!q:q)</f>
        <v>0</v>
      </c>
      <c r="R131">
        <f>sumif(Plan!B:B,"204-01208",Plan!r:r)</f>
        <v>0</v>
      </c>
      <c r="S131">
        <f>sumif(Plan!B:B,"204-01208",Plan!s:s)</f>
        <v>0</v>
      </c>
      <c r="T131">
        <f>sumif(Plan!B:B,"204-01208",Plan!t:t)</f>
        <v>0</v>
      </c>
      <c r="U131">
        <f>sumif(Plan!B:B,"204-01208",Plan!u:u)</f>
        <v>0</v>
      </c>
      <c r="V131">
        <f>sumif(Plan!B:B,"204-01208",Plan!v:v)</f>
        <v>0</v>
      </c>
      <c r="W131">
        <f>sumif(Plan!B:B,"204-01208",Plan!w:w)</f>
        <v>0</v>
      </c>
      <c r="X131">
        <f>sumif(Plan!B:B,"204-01208",Plan!x:x)</f>
        <v>0</v>
      </c>
      <c r="Y131">
        <f>sumif(Plan!B:B,"204-01208",Plan!y:y)</f>
        <v>0</v>
      </c>
      <c r="Z131">
        <f>sumif(Plan!B:B,"204-01208",Plan!z:z)</f>
        <v>0</v>
      </c>
      <c r="AA131">
        <f>sumif(Plan!B:B,"204-01208",Plan!aa:aa)</f>
        <v>0</v>
      </c>
      <c r="AB131">
        <f>sumif(Plan!B:B,"204-01208",Plan!ab:ab)</f>
        <v>0</v>
      </c>
      <c r="AC131">
        <f>sumif(Plan!B:B,"204-01208",Plan!ac:ac)</f>
        <v>0</v>
      </c>
      <c r="AD131">
        <f>sumif(Plan!B:B,"204-01208",Plan!ad:ad)</f>
        <v>0</v>
      </c>
      <c r="AE131">
        <f>sumif(Plan!B:B,"204-01208",Plan!ae:ae)</f>
        <v>0</v>
      </c>
      <c r="AF131">
        <f>sumif(Plan!B:B,"204-01208",Plan!af:af)</f>
        <v>0</v>
      </c>
      <c r="AG131">
        <f>sumif(Plan!B:B,"204-01208",Plan!ag:ag)</f>
        <v>0</v>
      </c>
      <c r="AH131">
        <f>sumif(Plan!B:B,"204-01208",Plan!ah:ah)</f>
        <v>0</v>
      </c>
      <c r="AI131">
        <f>sumif(Plan!B:B,"204-01208",Plan!ai:ai)</f>
        <v>0</v>
      </c>
      <c r="AJ131">
        <f>sumif(Plan!B:B,"204-01208",Plan!aj:aj)</f>
        <v>0</v>
      </c>
      <c r="AK131">
        <f>sumif(Plan!B:B,"204-01208",Plan!ak:ak)</f>
        <v>0</v>
      </c>
      <c r="AL131">
        <f>sumif(Plan!B:B,"204-01208",Plan!al:al)</f>
        <v>0</v>
      </c>
      <c r="AM131">
        <f>sumif(Plan!B:B,"204-01208",Plan!am:am)</f>
        <v>0</v>
      </c>
      <c r="AN131">
        <f>sumif(Plan!B:B,"204-01208",Plan!an:an)</f>
        <v>0</v>
      </c>
      <c r="AO131">
        <f>sumif(Plan!B:B,"204-01208",Plan!ao:ao)</f>
        <v>0</v>
      </c>
    </row>
    <row r="132" spans="1:41">
      <c r="A132" t="s">
        <v>43</v>
      </c>
      <c r="B132" t="s">
        <v>105</v>
      </c>
      <c r="C132" t="s">
        <v>106</v>
      </c>
      <c r="E132">
        <v>0.1</v>
      </c>
      <c r="F132" t="s">
        <v>13</v>
      </c>
      <c r="H132" t="s">
        <v>16</v>
      </c>
      <c r="J132">
        <f>indirect(address(132,9))+indirect(address(130,10))-indirect(address(131,10))</f>
        <v>0</v>
      </c>
      <c r="K132">
        <f>indirect(address(132,10))+indirect(address(130,11))-indirect(address(131,11))</f>
        <v>0</v>
      </c>
      <c r="L132">
        <f>indirect(address(132,11))+indirect(address(130,12))-indirect(address(131,12))</f>
        <v>0</v>
      </c>
      <c r="M132">
        <f>indirect(address(132,12))+indirect(address(130,13))-indirect(address(131,13))</f>
        <v>0</v>
      </c>
      <c r="N132">
        <f>indirect(address(132,13))+indirect(address(130,14))-indirect(address(131,14))</f>
        <v>0</v>
      </c>
      <c r="O132">
        <f>indirect(address(132,14))+indirect(address(130,15))-indirect(address(131,15))</f>
        <v>0</v>
      </c>
      <c r="P132">
        <f>indirect(address(132,15))+indirect(address(130,16))-indirect(address(131,16))</f>
        <v>0</v>
      </c>
      <c r="Q132">
        <f>indirect(address(132,16))+indirect(address(130,17))-indirect(address(131,17))</f>
        <v>0</v>
      </c>
      <c r="R132">
        <f>indirect(address(132,17))+indirect(address(130,18))-indirect(address(131,18))</f>
        <v>0</v>
      </c>
      <c r="S132">
        <f>indirect(address(132,18))+indirect(address(130,19))-indirect(address(131,19))</f>
        <v>0</v>
      </c>
      <c r="T132">
        <f>indirect(address(132,19))+indirect(address(130,20))-indirect(address(131,20))</f>
        <v>0</v>
      </c>
      <c r="U132">
        <f>indirect(address(132,20))+indirect(address(130,21))-indirect(address(131,21))</f>
        <v>0</v>
      </c>
      <c r="V132">
        <f>indirect(address(132,21))+indirect(address(130,22))-indirect(address(131,22))</f>
        <v>0</v>
      </c>
      <c r="W132">
        <f>indirect(address(132,22))+indirect(address(130,23))-indirect(address(131,23))</f>
        <v>0</v>
      </c>
      <c r="X132">
        <f>indirect(address(132,23))+indirect(address(130,24))-indirect(address(131,24))</f>
        <v>0</v>
      </c>
      <c r="Y132">
        <f>indirect(address(132,24))+indirect(address(130,25))-indirect(address(131,25))</f>
        <v>0</v>
      </c>
      <c r="Z132">
        <f>indirect(address(132,25))+indirect(address(130,26))-indirect(address(131,26))</f>
        <v>0</v>
      </c>
      <c r="AA132">
        <f>indirect(address(132,26))+indirect(address(130,27))-indirect(address(131,27))</f>
        <v>0</v>
      </c>
      <c r="AB132">
        <f>indirect(address(132,27))+indirect(address(130,28))-indirect(address(131,28))</f>
        <v>0</v>
      </c>
      <c r="AC132">
        <f>indirect(address(132,28))+indirect(address(130,29))-indirect(address(131,29))</f>
        <v>0</v>
      </c>
      <c r="AD132">
        <f>indirect(address(132,29))+indirect(address(130,30))-indirect(address(131,30))</f>
        <v>0</v>
      </c>
      <c r="AE132">
        <f>indirect(address(132,30))+indirect(address(130,31))-indirect(address(131,31))</f>
        <v>0</v>
      </c>
      <c r="AF132">
        <f>indirect(address(132,31))+indirect(address(130,32))-indirect(address(131,32))</f>
        <v>0</v>
      </c>
      <c r="AG132">
        <f>indirect(address(132,32))+indirect(address(130,33))-indirect(address(131,33))</f>
        <v>0</v>
      </c>
      <c r="AH132">
        <f>indirect(address(132,33))+indirect(address(130,34))-indirect(address(131,34))</f>
        <v>0</v>
      </c>
      <c r="AI132">
        <f>indirect(address(132,34))+indirect(address(130,35))-indirect(address(131,35))</f>
        <v>0</v>
      </c>
      <c r="AJ132">
        <f>indirect(address(132,35))+indirect(address(130,36))-indirect(address(131,36))</f>
        <v>0</v>
      </c>
      <c r="AK132">
        <f>indirect(address(132,36))+indirect(address(130,37))-indirect(address(131,37))</f>
        <v>0</v>
      </c>
      <c r="AL132">
        <f>indirect(address(132,37))+indirect(address(130,38))-indirect(address(131,38))</f>
        <v>0</v>
      </c>
      <c r="AM132">
        <f>indirect(address(132,38))+indirect(address(130,39))-indirect(address(131,39))</f>
        <v>0</v>
      </c>
      <c r="AN132">
        <f>indirect(address(132,39))+indirect(address(130,40))-indirect(address(131,40))</f>
        <v>0</v>
      </c>
      <c r="AO132">
        <f>indirect(address(132,40))+indirect(address(130,41))-indirect(address(131,41))</f>
        <v>0</v>
      </c>
    </row>
    <row r="133" spans="1:41">
      <c r="I133" t="s">
        <v>14</v>
      </c>
      <c r="AO133">
        <f>sum(j133:an133)</f>
        <v>0</v>
      </c>
    </row>
    <row r="134" spans="1:41">
      <c r="I134" t="s">
        <v>15</v>
      </c>
      <c r="J134">
        <f>sumif(Plan!B:B,"827-015000-800",Plan!j:j)</f>
        <v>0</v>
      </c>
      <c r="K134">
        <f>sumif(Plan!B:B,"827-015000-800",Plan!k:k)</f>
        <v>0</v>
      </c>
      <c r="L134">
        <f>sumif(Plan!B:B,"827-015000-800",Plan!l:l)</f>
        <v>0</v>
      </c>
      <c r="M134">
        <f>sumif(Plan!B:B,"827-015000-800",Plan!m:m)</f>
        <v>0</v>
      </c>
      <c r="N134">
        <f>sumif(Plan!B:B,"827-015000-800",Plan!n:n)</f>
        <v>0</v>
      </c>
      <c r="O134">
        <f>sumif(Plan!B:B,"827-015000-800",Plan!o:o)</f>
        <v>0</v>
      </c>
      <c r="P134">
        <f>sumif(Plan!B:B,"827-015000-800",Plan!p:p)</f>
        <v>0</v>
      </c>
      <c r="Q134">
        <f>sumif(Plan!B:B,"827-015000-800",Plan!q:q)</f>
        <v>0</v>
      </c>
      <c r="R134">
        <f>sumif(Plan!B:B,"827-015000-800",Plan!r:r)</f>
        <v>0</v>
      </c>
      <c r="S134">
        <f>sumif(Plan!B:B,"827-015000-800",Plan!s:s)</f>
        <v>0</v>
      </c>
      <c r="T134">
        <f>sumif(Plan!B:B,"827-015000-800",Plan!t:t)</f>
        <v>0</v>
      </c>
      <c r="U134">
        <f>sumif(Plan!B:B,"827-015000-800",Plan!u:u)</f>
        <v>0</v>
      </c>
      <c r="V134">
        <f>sumif(Plan!B:B,"827-015000-800",Plan!v:v)</f>
        <v>0</v>
      </c>
      <c r="W134">
        <f>sumif(Plan!B:B,"827-015000-800",Plan!w:w)</f>
        <v>0</v>
      </c>
      <c r="X134">
        <f>sumif(Plan!B:B,"827-015000-800",Plan!x:x)</f>
        <v>0</v>
      </c>
      <c r="Y134">
        <f>sumif(Plan!B:B,"827-015000-800",Plan!y:y)</f>
        <v>0</v>
      </c>
      <c r="Z134">
        <f>sumif(Plan!B:B,"827-015000-800",Plan!z:z)</f>
        <v>0</v>
      </c>
      <c r="AA134">
        <f>sumif(Plan!B:B,"827-015000-800",Plan!aa:aa)</f>
        <v>0</v>
      </c>
      <c r="AB134">
        <f>sumif(Plan!B:B,"827-015000-800",Plan!ab:ab)</f>
        <v>0</v>
      </c>
      <c r="AC134">
        <f>sumif(Plan!B:B,"827-015000-800",Plan!ac:ac)</f>
        <v>0</v>
      </c>
      <c r="AD134">
        <f>sumif(Plan!B:B,"827-015000-800",Plan!ad:ad)</f>
        <v>0</v>
      </c>
      <c r="AE134">
        <f>sumif(Plan!B:B,"827-015000-800",Plan!ae:ae)</f>
        <v>0</v>
      </c>
      <c r="AF134">
        <f>sumif(Plan!B:B,"827-015000-800",Plan!af:af)</f>
        <v>0</v>
      </c>
      <c r="AG134">
        <f>sumif(Plan!B:B,"827-015000-800",Plan!ag:ag)</f>
        <v>0</v>
      </c>
      <c r="AH134">
        <f>sumif(Plan!B:B,"827-015000-800",Plan!ah:ah)</f>
        <v>0</v>
      </c>
      <c r="AI134">
        <f>sumif(Plan!B:B,"827-015000-800",Plan!ai:ai)</f>
        <v>0</v>
      </c>
      <c r="AJ134">
        <f>sumif(Plan!B:B,"827-015000-800",Plan!aj:aj)</f>
        <v>0</v>
      </c>
      <c r="AK134">
        <f>sumif(Plan!B:B,"827-015000-800",Plan!ak:ak)</f>
        <v>0</v>
      </c>
      <c r="AL134">
        <f>sumif(Plan!B:B,"827-015000-800",Plan!al:al)</f>
        <v>0</v>
      </c>
      <c r="AM134">
        <f>sumif(Plan!B:B,"827-015000-800",Plan!am:am)</f>
        <v>0</v>
      </c>
      <c r="AN134">
        <f>sumif(Plan!B:B,"827-015000-800",Plan!an:an)</f>
        <v>0</v>
      </c>
      <c r="AO134">
        <f>sumif(Plan!B:B,"827-015000-800",Plan!ao:ao)</f>
        <v>0</v>
      </c>
    </row>
    <row r="135" spans="1:41">
      <c r="A135" t="s">
        <v>17</v>
      </c>
      <c r="B135" t="s">
        <v>109</v>
      </c>
      <c r="C135" t="s">
        <v>110</v>
      </c>
      <c r="E135">
        <v>1</v>
      </c>
      <c r="F135" t="s">
        <v>13</v>
      </c>
      <c r="H135" t="s">
        <v>16</v>
      </c>
      <c r="J135">
        <f>indirect(address(135,9))+indirect(address(133,10))-indirect(address(134,10))</f>
        <v>0</v>
      </c>
      <c r="K135">
        <f>indirect(address(135,10))+indirect(address(133,11))-indirect(address(134,11))</f>
        <v>0</v>
      </c>
      <c r="L135">
        <f>indirect(address(135,11))+indirect(address(133,12))-indirect(address(134,12))</f>
        <v>0</v>
      </c>
      <c r="M135">
        <f>indirect(address(135,12))+indirect(address(133,13))-indirect(address(134,13))</f>
        <v>0</v>
      </c>
      <c r="N135">
        <f>indirect(address(135,13))+indirect(address(133,14))-indirect(address(134,14))</f>
        <v>0</v>
      </c>
      <c r="O135">
        <f>indirect(address(135,14))+indirect(address(133,15))-indirect(address(134,15))</f>
        <v>0</v>
      </c>
      <c r="P135">
        <f>indirect(address(135,15))+indirect(address(133,16))-indirect(address(134,16))</f>
        <v>0</v>
      </c>
      <c r="Q135">
        <f>indirect(address(135,16))+indirect(address(133,17))-indirect(address(134,17))</f>
        <v>0</v>
      </c>
      <c r="R135">
        <f>indirect(address(135,17))+indirect(address(133,18))-indirect(address(134,18))</f>
        <v>0</v>
      </c>
      <c r="S135">
        <f>indirect(address(135,18))+indirect(address(133,19))-indirect(address(134,19))</f>
        <v>0</v>
      </c>
      <c r="T135">
        <f>indirect(address(135,19))+indirect(address(133,20))-indirect(address(134,20))</f>
        <v>0</v>
      </c>
      <c r="U135">
        <f>indirect(address(135,20))+indirect(address(133,21))-indirect(address(134,21))</f>
        <v>0</v>
      </c>
      <c r="V135">
        <f>indirect(address(135,21))+indirect(address(133,22))-indirect(address(134,22))</f>
        <v>0</v>
      </c>
      <c r="W135">
        <f>indirect(address(135,22))+indirect(address(133,23))-indirect(address(134,23))</f>
        <v>0</v>
      </c>
      <c r="X135">
        <f>indirect(address(135,23))+indirect(address(133,24))-indirect(address(134,24))</f>
        <v>0</v>
      </c>
      <c r="Y135">
        <f>indirect(address(135,24))+indirect(address(133,25))-indirect(address(134,25))</f>
        <v>0</v>
      </c>
      <c r="Z135">
        <f>indirect(address(135,25))+indirect(address(133,26))-indirect(address(134,26))</f>
        <v>0</v>
      </c>
      <c r="AA135">
        <f>indirect(address(135,26))+indirect(address(133,27))-indirect(address(134,27))</f>
        <v>0</v>
      </c>
      <c r="AB135">
        <f>indirect(address(135,27))+indirect(address(133,28))-indirect(address(134,28))</f>
        <v>0</v>
      </c>
      <c r="AC135">
        <f>indirect(address(135,28))+indirect(address(133,29))-indirect(address(134,29))</f>
        <v>0</v>
      </c>
      <c r="AD135">
        <f>indirect(address(135,29))+indirect(address(133,30))-indirect(address(134,30))</f>
        <v>0</v>
      </c>
      <c r="AE135">
        <f>indirect(address(135,30))+indirect(address(133,31))-indirect(address(134,31))</f>
        <v>0</v>
      </c>
      <c r="AF135">
        <f>indirect(address(135,31))+indirect(address(133,32))-indirect(address(134,32))</f>
        <v>0</v>
      </c>
      <c r="AG135">
        <f>indirect(address(135,32))+indirect(address(133,33))-indirect(address(134,33))</f>
        <v>0</v>
      </c>
      <c r="AH135">
        <f>indirect(address(135,33))+indirect(address(133,34))-indirect(address(134,34))</f>
        <v>0</v>
      </c>
      <c r="AI135">
        <f>indirect(address(135,34))+indirect(address(133,35))-indirect(address(134,35))</f>
        <v>0</v>
      </c>
      <c r="AJ135">
        <f>indirect(address(135,35))+indirect(address(133,36))-indirect(address(134,36))</f>
        <v>0</v>
      </c>
      <c r="AK135">
        <f>indirect(address(135,36))+indirect(address(133,37))-indirect(address(134,37))</f>
        <v>0</v>
      </c>
      <c r="AL135">
        <f>indirect(address(135,37))+indirect(address(133,38))-indirect(address(134,38))</f>
        <v>0</v>
      </c>
      <c r="AM135">
        <f>indirect(address(135,38))+indirect(address(133,39))-indirect(address(134,39))</f>
        <v>0</v>
      </c>
      <c r="AN135">
        <f>indirect(address(135,39))+indirect(address(133,40))-indirect(address(134,40))</f>
        <v>0</v>
      </c>
      <c r="AO135">
        <f>indirect(address(135,40))+indirect(address(133,41))-indirect(address(134,41))</f>
        <v>0</v>
      </c>
    </row>
    <row r="136" spans="1:41">
      <c r="I136" t="s">
        <v>14</v>
      </c>
      <c r="AO136">
        <f>sum(j136:an136)</f>
        <v>0</v>
      </c>
    </row>
    <row r="137" spans="1:41">
      <c r="I137" t="s">
        <v>15</v>
      </c>
      <c r="J137">
        <f>sumif(Plan!B:B,"827-007000-300",Plan!j:j)</f>
        <v>0</v>
      </c>
      <c r="K137">
        <f>sumif(Plan!B:B,"827-007000-300",Plan!k:k)</f>
        <v>0</v>
      </c>
      <c r="L137">
        <f>sumif(Plan!B:B,"827-007000-300",Plan!l:l)</f>
        <v>0</v>
      </c>
      <c r="M137">
        <f>sumif(Plan!B:B,"827-007000-300",Plan!m:m)</f>
        <v>0</v>
      </c>
      <c r="N137">
        <f>sumif(Plan!B:B,"827-007000-300",Plan!n:n)</f>
        <v>0</v>
      </c>
      <c r="O137">
        <f>sumif(Plan!B:B,"827-007000-300",Plan!o:o)</f>
        <v>0</v>
      </c>
      <c r="P137">
        <f>sumif(Plan!B:B,"827-007000-300",Plan!p:p)</f>
        <v>0</v>
      </c>
      <c r="Q137">
        <f>sumif(Plan!B:B,"827-007000-300",Plan!q:q)</f>
        <v>0</v>
      </c>
      <c r="R137">
        <f>sumif(Plan!B:B,"827-007000-300",Plan!r:r)</f>
        <v>0</v>
      </c>
      <c r="S137">
        <f>sumif(Plan!B:B,"827-007000-300",Plan!s:s)</f>
        <v>0</v>
      </c>
      <c r="T137">
        <f>sumif(Plan!B:B,"827-007000-300",Plan!t:t)</f>
        <v>0</v>
      </c>
      <c r="U137">
        <f>sumif(Plan!B:B,"827-007000-300",Plan!u:u)</f>
        <v>0</v>
      </c>
      <c r="V137">
        <f>sumif(Plan!B:B,"827-007000-300",Plan!v:v)</f>
        <v>0</v>
      </c>
      <c r="W137">
        <f>sumif(Plan!B:B,"827-007000-300",Plan!w:w)</f>
        <v>0</v>
      </c>
      <c r="X137">
        <f>sumif(Plan!B:B,"827-007000-300",Plan!x:x)</f>
        <v>0</v>
      </c>
      <c r="Y137">
        <f>sumif(Plan!B:B,"827-007000-300",Plan!y:y)</f>
        <v>0</v>
      </c>
      <c r="Z137">
        <f>sumif(Plan!B:B,"827-007000-300",Plan!z:z)</f>
        <v>0</v>
      </c>
      <c r="AA137">
        <f>sumif(Plan!B:B,"827-007000-300",Plan!aa:aa)</f>
        <v>0</v>
      </c>
      <c r="AB137">
        <f>sumif(Plan!B:B,"827-007000-300",Plan!ab:ab)</f>
        <v>0</v>
      </c>
      <c r="AC137">
        <f>sumif(Plan!B:B,"827-007000-300",Plan!ac:ac)</f>
        <v>0</v>
      </c>
      <c r="AD137">
        <f>sumif(Plan!B:B,"827-007000-300",Plan!ad:ad)</f>
        <v>0</v>
      </c>
      <c r="AE137">
        <f>sumif(Plan!B:B,"827-007000-300",Plan!ae:ae)</f>
        <v>0</v>
      </c>
      <c r="AF137">
        <f>sumif(Plan!B:B,"827-007000-300",Plan!af:af)</f>
        <v>0</v>
      </c>
      <c r="AG137">
        <f>sumif(Plan!B:B,"827-007000-300",Plan!ag:ag)</f>
        <v>0</v>
      </c>
      <c r="AH137">
        <f>sumif(Plan!B:B,"827-007000-300",Plan!ah:ah)</f>
        <v>0</v>
      </c>
      <c r="AI137">
        <f>sumif(Plan!B:B,"827-007000-300",Plan!ai:ai)</f>
        <v>0</v>
      </c>
      <c r="AJ137">
        <f>sumif(Plan!B:B,"827-007000-300",Plan!aj:aj)</f>
        <v>0</v>
      </c>
      <c r="AK137">
        <f>sumif(Plan!B:B,"827-007000-300",Plan!ak:ak)</f>
        <v>0</v>
      </c>
      <c r="AL137">
        <f>sumif(Plan!B:B,"827-007000-300",Plan!al:al)</f>
        <v>0</v>
      </c>
      <c r="AM137">
        <f>sumif(Plan!B:B,"827-007000-300",Plan!am:am)</f>
        <v>0</v>
      </c>
      <c r="AN137">
        <f>sumif(Plan!B:B,"827-007000-300",Plan!an:an)</f>
        <v>0</v>
      </c>
      <c r="AO137">
        <f>sumif(Plan!B:B,"827-007000-300",Plan!ao:ao)</f>
        <v>0</v>
      </c>
    </row>
    <row r="138" spans="1:41">
      <c r="A138" t="s">
        <v>17</v>
      </c>
      <c r="B138" t="s">
        <v>111</v>
      </c>
      <c r="C138" t="s">
        <v>112</v>
      </c>
      <c r="E138">
        <v>1</v>
      </c>
      <c r="F138" t="s">
        <v>13</v>
      </c>
      <c r="H138" t="s">
        <v>16</v>
      </c>
      <c r="J138">
        <f>indirect(address(138,9))+indirect(address(136,10))-indirect(address(137,10))</f>
        <v>0</v>
      </c>
      <c r="K138">
        <f>indirect(address(138,10))+indirect(address(136,11))-indirect(address(137,11))</f>
        <v>0</v>
      </c>
      <c r="L138">
        <f>indirect(address(138,11))+indirect(address(136,12))-indirect(address(137,12))</f>
        <v>0</v>
      </c>
      <c r="M138">
        <f>indirect(address(138,12))+indirect(address(136,13))-indirect(address(137,13))</f>
        <v>0</v>
      </c>
      <c r="N138">
        <f>indirect(address(138,13))+indirect(address(136,14))-indirect(address(137,14))</f>
        <v>0</v>
      </c>
      <c r="O138">
        <f>indirect(address(138,14))+indirect(address(136,15))-indirect(address(137,15))</f>
        <v>0</v>
      </c>
      <c r="P138">
        <f>indirect(address(138,15))+indirect(address(136,16))-indirect(address(137,16))</f>
        <v>0</v>
      </c>
      <c r="Q138">
        <f>indirect(address(138,16))+indirect(address(136,17))-indirect(address(137,17))</f>
        <v>0</v>
      </c>
      <c r="R138">
        <f>indirect(address(138,17))+indirect(address(136,18))-indirect(address(137,18))</f>
        <v>0</v>
      </c>
      <c r="S138">
        <f>indirect(address(138,18))+indirect(address(136,19))-indirect(address(137,19))</f>
        <v>0</v>
      </c>
      <c r="T138">
        <f>indirect(address(138,19))+indirect(address(136,20))-indirect(address(137,20))</f>
        <v>0</v>
      </c>
      <c r="U138">
        <f>indirect(address(138,20))+indirect(address(136,21))-indirect(address(137,21))</f>
        <v>0</v>
      </c>
      <c r="V138">
        <f>indirect(address(138,21))+indirect(address(136,22))-indirect(address(137,22))</f>
        <v>0</v>
      </c>
      <c r="W138">
        <f>indirect(address(138,22))+indirect(address(136,23))-indirect(address(137,23))</f>
        <v>0</v>
      </c>
      <c r="X138">
        <f>indirect(address(138,23))+indirect(address(136,24))-indirect(address(137,24))</f>
        <v>0</v>
      </c>
      <c r="Y138">
        <f>indirect(address(138,24))+indirect(address(136,25))-indirect(address(137,25))</f>
        <v>0</v>
      </c>
      <c r="Z138">
        <f>indirect(address(138,25))+indirect(address(136,26))-indirect(address(137,26))</f>
        <v>0</v>
      </c>
      <c r="AA138">
        <f>indirect(address(138,26))+indirect(address(136,27))-indirect(address(137,27))</f>
        <v>0</v>
      </c>
      <c r="AB138">
        <f>indirect(address(138,27))+indirect(address(136,28))-indirect(address(137,28))</f>
        <v>0</v>
      </c>
      <c r="AC138">
        <f>indirect(address(138,28))+indirect(address(136,29))-indirect(address(137,29))</f>
        <v>0</v>
      </c>
      <c r="AD138">
        <f>indirect(address(138,29))+indirect(address(136,30))-indirect(address(137,30))</f>
        <v>0</v>
      </c>
      <c r="AE138">
        <f>indirect(address(138,30))+indirect(address(136,31))-indirect(address(137,31))</f>
        <v>0</v>
      </c>
      <c r="AF138">
        <f>indirect(address(138,31))+indirect(address(136,32))-indirect(address(137,32))</f>
        <v>0</v>
      </c>
      <c r="AG138">
        <f>indirect(address(138,32))+indirect(address(136,33))-indirect(address(137,33))</f>
        <v>0</v>
      </c>
      <c r="AH138">
        <f>indirect(address(138,33))+indirect(address(136,34))-indirect(address(137,34))</f>
        <v>0</v>
      </c>
      <c r="AI138">
        <f>indirect(address(138,34))+indirect(address(136,35))-indirect(address(137,35))</f>
        <v>0</v>
      </c>
      <c r="AJ138">
        <f>indirect(address(138,35))+indirect(address(136,36))-indirect(address(137,36))</f>
        <v>0</v>
      </c>
      <c r="AK138">
        <f>indirect(address(138,36))+indirect(address(136,37))-indirect(address(137,37))</f>
        <v>0</v>
      </c>
      <c r="AL138">
        <f>indirect(address(138,37))+indirect(address(136,38))-indirect(address(137,38))</f>
        <v>0</v>
      </c>
      <c r="AM138">
        <f>indirect(address(138,38))+indirect(address(136,39))-indirect(address(137,39))</f>
        <v>0</v>
      </c>
      <c r="AN138">
        <f>indirect(address(138,39))+indirect(address(136,40))-indirect(address(137,40))</f>
        <v>0</v>
      </c>
      <c r="AO138">
        <f>indirect(address(138,40))+indirect(address(136,41))-indirect(address(137,41))</f>
        <v>0</v>
      </c>
    </row>
    <row r="139" spans="1:41">
      <c r="I139" t="s">
        <v>14</v>
      </c>
      <c r="AO139">
        <f>sum(j139:an139)</f>
        <v>0</v>
      </c>
    </row>
    <row r="140" spans="1:41">
      <c r="I140" t="s">
        <v>15</v>
      </c>
      <c r="J140">
        <f>sumif(Plan!B:B,"827-009000-120",Plan!j:j)</f>
        <v>0</v>
      </c>
      <c r="K140">
        <f>sumif(Plan!B:B,"827-009000-120",Plan!k:k)</f>
        <v>0</v>
      </c>
      <c r="L140">
        <f>sumif(Plan!B:B,"827-009000-120",Plan!l:l)</f>
        <v>0</v>
      </c>
      <c r="M140">
        <f>sumif(Plan!B:B,"827-009000-120",Plan!m:m)</f>
        <v>0</v>
      </c>
      <c r="N140">
        <f>sumif(Plan!B:B,"827-009000-120",Plan!n:n)</f>
        <v>0</v>
      </c>
      <c r="O140">
        <f>sumif(Plan!B:B,"827-009000-120",Plan!o:o)</f>
        <v>0</v>
      </c>
      <c r="P140">
        <f>sumif(Plan!B:B,"827-009000-120",Plan!p:p)</f>
        <v>0</v>
      </c>
      <c r="Q140">
        <f>sumif(Plan!B:B,"827-009000-120",Plan!q:q)</f>
        <v>0</v>
      </c>
      <c r="R140">
        <f>sumif(Plan!B:B,"827-009000-120",Plan!r:r)</f>
        <v>0</v>
      </c>
      <c r="S140">
        <f>sumif(Plan!B:B,"827-009000-120",Plan!s:s)</f>
        <v>0</v>
      </c>
      <c r="T140">
        <f>sumif(Plan!B:B,"827-009000-120",Plan!t:t)</f>
        <v>0</v>
      </c>
      <c r="U140">
        <f>sumif(Plan!B:B,"827-009000-120",Plan!u:u)</f>
        <v>0</v>
      </c>
      <c r="V140">
        <f>sumif(Plan!B:B,"827-009000-120",Plan!v:v)</f>
        <v>0</v>
      </c>
      <c r="W140">
        <f>sumif(Plan!B:B,"827-009000-120",Plan!w:w)</f>
        <v>0</v>
      </c>
      <c r="X140">
        <f>sumif(Plan!B:B,"827-009000-120",Plan!x:x)</f>
        <v>0</v>
      </c>
      <c r="Y140">
        <f>sumif(Plan!B:B,"827-009000-120",Plan!y:y)</f>
        <v>0</v>
      </c>
      <c r="Z140">
        <f>sumif(Plan!B:B,"827-009000-120",Plan!z:z)</f>
        <v>0</v>
      </c>
      <c r="AA140">
        <f>sumif(Plan!B:B,"827-009000-120",Plan!aa:aa)</f>
        <v>0</v>
      </c>
      <c r="AB140">
        <f>sumif(Plan!B:B,"827-009000-120",Plan!ab:ab)</f>
        <v>0</v>
      </c>
      <c r="AC140">
        <f>sumif(Plan!B:B,"827-009000-120",Plan!ac:ac)</f>
        <v>0</v>
      </c>
      <c r="AD140">
        <f>sumif(Plan!B:B,"827-009000-120",Plan!ad:ad)</f>
        <v>0</v>
      </c>
      <c r="AE140">
        <f>sumif(Plan!B:B,"827-009000-120",Plan!ae:ae)</f>
        <v>0</v>
      </c>
      <c r="AF140">
        <f>sumif(Plan!B:B,"827-009000-120",Plan!af:af)</f>
        <v>0</v>
      </c>
      <c r="AG140">
        <f>sumif(Plan!B:B,"827-009000-120",Plan!ag:ag)</f>
        <v>0</v>
      </c>
      <c r="AH140">
        <f>sumif(Plan!B:B,"827-009000-120",Plan!ah:ah)</f>
        <v>0</v>
      </c>
      <c r="AI140">
        <f>sumif(Plan!B:B,"827-009000-120",Plan!ai:ai)</f>
        <v>0</v>
      </c>
      <c r="AJ140">
        <f>sumif(Plan!B:B,"827-009000-120",Plan!aj:aj)</f>
        <v>0</v>
      </c>
      <c r="AK140">
        <f>sumif(Plan!B:B,"827-009000-120",Plan!ak:ak)</f>
        <v>0</v>
      </c>
      <c r="AL140">
        <f>sumif(Plan!B:B,"827-009000-120",Plan!al:al)</f>
        <v>0</v>
      </c>
      <c r="AM140">
        <f>sumif(Plan!B:B,"827-009000-120",Plan!am:am)</f>
        <v>0</v>
      </c>
      <c r="AN140">
        <f>sumif(Plan!B:B,"827-009000-120",Plan!an:an)</f>
        <v>0</v>
      </c>
      <c r="AO140">
        <f>sumif(Plan!B:B,"827-009000-120",Plan!ao:ao)</f>
        <v>0</v>
      </c>
    </row>
    <row r="141" spans="1:41">
      <c r="A141" t="s">
        <v>17</v>
      </c>
      <c r="B141" t="s">
        <v>99</v>
      </c>
      <c r="C141" t="s">
        <v>113</v>
      </c>
      <c r="E141">
        <v>2</v>
      </c>
      <c r="F141" t="s">
        <v>13</v>
      </c>
      <c r="H141" t="s">
        <v>16</v>
      </c>
      <c r="J141">
        <f>indirect(address(141,9))+indirect(address(139,10))-indirect(address(140,10))</f>
        <v>0</v>
      </c>
      <c r="K141">
        <f>indirect(address(141,10))+indirect(address(139,11))-indirect(address(140,11))</f>
        <v>0</v>
      </c>
      <c r="L141">
        <f>indirect(address(141,11))+indirect(address(139,12))-indirect(address(140,12))</f>
        <v>0</v>
      </c>
      <c r="M141">
        <f>indirect(address(141,12))+indirect(address(139,13))-indirect(address(140,13))</f>
        <v>0</v>
      </c>
      <c r="N141">
        <f>indirect(address(141,13))+indirect(address(139,14))-indirect(address(140,14))</f>
        <v>0</v>
      </c>
      <c r="O141">
        <f>indirect(address(141,14))+indirect(address(139,15))-indirect(address(140,15))</f>
        <v>0</v>
      </c>
      <c r="P141">
        <f>indirect(address(141,15))+indirect(address(139,16))-indirect(address(140,16))</f>
        <v>0</v>
      </c>
      <c r="Q141">
        <f>indirect(address(141,16))+indirect(address(139,17))-indirect(address(140,17))</f>
        <v>0</v>
      </c>
      <c r="R141">
        <f>indirect(address(141,17))+indirect(address(139,18))-indirect(address(140,18))</f>
        <v>0</v>
      </c>
      <c r="S141">
        <f>indirect(address(141,18))+indirect(address(139,19))-indirect(address(140,19))</f>
        <v>0</v>
      </c>
      <c r="T141">
        <f>indirect(address(141,19))+indirect(address(139,20))-indirect(address(140,20))</f>
        <v>0</v>
      </c>
      <c r="U141">
        <f>indirect(address(141,20))+indirect(address(139,21))-indirect(address(140,21))</f>
        <v>0</v>
      </c>
      <c r="V141">
        <f>indirect(address(141,21))+indirect(address(139,22))-indirect(address(140,22))</f>
        <v>0</v>
      </c>
      <c r="W141">
        <f>indirect(address(141,22))+indirect(address(139,23))-indirect(address(140,23))</f>
        <v>0</v>
      </c>
      <c r="X141">
        <f>indirect(address(141,23))+indirect(address(139,24))-indirect(address(140,24))</f>
        <v>0</v>
      </c>
      <c r="Y141">
        <f>indirect(address(141,24))+indirect(address(139,25))-indirect(address(140,25))</f>
        <v>0</v>
      </c>
      <c r="Z141">
        <f>indirect(address(141,25))+indirect(address(139,26))-indirect(address(140,26))</f>
        <v>0</v>
      </c>
      <c r="AA141">
        <f>indirect(address(141,26))+indirect(address(139,27))-indirect(address(140,27))</f>
        <v>0</v>
      </c>
      <c r="AB141">
        <f>indirect(address(141,27))+indirect(address(139,28))-indirect(address(140,28))</f>
        <v>0</v>
      </c>
      <c r="AC141">
        <f>indirect(address(141,28))+indirect(address(139,29))-indirect(address(140,29))</f>
        <v>0</v>
      </c>
      <c r="AD141">
        <f>indirect(address(141,29))+indirect(address(139,30))-indirect(address(140,30))</f>
        <v>0</v>
      </c>
      <c r="AE141">
        <f>indirect(address(141,30))+indirect(address(139,31))-indirect(address(140,31))</f>
        <v>0</v>
      </c>
      <c r="AF141">
        <f>indirect(address(141,31))+indirect(address(139,32))-indirect(address(140,32))</f>
        <v>0</v>
      </c>
      <c r="AG141">
        <f>indirect(address(141,32))+indirect(address(139,33))-indirect(address(140,33))</f>
        <v>0</v>
      </c>
      <c r="AH141">
        <f>indirect(address(141,33))+indirect(address(139,34))-indirect(address(140,34))</f>
        <v>0</v>
      </c>
      <c r="AI141">
        <f>indirect(address(141,34))+indirect(address(139,35))-indirect(address(140,35))</f>
        <v>0</v>
      </c>
      <c r="AJ141">
        <f>indirect(address(141,35))+indirect(address(139,36))-indirect(address(140,36))</f>
        <v>0</v>
      </c>
      <c r="AK141">
        <f>indirect(address(141,36))+indirect(address(139,37))-indirect(address(140,37))</f>
        <v>0</v>
      </c>
      <c r="AL141">
        <f>indirect(address(141,37))+indirect(address(139,38))-indirect(address(140,38))</f>
        <v>0</v>
      </c>
      <c r="AM141">
        <f>indirect(address(141,38))+indirect(address(139,39))-indirect(address(140,39))</f>
        <v>0</v>
      </c>
      <c r="AN141">
        <f>indirect(address(141,39))+indirect(address(139,40))-indirect(address(140,40))</f>
        <v>0</v>
      </c>
      <c r="AO141">
        <f>indirect(address(141,40))+indirect(address(139,41))-indirect(address(140,41))</f>
        <v>0</v>
      </c>
    </row>
    <row r="142" spans="1:41">
      <c r="I142" t="s">
        <v>14</v>
      </c>
      <c r="AO142">
        <f>sum(j142:an142)</f>
        <v>0</v>
      </c>
    </row>
    <row r="143" spans="1:41">
      <c r="I143" t="s">
        <v>15</v>
      </c>
      <c r="J143">
        <f>sumif(Plan!B:B,"263-000000-010",Plan!j:j)</f>
        <v>0</v>
      </c>
      <c r="K143">
        <f>sumif(Plan!B:B,"263-000000-010",Plan!k:k)</f>
        <v>0</v>
      </c>
      <c r="L143">
        <f>sumif(Plan!B:B,"263-000000-010",Plan!l:l)</f>
        <v>0</v>
      </c>
      <c r="M143">
        <f>sumif(Plan!B:B,"263-000000-010",Plan!m:m)</f>
        <v>0</v>
      </c>
      <c r="N143">
        <f>sumif(Plan!B:B,"263-000000-010",Plan!n:n)</f>
        <v>0</v>
      </c>
      <c r="O143">
        <f>sumif(Plan!B:B,"263-000000-010",Plan!o:o)</f>
        <v>0</v>
      </c>
      <c r="P143">
        <f>sumif(Plan!B:B,"263-000000-010",Plan!p:p)</f>
        <v>0</v>
      </c>
      <c r="Q143">
        <f>sumif(Plan!B:B,"263-000000-010",Plan!q:q)</f>
        <v>0</v>
      </c>
      <c r="R143">
        <f>sumif(Plan!B:B,"263-000000-010",Plan!r:r)</f>
        <v>0</v>
      </c>
      <c r="S143">
        <f>sumif(Plan!B:B,"263-000000-010",Plan!s:s)</f>
        <v>0</v>
      </c>
      <c r="T143">
        <f>sumif(Plan!B:B,"263-000000-010",Plan!t:t)</f>
        <v>0</v>
      </c>
      <c r="U143">
        <f>sumif(Plan!B:B,"263-000000-010",Plan!u:u)</f>
        <v>0</v>
      </c>
      <c r="V143">
        <f>sumif(Plan!B:B,"263-000000-010",Plan!v:v)</f>
        <v>0</v>
      </c>
      <c r="W143">
        <f>sumif(Plan!B:B,"263-000000-010",Plan!w:w)</f>
        <v>0</v>
      </c>
      <c r="X143">
        <f>sumif(Plan!B:B,"263-000000-010",Plan!x:x)</f>
        <v>0</v>
      </c>
      <c r="Y143">
        <f>sumif(Plan!B:B,"263-000000-010",Plan!y:y)</f>
        <v>0</v>
      </c>
      <c r="Z143">
        <f>sumif(Plan!B:B,"263-000000-010",Plan!z:z)</f>
        <v>0</v>
      </c>
      <c r="AA143">
        <f>sumif(Plan!B:B,"263-000000-010",Plan!aa:aa)</f>
        <v>0</v>
      </c>
      <c r="AB143">
        <f>sumif(Plan!B:B,"263-000000-010",Plan!ab:ab)</f>
        <v>0</v>
      </c>
      <c r="AC143">
        <f>sumif(Plan!B:B,"263-000000-010",Plan!ac:ac)</f>
        <v>0</v>
      </c>
      <c r="AD143">
        <f>sumif(Plan!B:B,"263-000000-010",Plan!ad:ad)</f>
        <v>0</v>
      </c>
      <c r="AE143">
        <f>sumif(Plan!B:B,"263-000000-010",Plan!ae:ae)</f>
        <v>0</v>
      </c>
      <c r="AF143">
        <f>sumif(Plan!B:B,"263-000000-010",Plan!af:af)</f>
        <v>0</v>
      </c>
      <c r="AG143">
        <f>sumif(Plan!B:B,"263-000000-010",Plan!ag:ag)</f>
        <v>0</v>
      </c>
      <c r="AH143">
        <f>sumif(Plan!B:B,"263-000000-010",Plan!ah:ah)</f>
        <v>0</v>
      </c>
      <c r="AI143">
        <f>sumif(Plan!B:B,"263-000000-010",Plan!ai:ai)</f>
        <v>0</v>
      </c>
      <c r="AJ143">
        <f>sumif(Plan!B:B,"263-000000-010",Plan!aj:aj)</f>
        <v>0</v>
      </c>
      <c r="AK143">
        <f>sumif(Plan!B:B,"263-000000-010",Plan!ak:ak)</f>
        <v>0</v>
      </c>
      <c r="AL143">
        <f>sumif(Plan!B:B,"263-000000-010",Plan!al:al)</f>
        <v>0</v>
      </c>
      <c r="AM143">
        <f>sumif(Plan!B:B,"263-000000-010",Plan!am:am)</f>
        <v>0</v>
      </c>
      <c r="AN143">
        <f>sumif(Plan!B:B,"263-000000-010",Plan!an:an)</f>
        <v>0</v>
      </c>
      <c r="AO143">
        <f>sumif(Plan!B:B,"263-000000-010",Plan!ao:ao)</f>
        <v>0</v>
      </c>
    </row>
    <row r="144" spans="1:41">
      <c r="A144" t="s">
        <v>22</v>
      </c>
      <c r="B144" t="s">
        <v>93</v>
      </c>
      <c r="C144" t="s">
        <v>114</v>
      </c>
      <c r="E144">
        <v>1</v>
      </c>
      <c r="F144" t="s">
        <v>13</v>
      </c>
      <c r="H144" t="s">
        <v>16</v>
      </c>
      <c r="J144">
        <f>indirect(address(144,9))+indirect(address(142,10))-indirect(address(143,10))</f>
        <v>0</v>
      </c>
      <c r="K144">
        <f>indirect(address(144,10))+indirect(address(142,11))-indirect(address(143,11))</f>
        <v>0</v>
      </c>
      <c r="L144">
        <f>indirect(address(144,11))+indirect(address(142,12))-indirect(address(143,12))</f>
        <v>0</v>
      </c>
      <c r="M144">
        <f>indirect(address(144,12))+indirect(address(142,13))-indirect(address(143,13))</f>
        <v>0</v>
      </c>
      <c r="N144">
        <f>indirect(address(144,13))+indirect(address(142,14))-indirect(address(143,14))</f>
        <v>0</v>
      </c>
      <c r="O144">
        <f>indirect(address(144,14))+indirect(address(142,15))-indirect(address(143,15))</f>
        <v>0</v>
      </c>
      <c r="P144">
        <f>indirect(address(144,15))+indirect(address(142,16))-indirect(address(143,16))</f>
        <v>0</v>
      </c>
      <c r="Q144">
        <f>indirect(address(144,16))+indirect(address(142,17))-indirect(address(143,17))</f>
        <v>0</v>
      </c>
      <c r="R144">
        <f>indirect(address(144,17))+indirect(address(142,18))-indirect(address(143,18))</f>
        <v>0</v>
      </c>
      <c r="S144">
        <f>indirect(address(144,18))+indirect(address(142,19))-indirect(address(143,19))</f>
        <v>0</v>
      </c>
      <c r="T144">
        <f>indirect(address(144,19))+indirect(address(142,20))-indirect(address(143,20))</f>
        <v>0</v>
      </c>
      <c r="U144">
        <f>indirect(address(144,20))+indirect(address(142,21))-indirect(address(143,21))</f>
        <v>0</v>
      </c>
      <c r="V144">
        <f>indirect(address(144,21))+indirect(address(142,22))-indirect(address(143,22))</f>
        <v>0</v>
      </c>
      <c r="W144">
        <f>indirect(address(144,22))+indirect(address(142,23))-indirect(address(143,23))</f>
        <v>0</v>
      </c>
      <c r="X144">
        <f>indirect(address(144,23))+indirect(address(142,24))-indirect(address(143,24))</f>
        <v>0</v>
      </c>
      <c r="Y144">
        <f>indirect(address(144,24))+indirect(address(142,25))-indirect(address(143,25))</f>
        <v>0</v>
      </c>
      <c r="Z144">
        <f>indirect(address(144,25))+indirect(address(142,26))-indirect(address(143,26))</f>
        <v>0</v>
      </c>
      <c r="AA144">
        <f>indirect(address(144,26))+indirect(address(142,27))-indirect(address(143,27))</f>
        <v>0</v>
      </c>
      <c r="AB144">
        <f>indirect(address(144,27))+indirect(address(142,28))-indirect(address(143,28))</f>
        <v>0</v>
      </c>
      <c r="AC144">
        <f>indirect(address(144,28))+indirect(address(142,29))-indirect(address(143,29))</f>
        <v>0</v>
      </c>
      <c r="AD144">
        <f>indirect(address(144,29))+indirect(address(142,30))-indirect(address(143,30))</f>
        <v>0</v>
      </c>
      <c r="AE144">
        <f>indirect(address(144,30))+indirect(address(142,31))-indirect(address(143,31))</f>
        <v>0</v>
      </c>
      <c r="AF144">
        <f>indirect(address(144,31))+indirect(address(142,32))-indirect(address(143,32))</f>
        <v>0</v>
      </c>
      <c r="AG144">
        <f>indirect(address(144,32))+indirect(address(142,33))-indirect(address(143,33))</f>
        <v>0</v>
      </c>
      <c r="AH144">
        <f>indirect(address(144,33))+indirect(address(142,34))-indirect(address(143,34))</f>
        <v>0</v>
      </c>
      <c r="AI144">
        <f>indirect(address(144,34))+indirect(address(142,35))-indirect(address(143,35))</f>
        <v>0</v>
      </c>
      <c r="AJ144">
        <f>indirect(address(144,35))+indirect(address(142,36))-indirect(address(143,36))</f>
        <v>0</v>
      </c>
      <c r="AK144">
        <f>indirect(address(144,36))+indirect(address(142,37))-indirect(address(143,37))</f>
        <v>0</v>
      </c>
      <c r="AL144">
        <f>indirect(address(144,37))+indirect(address(142,38))-indirect(address(143,38))</f>
        <v>0</v>
      </c>
      <c r="AM144">
        <f>indirect(address(144,38))+indirect(address(142,39))-indirect(address(143,39))</f>
        <v>0</v>
      </c>
      <c r="AN144">
        <f>indirect(address(144,39))+indirect(address(142,40))-indirect(address(143,40))</f>
        <v>0</v>
      </c>
      <c r="AO144">
        <f>indirect(address(144,40))+indirect(address(142,41))-indirect(address(143,41))</f>
        <v>0</v>
      </c>
    </row>
    <row r="145" spans="1:41">
      <c r="I145" t="s">
        <v>14</v>
      </c>
      <c r="AO145">
        <f>sum(j145:an145)</f>
        <v>0</v>
      </c>
    </row>
    <row r="146" spans="1:41">
      <c r="I146" t="s">
        <v>15</v>
      </c>
      <c r="J146">
        <f>sumif(Plan!B:B,"263-000000-013",Plan!j:j)</f>
        <v>0</v>
      </c>
      <c r="K146">
        <f>sumif(Plan!B:B,"263-000000-013",Plan!k:k)</f>
        <v>0</v>
      </c>
      <c r="L146">
        <f>sumif(Plan!B:B,"263-000000-013",Plan!l:l)</f>
        <v>0</v>
      </c>
      <c r="M146">
        <f>sumif(Plan!B:B,"263-000000-013",Plan!m:m)</f>
        <v>0</v>
      </c>
      <c r="N146">
        <f>sumif(Plan!B:B,"263-000000-013",Plan!n:n)</f>
        <v>0</v>
      </c>
      <c r="O146">
        <f>sumif(Plan!B:B,"263-000000-013",Plan!o:o)</f>
        <v>0</v>
      </c>
      <c r="P146">
        <f>sumif(Plan!B:B,"263-000000-013",Plan!p:p)</f>
        <v>0</v>
      </c>
      <c r="Q146">
        <f>sumif(Plan!B:B,"263-000000-013",Plan!q:q)</f>
        <v>0</v>
      </c>
      <c r="R146">
        <f>sumif(Plan!B:B,"263-000000-013",Plan!r:r)</f>
        <v>0</v>
      </c>
      <c r="S146">
        <f>sumif(Plan!B:B,"263-000000-013",Plan!s:s)</f>
        <v>0</v>
      </c>
      <c r="T146">
        <f>sumif(Plan!B:B,"263-000000-013",Plan!t:t)</f>
        <v>0</v>
      </c>
      <c r="U146">
        <f>sumif(Plan!B:B,"263-000000-013",Plan!u:u)</f>
        <v>0</v>
      </c>
      <c r="V146">
        <f>sumif(Plan!B:B,"263-000000-013",Plan!v:v)</f>
        <v>0</v>
      </c>
      <c r="W146">
        <f>sumif(Plan!B:B,"263-000000-013",Plan!w:w)</f>
        <v>0</v>
      </c>
      <c r="X146">
        <f>sumif(Plan!B:B,"263-000000-013",Plan!x:x)</f>
        <v>0</v>
      </c>
      <c r="Y146">
        <f>sumif(Plan!B:B,"263-000000-013",Plan!y:y)</f>
        <v>0</v>
      </c>
      <c r="Z146">
        <f>sumif(Plan!B:B,"263-000000-013",Plan!z:z)</f>
        <v>0</v>
      </c>
      <c r="AA146">
        <f>sumif(Plan!B:B,"263-000000-013",Plan!aa:aa)</f>
        <v>0</v>
      </c>
      <c r="AB146">
        <f>sumif(Plan!B:B,"263-000000-013",Plan!ab:ab)</f>
        <v>0</v>
      </c>
      <c r="AC146">
        <f>sumif(Plan!B:B,"263-000000-013",Plan!ac:ac)</f>
        <v>0</v>
      </c>
      <c r="AD146">
        <f>sumif(Plan!B:B,"263-000000-013",Plan!ad:ad)</f>
        <v>0</v>
      </c>
      <c r="AE146">
        <f>sumif(Plan!B:B,"263-000000-013",Plan!ae:ae)</f>
        <v>0</v>
      </c>
      <c r="AF146">
        <f>sumif(Plan!B:B,"263-000000-013",Plan!af:af)</f>
        <v>0</v>
      </c>
      <c r="AG146">
        <f>sumif(Plan!B:B,"263-000000-013",Plan!ag:ag)</f>
        <v>0</v>
      </c>
      <c r="AH146">
        <f>sumif(Plan!B:B,"263-000000-013",Plan!ah:ah)</f>
        <v>0</v>
      </c>
      <c r="AI146">
        <f>sumif(Plan!B:B,"263-000000-013",Plan!ai:ai)</f>
        <v>0</v>
      </c>
      <c r="AJ146">
        <f>sumif(Plan!B:B,"263-000000-013",Plan!aj:aj)</f>
        <v>0</v>
      </c>
      <c r="AK146">
        <f>sumif(Plan!B:B,"263-000000-013",Plan!ak:ak)</f>
        <v>0</v>
      </c>
      <c r="AL146">
        <f>sumif(Plan!B:B,"263-000000-013",Plan!al:al)</f>
        <v>0</v>
      </c>
      <c r="AM146">
        <f>sumif(Plan!B:B,"263-000000-013",Plan!am:am)</f>
        <v>0</v>
      </c>
      <c r="AN146">
        <f>sumif(Plan!B:B,"263-000000-013",Plan!an:an)</f>
        <v>0</v>
      </c>
      <c r="AO146">
        <f>sumif(Plan!B:B,"263-000000-013",Plan!ao:ao)</f>
        <v>0</v>
      </c>
    </row>
    <row r="147" spans="1:41">
      <c r="A147" t="s">
        <v>22</v>
      </c>
      <c r="B147" t="s">
        <v>33</v>
      </c>
      <c r="C147" t="s">
        <v>115</v>
      </c>
      <c r="E147">
        <v>2</v>
      </c>
      <c r="F147" t="s">
        <v>13</v>
      </c>
      <c r="H147" t="s">
        <v>16</v>
      </c>
      <c r="J147">
        <f>indirect(address(147,9))+indirect(address(145,10))-indirect(address(146,10))</f>
        <v>0</v>
      </c>
      <c r="K147">
        <f>indirect(address(147,10))+indirect(address(145,11))-indirect(address(146,11))</f>
        <v>0</v>
      </c>
      <c r="L147">
        <f>indirect(address(147,11))+indirect(address(145,12))-indirect(address(146,12))</f>
        <v>0</v>
      </c>
      <c r="M147">
        <f>indirect(address(147,12))+indirect(address(145,13))-indirect(address(146,13))</f>
        <v>0</v>
      </c>
      <c r="N147">
        <f>indirect(address(147,13))+indirect(address(145,14))-indirect(address(146,14))</f>
        <v>0</v>
      </c>
      <c r="O147">
        <f>indirect(address(147,14))+indirect(address(145,15))-indirect(address(146,15))</f>
        <v>0</v>
      </c>
      <c r="P147">
        <f>indirect(address(147,15))+indirect(address(145,16))-indirect(address(146,16))</f>
        <v>0</v>
      </c>
      <c r="Q147">
        <f>indirect(address(147,16))+indirect(address(145,17))-indirect(address(146,17))</f>
        <v>0</v>
      </c>
      <c r="R147">
        <f>indirect(address(147,17))+indirect(address(145,18))-indirect(address(146,18))</f>
        <v>0</v>
      </c>
      <c r="S147">
        <f>indirect(address(147,18))+indirect(address(145,19))-indirect(address(146,19))</f>
        <v>0</v>
      </c>
      <c r="T147">
        <f>indirect(address(147,19))+indirect(address(145,20))-indirect(address(146,20))</f>
        <v>0</v>
      </c>
      <c r="U147">
        <f>indirect(address(147,20))+indirect(address(145,21))-indirect(address(146,21))</f>
        <v>0</v>
      </c>
      <c r="V147">
        <f>indirect(address(147,21))+indirect(address(145,22))-indirect(address(146,22))</f>
        <v>0</v>
      </c>
      <c r="W147">
        <f>indirect(address(147,22))+indirect(address(145,23))-indirect(address(146,23))</f>
        <v>0</v>
      </c>
      <c r="X147">
        <f>indirect(address(147,23))+indirect(address(145,24))-indirect(address(146,24))</f>
        <v>0</v>
      </c>
      <c r="Y147">
        <f>indirect(address(147,24))+indirect(address(145,25))-indirect(address(146,25))</f>
        <v>0</v>
      </c>
      <c r="Z147">
        <f>indirect(address(147,25))+indirect(address(145,26))-indirect(address(146,26))</f>
        <v>0</v>
      </c>
      <c r="AA147">
        <f>indirect(address(147,26))+indirect(address(145,27))-indirect(address(146,27))</f>
        <v>0</v>
      </c>
      <c r="AB147">
        <f>indirect(address(147,27))+indirect(address(145,28))-indirect(address(146,28))</f>
        <v>0</v>
      </c>
      <c r="AC147">
        <f>indirect(address(147,28))+indirect(address(145,29))-indirect(address(146,29))</f>
        <v>0</v>
      </c>
      <c r="AD147">
        <f>indirect(address(147,29))+indirect(address(145,30))-indirect(address(146,30))</f>
        <v>0</v>
      </c>
      <c r="AE147">
        <f>indirect(address(147,30))+indirect(address(145,31))-indirect(address(146,31))</f>
        <v>0</v>
      </c>
      <c r="AF147">
        <f>indirect(address(147,31))+indirect(address(145,32))-indirect(address(146,32))</f>
        <v>0</v>
      </c>
      <c r="AG147">
        <f>indirect(address(147,32))+indirect(address(145,33))-indirect(address(146,33))</f>
        <v>0</v>
      </c>
      <c r="AH147">
        <f>indirect(address(147,33))+indirect(address(145,34))-indirect(address(146,34))</f>
        <v>0</v>
      </c>
      <c r="AI147">
        <f>indirect(address(147,34))+indirect(address(145,35))-indirect(address(146,35))</f>
        <v>0</v>
      </c>
      <c r="AJ147">
        <f>indirect(address(147,35))+indirect(address(145,36))-indirect(address(146,36))</f>
        <v>0</v>
      </c>
      <c r="AK147">
        <f>indirect(address(147,36))+indirect(address(145,37))-indirect(address(146,37))</f>
        <v>0</v>
      </c>
      <c r="AL147">
        <f>indirect(address(147,37))+indirect(address(145,38))-indirect(address(146,38))</f>
        <v>0</v>
      </c>
      <c r="AM147">
        <f>indirect(address(147,38))+indirect(address(145,39))-indirect(address(146,39))</f>
        <v>0</v>
      </c>
      <c r="AN147">
        <f>indirect(address(147,39))+indirect(address(145,40))-indirect(address(146,40))</f>
        <v>0</v>
      </c>
      <c r="AO147">
        <f>indirect(address(147,40))+indirect(address(145,41))-indirect(address(146,41))</f>
        <v>0</v>
      </c>
    </row>
    <row r="148" spans="1:41">
      <c r="I148" t="s">
        <v>14</v>
      </c>
      <c r="AO148">
        <f>sum(j148:an148)</f>
        <v>0</v>
      </c>
    </row>
    <row r="149" spans="1:41">
      <c r="I149" t="s">
        <v>15</v>
      </c>
      <c r="J149">
        <f>sumif(Plan!B:B,"204-01193",Plan!j:j)</f>
        <v>0</v>
      </c>
      <c r="K149">
        <f>sumif(Plan!B:B,"204-01193",Plan!k:k)</f>
        <v>0</v>
      </c>
      <c r="L149">
        <f>sumif(Plan!B:B,"204-01193",Plan!l:l)</f>
        <v>0</v>
      </c>
      <c r="M149">
        <f>sumif(Plan!B:B,"204-01193",Plan!m:m)</f>
        <v>0</v>
      </c>
      <c r="N149">
        <f>sumif(Plan!B:B,"204-01193",Plan!n:n)</f>
        <v>0</v>
      </c>
      <c r="O149">
        <f>sumif(Plan!B:B,"204-01193",Plan!o:o)</f>
        <v>0</v>
      </c>
      <c r="P149">
        <f>sumif(Plan!B:B,"204-01193",Plan!p:p)</f>
        <v>0</v>
      </c>
      <c r="Q149">
        <f>sumif(Plan!B:B,"204-01193",Plan!q:q)</f>
        <v>0</v>
      </c>
      <c r="R149">
        <f>sumif(Plan!B:B,"204-01193",Plan!r:r)</f>
        <v>0</v>
      </c>
      <c r="S149">
        <f>sumif(Plan!B:B,"204-01193",Plan!s:s)</f>
        <v>0</v>
      </c>
      <c r="T149">
        <f>sumif(Plan!B:B,"204-01193",Plan!t:t)</f>
        <v>0</v>
      </c>
      <c r="U149">
        <f>sumif(Plan!B:B,"204-01193",Plan!u:u)</f>
        <v>0</v>
      </c>
      <c r="V149">
        <f>sumif(Plan!B:B,"204-01193",Plan!v:v)</f>
        <v>0</v>
      </c>
      <c r="W149">
        <f>sumif(Plan!B:B,"204-01193",Plan!w:w)</f>
        <v>0</v>
      </c>
      <c r="X149">
        <f>sumif(Plan!B:B,"204-01193",Plan!x:x)</f>
        <v>0</v>
      </c>
      <c r="Y149">
        <f>sumif(Plan!B:B,"204-01193",Plan!y:y)</f>
        <v>0</v>
      </c>
      <c r="Z149">
        <f>sumif(Plan!B:B,"204-01193",Plan!z:z)</f>
        <v>0</v>
      </c>
      <c r="AA149">
        <f>sumif(Plan!B:B,"204-01193",Plan!aa:aa)</f>
        <v>0</v>
      </c>
      <c r="AB149">
        <f>sumif(Plan!B:B,"204-01193",Plan!ab:ab)</f>
        <v>0</v>
      </c>
      <c r="AC149">
        <f>sumif(Plan!B:B,"204-01193",Plan!ac:ac)</f>
        <v>0</v>
      </c>
      <c r="AD149">
        <f>sumif(Plan!B:B,"204-01193",Plan!ad:ad)</f>
        <v>0</v>
      </c>
      <c r="AE149">
        <f>sumif(Plan!B:B,"204-01193",Plan!ae:ae)</f>
        <v>0</v>
      </c>
      <c r="AF149">
        <f>sumif(Plan!B:B,"204-01193",Plan!af:af)</f>
        <v>0</v>
      </c>
      <c r="AG149">
        <f>sumif(Plan!B:B,"204-01193",Plan!ag:ag)</f>
        <v>0</v>
      </c>
      <c r="AH149">
        <f>sumif(Plan!B:B,"204-01193",Plan!ah:ah)</f>
        <v>0</v>
      </c>
      <c r="AI149">
        <f>sumif(Plan!B:B,"204-01193",Plan!ai:ai)</f>
        <v>0</v>
      </c>
      <c r="AJ149">
        <f>sumif(Plan!B:B,"204-01193",Plan!aj:aj)</f>
        <v>0</v>
      </c>
      <c r="AK149">
        <f>sumif(Plan!B:B,"204-01193",Plan!ak:ak)</f>
        <v>0</v>
      </c>
      <c r="AL149">
        <f>sumif(Plan!B:B,"204-01193",Plan!al:al)</f>
        <v>0</v>
      </c>
      <c r="AM149">
        <f>sumif(Plan!B:B,"204-01193",Plan!am:am)</f>
        <v>0</v>
      </c>
      <c r="AN149">
        <f>sumif(Plan!B:B,"204-01193",Plan!an:an)</f>
        <v>0</v>
      </c>
      <c r="AO149">
        <f>sumif(Plan!B:B,"204-01193",Plan!ao:ao)</f>
        <v>0</v>
      </c>
    </row>
    <row r="150" spans="1:41">
      <c r="A150" t="s">
        <v>43</v>
      </c>
      <c r="B150" t="s">
        <v>116</v>
      </c>
      <c r="C150" t="s">
        <v>117</v>
      </c>
      <c r="E150">
        <v>0.1</v>
      </c>
      <c r="F150" t="s">
        <v>13</v>
      </c>
      <c r="H150" t="s">
        <v>16</v>
      </c>
      <c r="J150">
        <f>indirect(address(150,9))+indirect(address(148,10))-indirect(address(149,10))</f>
        <v>0</v>
      </c>
      <c r="K150">
        <f>indirect(address(150,10))+indirect(address(148,11))-indirect(address(149,11))</f>
        <v>0</v>
      </c>
      <c r="L150">
        <f>indirect(address(150,11))+indirect(address(148,12))-indirect(address(149,12))</f>
        <v>0</v>
      </c>
      <c r="M150">
        <f>indirect(address(150,12))+indirect(address(148,13))-indirect(address(149,13))</f>
        <v>0</v>
      </c>
      <c r="N150">
        <f>indirect(address(150,13))+indirect(address(148,14))-indirect(address(149,14))</f>
        <v>0</v>
      </c>
      <c r="O150">
        <f>indirect(address(150,14))+indirect(address(148,15))-indirect(address(149,15))</f>
        <v>0</v>
      </c>
      <c r="P150">
        <f>indirect(address(150,15))+indirect(address(148,16))-indirect(address(149,16))</f>
        <v>0</v>
      </c>
      <c r="Q150">
        <f>indirect(address(150,16))+indirect(address(148,17))-indirect(address(149,17))</f>
        <v>0</v>
      </c>
      <c r="R150">
        <f>indirect(address(150,17))+indirect(address(148,18))-indirect(address(149,18))</f>
        <v>0</v>
      </c>
      <c r="S150">
        <f>indirect(address(150,18))+indirect(address(148,19))-indirect(address(149,19))</f>
        <v>0</v>
      </c>
      <c r="T150">
        <f>indirect(address(150,19))+indirect(address(148,20))-indirect(address(149,20))</f>
        <v>0</v>
      </c>
      <c r="U150">
        <f>indirect(address(150,20))+indirect(address(148,21))-indirect(address(149,21))</f>
        <v>0</v>
      </c>
      <c r="V150">
        <f>indirect(address(150,21))+indirect(address(148,22))-indirect(address(149,22))</f>
        <v>0</v>
      </c>
      <c r="W150">
        <f>indirect(address(150,22))+indirect(address(148,23))-indirect(address(149,23))</f>
        <v>0</v>
      </c>
      <c r="X150">
        <f>indirect(address(150,23))+indirect(address(148,24))-indirect(address(149,24))</f>
        <v>0</v>
      </c>
      <c r="Y150">
        <f>indirect(address(150,24))+indirect(address(148,25))-indirect(address(149,25))</f>
        <v>0</v>
      </c>
      <c r="Z150">
        <f>indirect(address(150,25))+indirect(address(148,26))-indirect(address(149,26))</f>
        <v>0</v>
      </c>
      <c r="AA150">
        <f>indirect(address(150,26))+indirect(address(148,27))-indirect(address(149,27))</f>
        <v>0</v>
      </c>
      <c r="AB150">
        <f>indirect(address(150,27))+indirect(address(148,28))-indirect(address(149,28))</f>
        <v>0</v>
      </c>
      <c r="AC150">
        <f>indirect(address(150,28))+indirect(address(148,29))-indirect(address(149,29))</f>
        <v>0</v>
      </c>
      <c r="AD150">
        <f>indirect(address(150,29))+indirect(address(148,30))-indirect(address(149,30))</f>
        <v>0</v>
      </c>
      <c r="AE150">
        <f>indirect(address(150,30))+indirect(address(148,31))-indirect(address(149,31))</f>
        <v>0</v>
      </c>
      <c r="AF150">
        <f>indirect(address(150,31))+indirect(address(148,32))-indirect(address(149,32))</f>
        <v>0</v>
      </c>
      <c r="AG150">
        <f>indirect(address(150,32))+indirect(address(148,33))-indirect(address(149,33))</f>
        <v>0</v>
      </c>
      <c r="AH150">
        <f>indirect(address(150,33))+indirect(address(148,34))-indirect(address(149,34))</f>
        <v>0</v>
      </c>
      <c r="AI150">
        <f>indirect(address(150,34))+indirect(address(148,35))-indirect(address(149,35))</f>
        <v>0</v>
      </c>
      <c r="AJ150">
        <f>indirect(address(150,35))+indirect(address(148,36))-indirect(address(149,36))</f>
        <v>0</v>
      </c>
      <c r="AK150">
        <f>indirect(address(150,36))+indirect(address(148,37))-indirect(address(149,37))</f>
        <v>0</v>
      </c>
      <c r="AL150">
        <f>indirect(address(150,37))+indirect(address(148,38))-indirect(address(149,38))</f>
        <v>0</v>
      </c>
      <c r="AM150">
        <f>indirect(address(150,38))+indirect(address(148,39))-indirect(address(149,39))</f>
        <v>0</v>
      </c>
      <c r="AN150">
        <f>indirect(address(150,39))+indirect(address(148,40))-indirect(address(149,40))</f>
        <v>0</v>
      </c>
      <c r="AO150">
        <f>indirect(address(150,40))+indirect(address(148,41))-indirect(address(149,41))</f>
        <v>0</v>
      </c>
    </row>
    <row r="151" spans="1:41">
      <c r="I151" t="s">
        <v>14</v>
      </c>
      <c r="AO151">
        <f>sum(j151:an151)</f>
        <v>0</v>
      </c>
    </row>
    <row r="152" spans="1:41">
      <c r="I152" t="s">
        <v>15</v>
      </c>
      <c r="J152">
        <f>sumif(Plan!B:B,"827-007000-100",Plan!j:j)</f>
        <v>0</v>
      </c>
      <c r="K152">
        <f>sumif(Plan!B:B,"827-007000-100",Plan!k:k)</f>
        <v>0</v>
      </c>
      <c r="L152">
        <f>sumif(Plan!B:B,"827-007000-100",Plan!l:l)</f>
        <v>0</v>
      </c>
      <c r="M152">
        <f>sumif(Plan!B:B,"827-007000-100",Plan!m:m)</f>
        <v>0</v>
      </c>
      <c r="N152">
        <f>sumif(Plan!B:B,"827-007000-100",Plan!n:n)</f>
        <v>0</v>
      </c>
      <c r="O152">
        <f>sumif(Plan!B:B,"827-007000-100",Plan!o:o)</f>
        <v>0</v>
      </c>
      <c r="P152">
        <f>sumif(Plan!B:B,"827-007000-100",Plan!p:p)</f>
        <v>0</v>
      </c>
      <c r="Q152">
        <f>sumif(Plan!B:B,"827-007000-100",Plan!q:q)</f>
        <v>0</v>
      </c>
      <c r="R152">
        <f>sumif(Plan!B:B,"827-007000-100",Plan!r:r)</f>
        <v>0</v>
      </c>
      <c r="S152">
        <f>sumif(Plan!B:B,"827-007000-100",Plan!s:s)</f>
        <v>0</v>
      </c>
      <c r="T152">
        <f>sumif(Plan!B:B,"827-007000-100",Plan!t:t)</f>
        <v>0</v>
      </c>
      <c r="U152">
        <f>sumif(Plan!B:B,"827-007000-100",Plan!u:u)</f>
        <v>0</v>
      </c>
      <c r="V152">
        <f>sumif(Plan!B:B,"827-007000-100",Plan!v:v)</f>
        <v>0</v>
      </c>
      <c r="W152">
        <f>sumif(Plan!B:B,"827-007000-100",Plan!w:w)</f>
        <v>0</v>
      </c>
      <c r="X152">
        <f>sumif(Plan!B:B,"827-007000-100",Plan!x:x)</f>
        <v>0</v>
      </c>
      <c r="Y152">
        <f>sumif(Plan!B:B,"827-007000-100",Plan!y:y)</f>
        <v>0</v>
      </c>
      <c r="Z152">
        <f>sumif(Plan!B:B,"827-007000-100",Plan!z:z)</f>
        <v>0</v>
      </c>
      <c r="AA152">
        <f>sumif(Plan!B:B,"827-007000-100",Plan!aa:aa)</f>
        <v>0</v>
      </c>
      <c r="AB152">
        <f>sumif(Plan!B:B,"827-007000-100",Plan!ab:ab)</f>
        <v>0</v>
      </c>
      <c r="AC152">
        <f>sumif(Plan!B:B,"827-007000-100",Plan!ac:ac)</f>
        <v>0</v>
      </c>
      <c r="AD152">
        <f>sumif(Plan!B:B,"827-007000-100",Plan!ad:ad)</f>
        <v>0</v>
      </c>
      <c r="AE152">
        <f>sumif(Plan!B:B,"827-007000-100",Plan!ae:ae)</f>
        <v>0</v>
      </c>
      <c r="AF152">
        <f>sumif(Plan!B:B,"827-007000-100",Plan!af:af)</f>
        <v>0</v>
      </c>
      <c r="AG152">
        <f>sumif(Plan!B:B,"827-007000-100",Plan!ag:ag)</f>
        <v>0</v>
      </c>
      <c r="AH152">
        <f>sumif(Plan!B:B,"827-007000-100",Plan!ah:ah)</f>
        <v>0</v>
      </c>
      <c r="AI152">
        <f>sumif(Plan!B:B,"827-007000-100",Plan!ai:ai)</f>
        <v>0</v>
      </c>
      <c r="AJ152">
        <f>sumif(Plan!B:B,"827-007000-100",Plan!aj:aj)</f>
        <v>0</v>
      </c>
      <c r="AK152">
        <f>sumif(Plan!B:B,"827-007000-100",Plan!ak:ak)</f>
        <v>0</v>
      </c>
      <c r="AL152">
        <f>sumif(Plan!B:B,"827-007000-100",Plan!al:al)</f>
        <v>0</v>
      </c>
      <c r="AM152">
        <f>sumif(Plan!B:B,"827-007000-100",Plan!am:am)</f>
        <v>0</v>
      </c>
      <c r="AN152">
        <f>sumif(Plan!B:B,"827-007000-100",Plan!an:an)</f>
        <v>0</v>
      </c>
      <c r="AO152">
        <f>sumif(Plan!B:B,"827-007000-100",Plan!ao:ao)</f>
        <v>0</v>
      </c>
    </row>
    <row r="153" spans="1:41">
      <c r="A153" t="s">
        <v>17</v>
      </c>
      <c r="B153" t="s">
        <v>120</v>
      </c>
      <c r="C153" t="s">
        <v>121</v>
      </c>
      <c r="E153">
        <v>1</v>
      </c>
      <c r="F153" t="s">
        <v>13</v>
      </c>
      <c r="H153" t="s">
        <v>16</v>
      </c>
      <c r="J153">
        <f>indirect(address(153,9))+indirect(address(151,10))-indirect(address(152,10))</f>
        <v>0</v>
      </c>
      <c r="K153">
        <f>indirect(address(153,10))+indirect(address(151,11))-indirect(address(152,11))</f>
        <v>0</v>
      </c>
      <c r="L153">
        <f>indirect(address(153,11))+indirect(address(151,12))-indirect(address(152,12))</f>
        <v>0</v>
      </c>
      <c r="M153">
        <f>indirect(address(153,12))+indirect(address(151,13))-indirect(address(152,13))</f>
        <v>0</v>
      </c>
      <c r="N153">
        <f>indirect(address(153,13))+indirect(address(151,14))-indirect(address(152,14))</f>
        <v>0</v>
      </c>
      <c r="O153">
        <f>indirect(address(153,14))+indirect(address(151,15))-indirect(address(152,15))</f>
        <v>0</v>
      </c>
      <c r="P153">
        <f>indirect(address(153,15))+indirect(address(151,16))-indirect(address(152,16))</f>
        <v>0</v>
      </c>
      <c r="Q153">
        <f>indirect(address(153,16))+indirect(address(151,17))-indirect(address(152,17))</f>
        <v>0</v>
      </c>
      <c r="R153">
        <f>indirect(address(153,17))+indirect(address(151,18))-indirect(address(152,18))</f>
        <v>0</v>
      </c>
      <c r="S153">
        <f>indirect(address(153,18))+indirect(address(151,19))-indirect(address(152,19))</f>
        <v>0</v>
      </c>
      <c r="T153">
        <f>indirect(address(153,19))+indirect(address(151,20))-indirect(address(152,20))</f>
        <v>0</v>
      </c>
      <c r="U153">
        <f>indirect(address(153,20))+indirect(address(151,21))-indirect(address(152,21))</f>
        <v>0</v>
      </c>
      <c r="V153">
        <f>indirect(address(153,21))+indirect(address(151,22))-indirect(address(152,22))</f>
        <v>0</v>
      </c>
      <c r="W153">
        <f>indirect(address(153,22))+indirect(address(151,23))-indirect(address(152,23))</f>
        <v>0</v>
      </c>
      <c r="X153">
        <f>indirect(address(153,23))+indirect(address(151,24))-indirect(address(152,24))</f>
        <v>0</v>
      </c>
      <c r="Y153">
        <f>indirect(address(153,24))+indirect(address(151,25))-indirect(address(152,25))</f>
        <v>0</v>
      </c>
      <c r="Z153">
        <f>indirect(address(153,25))+indirect(address(151,26))-indirect(address(152,26))</f>
        <v>0</v>
      </c>
      <c r="AA153">
        <f>indirect(address(153,26))+indirect(address(151,27))-indirect(address(152,27))</f>
        <v>0</v>
      </c>
      <c r="AB153">
        <f>indirect(address(153,27))+indirect(address(151,28))-indirect(address(152,28))</f>
        <v>0</v>
      </c>
      <c r="AC153">
        <f>indirect(address(153,28))+indirect(address(151,29))-indirect(address(152,29))</f>
        <v>0</v>
      </c>
      <c r="AD153">
        <f>indirect(address(153,29))+indirect(address(151,30))-indirect(address(152,30))</f>
        <v>0</v>
      </c>
      <c r="AE153">
        <f>indirect(address(153,30))+indirect(address(151,31))-indirect(address(152,31))</f>
        <v>0</v>
      </c>
      <c r="AF153">
        <f>indirect(address(153,31))+indirect(address(151,32))-indirect(address(152,32))</f>
        <v>0</v>
      </c>
      <c r="AG153">
        <f>indirect(address(153,32))+indirect(address(151,33))-indirect(address(152,33))</f>
        <v>0</v>
      </c>
      <c r="AH153">
        <f>indirect(address(153,33))+indirect(address(151,34))-indirect(address(152,34))</f>
        <v>0</v>
      </c>
      <c r="AI153">
        <f>indirect(address(153,34))+indirect(address(151,35))-indirect(address(152,35))</f>
        <v>0</v>
      </c>
      <c r="AJ153">
        <f>indirect(address(153,35))+indirect(address(151,36))-indirect(address(152,36))</f>
        <v>0</v>
      </c>
      <c r="AK153">
        <f>indirect(address(153,36))+indirect(address(151,37))-indirect(address(152,37))</f>
        <v>0</v>
      </c>
      <c r="AL153">
        <f>indirect(address(153,37))+indirect(address(151,38))-indirect(address(152,38))</f>
        <v>0</v>
      </c>
      <c r="AM153">
        <f>indirect(address(153,38))+indirect(address(151,39))-indirect(address(152,39))</f>
        <v>0</v>
      </c>
      <c r="AN153">
        <f>indirect(address(153,39))+indirect(address(151,40))-indirect(address(152,40))</f>
        <v>0</v>
      </c>
      <c r="AO153">
        <f>indirect(address(153,40))+indirect(address(151,41))-indirect(address(152,41))</f>
        <v>0</v>
      </c>
    </row>
    <row r="154" spans="1:41">
      <c r="I154" t="s">
        <v>14</v>
      </c>
      <c r="AO154">
        <f>sum(j154:an154)</f>
        <v>0</v>
      </c>
    </row>
    <row r="155" spans="1:41">
      <c r="I155" t="s">
        <v>15</v>
      </c>
      <c r="J155">
        <f>sumif(Plan!B:B,"827-015000-600",Plan!j:j)</f>
        <v>0</v>
      </c>
      <c r="K155">
        <f>sumif(Plan!B:B,"827-015000-600",Plan!k:k)</f>
        <v>0</v>
      </c>
      <c r="L155">
        <f>sumif(Plan!B:B,"827-015000-600",Plan!l:l)</f>
        <v>0</v>
      </c>
      <c r="M155">
        <f>sumif(Plan!B:B,"827-015000-600",Plan!m:m)</f>
        <v>0</v>
      </c>
      <c r="N155">
        <f>sumif(Plan!B:B,"827-015000-600",Plan!n:n)</f>
        <v>0</v>
      </c>
      <c r="O155">
        <f>sumif(Plan!B:B,"827-015000-600",Plan!o:o)</f>
        <v>0</v>
      </c>
      <c r="P155">
        <f>sumif(Plan!B:B,"827-015000-600",Plan!p:p)</f>
        <v>0</v>
      </c>
      <c r="Q155">
        <f>sumif(Plan!B:B,"827-015000-600",Plan!q:q)</f>
        <v>0</v>
      </c>
      <c r="R155">
        <f>sumif(Plan!B:B,"827-015000-600",Plan!r:r)</f>
        <v>0</v>
      </c>
      <c r="S155">
        <f>sumif(Plan!B:B,"827-015000-600",Plan!s:s)</f>
        <v>0</v>
      </c>
      <c r="T155">
        <f>sumif(Plan!B:B,"827-015000-600",Plan!t:t)</f>
        <v>0</v>
      </c>
      <c r="U155">
        <f>sumif(Plan!B:B,"827-015000-600",Plan!u:u)</f>
        <v>0</v>
      </c>
      <c r="V155">
        <f>sumif(Plan!B:B,"827-015000-600",Plan!v:v)</f>
        <v>0</v>
      </c>
      <c r="W155">
        <f>sumif(Plan!B:B,"827-015000-600",Plan!w:w)</f>
        <v>0</v>
      </c>
      <c r="X155">
        <f>sumif(Plan!B:B,"827-015000-600",Plan!x:x)</f>
        <v>0</v>
      </c>
      <c r="Y155">
        <f>sumif(Plan!B:B,"827-015000-600",Plan!y:y)</f>
        <v>0</v>
      </c>
      <c r="Z155">
        <f>sumif(Plan!B:B,"827-015000-600",Plan!z:z)</f>
        <v>0</v>
      </c>
      <c r="AA155">
        <f>sumif(Plan!B:B,"827-015000-600",Plan!aa:aa)</f>
        <v>0</v>
      </c>
      <c r="AB155">
        <f>sumif(Plan!B:B,"827-015000-600",Plan!ab:ab)</f>
        <v>0</v>
      </c>
      <c r="AC155">
        <f>sumif(Plan!B:B,"827-015000-600",Plan!ac:ac)</f>
        <v>0</v>
      </c>
      <c r="AD155">
        <f>sumif(Plan!B:B,"827-015000-600",Plan!ad:ad)</f>
        <v>0</v>
      </c>
      <c r="AE155">
        <f>sumif(Plan!B:B,"827-015000-600",Plan!ae:ae)</f>
        <v>0</v>
      </c>
      <c r="AF155">
        <f>sumif(Plan!B:B,"827-015000-600",Plan!af:af)</f>
        <v>0</v>
      </c>
      <c r="AG155">
        <f>sumif(Plan!B:B,"827-015000-600",Plan!ag:ag)</f>
        <v>0</v>
      </c>
      <c r="AH155">
        <f>sumif(Plan!B:B,"827-015000-600",Plan!ah:ah)</f>
        <v>0</v>
      </c>
      <c r="AI155">
        <f>sumif(Plan!B:B,"827-015000-600",Plan!ai:ai)</f>
        <v>0</v>
      </c>
      <c r="AJ155">
        <f>sumif(Plan!B:B,"827-015000-600",Plan!aj:aj)</f>
        <v>0</v>
      </c>
      <c r="AK155">
        <f>sumif(Plan!B:B,"827-015000-600",Plan!ak:ak)</f>
        <v>0</v>
      </c>
      <c r="AL155">
        <f>sumif(Plan!B:B,"827-015000-600",Plan!al:al)</f>
        <v>0</v>
      </c>
      <c r="AM155">
        <f>sumif(Plan!B:B,"827-015000-600",Plan!am:am)</f>
        <v>0</v>
      </c>
      <c r="AN155">
        <f>sumif(Plan!B:B,"827-015000-600",Plan!an:an)</f>
        <v>0</v>
      </c>
      <c r="AO155">
        <f>sumif(Plan!B:B,"827-015000-600",Plan!ao:ao)</f>
        <v>0</v>
      </c>
    </row>
    <row r="156" spans="1:41">
      <c r="A156" t="s">
        <v>17</v>
      </c>
      <c r="B156" t="s">
        <v>122</v>
      </c>
      <c r="C156" t="s">
        <v>123</v>
      </c>
      <c r="E156">
        <v>1</v>
      </c>
      <c r="F156" t="s">
        <v>13</v>
      </c>
      <c r="H156" t="s">
        <v>16</v>
      </c>
      <c r="J156">
        <f>indirect(address(156,9))+indirect(address(154,10))-indirect(address(155,10))</f>
        <v>0</v>
      </c>
      <c r="K156">
        <f>indirect(address(156,10))+indirect(address(154,11))-indirect(address(155,11))</f>
        <v>0</v>
      </c>
      <c r="L156">
        <f>indirect(address(156,11))+indirect(address(154,12))-indirect(address(155,12))</f>
        <v>0</v>
      </c>
      <c r="M156">
        <f>indirect(address(156,12))+indirect(address(154,13))-indirect(address(155,13))</f>
        <v>0</v>
      </c>
      <c r="N156">
        <f>indirect(address(156,13))+indirect(address(154,14))-indirect(address(155,14))</f>
        <v>0</v>
      </c>
      <c r="O156">
        <f>indirect(address(156,14))+indirect(address(154,15))-indirect(address(155,15))</f>
        <v>0</v>
      </c>
      <c r="P156">
        <f>indirect(address(156,15))+indirect(address(154,16))-indirect(address(155,16))</f>
        <v>0</v>
      </c>
      <c r="Q156">
        <f>indirect(address(156,16))+indirect(address(154,17))-indirect(address(155,17))</f>
        <v>0</v>
      </c>
      <c r="R156">
        <f>indirect(address(156,17))+indirect(address(154,18))-indirect(address(155,18))</f>
        <v>0</v>
      </c>
      <c r="S156">
        <f>indirect(address(156,18))+indirect(address(154,19))-indirect(address(155,19))</f>
        <v>0</v>
      </c>
      <c r="T156">
        <f>indirect(address(156,19))+indirect(address(154,20))-indirect(address(155,20))</f>
        <v>0</v>
      </c>
      <c r="U156">
        <f>indirect(address(156,20))+indirect(address(154,21))-indirect(address(155,21))</f>
        <v>0</v>
      </c>
      <c r="V156">
        <f>indirect(address(156,21))+indirect(address(154,22))-indirect(address(155,22))</f>
        <v>0</v>
      </c>
      <c r="W156">
        <f>indirect(address(156,22))+indirect(address(154,23))-indirect(address(155,23))</f>
        <v>0</v>
      </c>
      <c r="X156">
        <f>indirect(address(156,23))+indirect(address(154,24))-indirect(address(155,24))</f>
        <v>0</v>
      </c>
      <c r="Y156">
        <f>indirect(address(156,24))+indirect(address(154,25))-indirect(address(155,25))</f>
        <v>0</v>
      </c>
      <c r="Z156">
        <f>indirect(address(156,25))+indirect(address(154,26))-indirect(address(155,26))</f>
        <v>0</v>
      </c>
      <c r="AA156">
        <f>indirect(address(156,26))+indirect(address(154,27))-indirect(address(155,27))</f>
        <v>0</v>
      </c>
      <c r="AB156">
        <f>indirect(address(156,27))+indirect(address(154,28))-indirect(address(155,28))</f>
        <v>0</v>
      </c>
      <c r="AC156">
        <f>indirect(address(156,28))+indirect(address(154,29))-indirect(address(155,29))</f>
        <v>0</v>
      </c>
      <c r="AD156">
        <f>indirect(address(156,29))+indirect(address(154,30))-indirect(address(155,30))</f>
        <v>0</v>
      </c>
      <c r="AE156">
        <f>indirect(address(156,30))+indirect(address(154,31))-indirect(address(155,31))</f>
        <v>0</v>
      </c>
      <c r="AF156">
        <f>indirect(address(156,31))+indirect(address(154,32))-indirect(address(155,32))</f>
        <v>0</v>
      </c>
      <c r="AG156">
        <f>indirect(address(156,32))+indirect(address(154,33))-indirect(address(155,33))</f>
        <v>0</v>
      </c>
      <c r="AH156">
        <f>indirect(address(156,33))+indirect(address(154,34))-indirect(address(155,34))</f>
        <v>0</v>
      </c>
      <c r="AI156">
        <f>indirect(address(156,34))+indirect(address(154,35))-indirect(address(155,35))</f>
        <v>0</v>
      </c>
      <c r="AJ156">
        <f>indirect(address(156,35))+indirect(address(154,36))-indirect(address(155,36))</f>
        <v>0</v>
      </c>
      <c r="AK156">
        <f>indirect(address(156,36))+indirect(address(154,37))-indirect(address(155,37))</f>
        <v>0</v>
      </c>
      <c r="AL156">
        <f>indirect(address(156,37))+indirect(address(154,38))-indirect(address(155,38))</f>
        <v>0</v>
      </c>
      <c r="AM156">
        <f>indirect(address(156,38))+indirect(address(154,39))-indirect(address(155,39))</f>
        <v>0</v>
      </c>
      <c r="AN156">
        <f>indirect(address(156,39))+indirect(address(154,40))-indirect(address(155,40))</f>
        <v>0</v>
      </c>
      <c r="AO156">
        <f>indirect(address(156,40))+indirect(address(154,41))-indirect(address(155,41))</f>
        <v>0</v>
      </c>
    </row>
    <row r="157" spans="1:41">
      <c r="I157" t="s">
        <v>14</v>
      </c>
      <c r="AO157">
        <f>sum(j157:an157)</f>
        <v>0</v>
      </c>
    </row>
    <row r="158" spans="1:41">
      <c r="I158" t="s">
        <v>15</v>
      </c>
      <c r="J158">
        <f>sumif(Plan!B:B,"827-009000-110",Plan!j:j)</f>
        <v>0</v>
      </c>
      <c r="K158">
        <f>sumif(Plan!B:B,"827-009000-110",Plan!k:k)</f>
        <v>0</v>
      </c>
      <c r="L158">
        <f>sumif(Plan!B:B,"827-009000-110",Plan!l:l)</f>
        <v>0</v>
      </c>
      <c r="M158">
        <f>sumif(Plan!B:B,"827-009000-110",Plan!m:m)</f>
        <v>0</v>
      </c>
      <c r="N158">
        <f>sumif(Plan!B:B,"827-009000-110",Plan!n:n)</f>
        <v>0</v>
      </c>
      <c r="O158">
        <f>sumif(Plan!B:B,"827-009000-110",Plan!o:o)</f>
        <v>0</v>
      </c>
      <c r="P158">
        <f>sumif(Plan!B:B,"827-009000-110",Plan!p:p)</f>
        <v>0</v>
      </c>
      <c r="Q158">
        <f>sumif(Plan!B:B,"827-009000-110",Plan!q:q)</f>
        <v>0</v>
      </c>
      <c r="R158">
        <f>sumif(Plan!B:B,"827-009000-110",Plan!r:r)</f>
        <v>0</v>
      </c>
      <c r="S158">
        <f>sumif(Plan!B:B,"827-009000-110",Plan!s:s)</f>
        <v>0</v>
      </c>
      <c r="T158">
        <f>sumif(Plan!B:B,"827-009000-110",Plan!t:t)</f>
        <v>0</v>
      </c>
      <c r="U158">
        <f>sumif(Plan!B:B,"827-009000-110",Plan!u:u)</f>
        <v>0</v>
      </c>
      <c r="V158">
        <f>sumif(Plan!B:B,"827-009000-110",Plan!v:v)</f>
        <v>0</v>
      </c>
      <c r="W158">
        <f>sumif(Plan!B:B,"827-009000-110",Plan!w:w)</f>
        <v>0</v>
      </c>
      <c r="X158">
        <f>sumif(Plan!B:B,"827-009000-110",Plan!x:x)</f>
        <v>0</v>
      </c>
      <c r="Y158">
        <f>sumif(Plan!B:B,"827-009000-110",Plan!y:y)</f>
        <v>0</v>
      </c>
      <c r="Z158">
        <f>sumif(Plan!B:B,"827-009000-110",Plan!z:z)</f>
        <v>0</v>
      </c>
      <c r="AA158">
        <f>sumif(Plan!B:B,"827-009000-110",Plan!aa:aa)</f>
        <v>0</v>
      </c>
      <c r="AB158">
        <f>sumif(Plan!B:B,"827-009000-110",Plan!ab:ab)</f>
        <v>0</v>
      </c>
      <c r="AC158">
        <f>sumif(Plan!B:B,"827-009000-110",Plan!ac:ac)</f>
        <v>0</v>
      </c>
      <c r="AD158">
        <f>sumif(Plan!B:B,"827-009000-110",Plan!ad:ad)</f>
        <v>0</v>
      </c>
      <c r="AE158">
        <f>sumif(Plan!B:B,"827-009000-110",Plan!ae:ae)</f>
        <v>0</v>
      </c>
      <c r="AF158">
        <f>sumif(Plan!B:B,"827-009000-110",Plan!af:af)</f>
        <v>0</v>
      </c>
      <c r="AG158">
        <f>sumif(Plan!B:B,"827-009000-110",Plan!ag:ag)</f>
        <v>0</v>
      </c>
      <c r="AH158">
        <f>sumif(Plan!B:B,"827-009000-110",Plan!ah:ah)</f>
        <v>0</v>
      </c>
      <c r="AI158">
        <f>sumif(Plan!B:B,"827-009000-110",Plan!ai:ai)</f>
        <v>0</v>
      </c>
      <c r="AJ158">
        <f>sumif(Plan!B:B,"827-009000-110",Plan!aj:aj)</f>
        <v>0</v>
      </c>
      <c r="AK158">
        <f>sumif(Plan!B:B,"827-009000-110",Plan!ak:ak)</f>
        <v>0</v>
      </c>
      <c r="AL158">
        <f>sumif(Plan!B:B,"827-009000-110",Plan!al:al)</f>
        <v>0</v>
      </c>
      <c r="AM158">
        <f>sumif(Plan!B:B,"827-009000-110",Plan!am:am)</f>
        <v>0</v>
      </c>
      <c r="AN158">
        <f>sumif(Plan!B:B,"827-009000-110",Plan!an:an)</f>
        <v>0</v>
      </c>
      <c r="AO158">
        <f>sumif(Plan!B:B,"827-009000-110",Plan!ao:ao)</f>
        <v>0</v>
      </c>
    </row>
    <row r="159" spans="1:41">
      <c r="A159" t="s">
        <v>17</v>
      </c>
      <c r="B159" t="s">
        <v>124</v>
      </c>
      <c r="C159" t="s">
        <v>125</v>
      </c>
      <c r="E159">
        <v>1</v>
      </c>
      <c r="F159" t="s">
        <v>13</v>
      </c>
      <c r="H159" t="s">
        <v>16</v>
      </c>
      <c r="J159">
        <f>indirect(address(159,9))+indirect(address(157,10))-indirect(address(158,10))</f>
        <v>0</v>
      </c>
      <c r="K159">
        <f>indirect(address(159,10))+indirect(address(157,11))-indirect(address(158,11))</f>
        <v>0</v>
      </c>
      <c r="L159">
        <f>indirect(address(159,11))+indirect(address(157,12))-indirect(address(158,12))</f>
        <v>0</v>
      </c>
      <c r="M159">
        <f>indirect(address(159,12))+indirect(address(157,13))-indirect(address(158,13))</f>
        <v>0</v>
      </c>
      <c r="N159">
        <f>indirect(address(159,13))+indirect(address(157,14))-indirect(address(158,14))</f>
        <v>0</v>
      </c>
      <c r="O159">
        <f>indirect(address(159,14))+indirect(address(157,15))-indirect(address(158,15))</f>
        <v>0</v>
      </c>
      <c r="P159">
        <f>indirect(address(159,15))+indirect(address(157,16))-indirect(address(158,16))</f>
        <v>0</v>
      </c>
      <c r="Q159">
        <f>indirect(address(159,16))+indirect(address(157,17))-indirect(address(158,17))</f>
        <v>0</v>
      </c>
      <c r="R159">
        <f>indirect(address(159,17))+indirect(address(157,18))-indirect(address(158,18))</f>
        <v>0</v>
      </c>
      <c r="S159">
        <f>indirect(address(159,18))+indirect(address(157,19))-indirect(address(158,19))</f>
        <v>0</v>
      </c>
      <c r="T159">
        <f>indirect(address(159,19))+indirect(address(157,20))-indirect(address(158,20))</f>
        <v>0</v>
      </c>
      <c r="U159">
        <f>indirect(address(159,20))+indirect(address(157,21))-indirect(address(158,21))</f>
        <v>0</v>
      </c>
      <c r="V159">
        <f>indirect(address(159,21))+indirect(address(157,22))-indirect(address(158,22))</f>
        <v>0</v>
      </c>
      <c r="W159">
        <f>indirect(address(159,22))+indirect(address(157,23))-indirect(address(158,23))</f>
        <v>0</v>
      </c>
      <c r="X159">
        <f>indirect(address(159,23))+indirect(address(157,24))-indirect(address(158,24))</f>
        <v>0</v>
      </c>
      <c r="Y159">
        <f>indirect(address(159,24))+indirect(address(157,25))-indirect(address(158,25))</f>
        <v>0</v>
      </c>
      <c r="Z159">
        <f>indirect(address(159,25))+indirect(address(157,26))-indirect(address(158,26))</f>
        <v>0</v>
      </c>
      <c r="AA159">
        <f>indirect(address(159,26))+indirect(address(157,27))-indirect(address(158,27))</f>
        <v>0</v>
      </c>
      <c r="AB159">
        <f>indirect(address(159,27))+indirect(address(157,28))-indirect(address(158,28))</f>
        <v>0</v>
      </c>
      <c r="AC159">
        <f>indirect(address(159,28))+indirect(address(157,29))-indirect(address(158,29))</f>
        <v>0</v>
      </c>
      <c r="AD159">
        <f>indirect(address(159,29))+indirect(address(157,30))-indirect(address(158,30))</f>
        <v>0</v>
      </c>
      <c r="AE159">
        <f>indirect(address(159,30))+indirect(address(157,31))-indirect(address(158,31))</f>
        <v>0</v>
      </c>
      <c r="AF159">
        <f>indirect(address(159,31))+indirect(address(157,32))-indirect(address(158,32))</f>
        <v>0</v>
      </c>
      <c r="AG159">
        <f>indirect(address(159,32))+indirect(address(157,33))-indirect(address(158,33))</f>
        <v>0</v>
      </c>
      <c r="AH159">
        <f>indirect(address(159,33))+indirect(address(157,34))-indirect(address(158,34))</f>
        <v>0</v>
      </c>
      <c r="AI159">
        <f>indirect(address(159,34))+indirect(address(157,35))-indirect(address(158,35))</f>
        <v>0</v>
      </c>
      <c r="AJ159">
        <f>indirect(address(159,35))+indirect(address(157,36))-indirect(address(158,36))</f>
        <v>0</v>
      </c>
      <c r="AK159">
        <f>indirect(address(159,36))+indirect(address(157,37))-indirect(address(158,37))</f>
        <v>0</v>
      </c>
      <c r="AL159">
        <f>indirect(address(159,37))+indirect(address(157,38))-indirect(address(158,38))</f>
        <v>0</v>
      </c>
      <c r="AM159">
        <f>indirect(address(159,38))+indirect(address(157,39))-indirect(address(158,39))</f>
        <v>0</v>
      </c>
      <c r="AN159">
        <f>indirect(address(159,39))+indirect(address(157,40))-indirect(address(158,40))</f>
        <v>0</v>
      </c>
      <c r="AO159">
        <f>indirect(address(159,40))+indirect(address(157,41))-indirect(address(158,41))</f>
        <v>0</v>
      </c>
    </row>
    <row r="160" spans="1:41">
      <c r="I160" t="s">
        <v>14</v>
      </c>
      <c r="AO160">
        <f>sum(j160:an160)</f>
        <v>0</v>
      </c>
    </row>
    <row r="161" spans="1:41">
      <c r="I161" t="s">
        <v>15</v>
      </c>
      <c r="J161">
        <f>sumif(Plan!B:B,"827-009000-120",Plan!j:j)</f>
        <v>0</v>
      </c>
      <c r="K161">
        <f>sumif(Plan!B:B,"827-009000-120",Plan!k:k)</f>
        <v>0</v>
      </c>
      <c r="L161">
        <f>sumif(Plan!B:B,"827-009000-120",Plan!l:l)</f>
        <v>0</v>
      </c>
      <c r="M161">
        <f>sumif(Plan!B:B,"827-009000-120",Plan!m:m)</f>
        <v>0</v>
      </c>
      <c r="N161">
        <f>sumif(Plan!B:B,"827-009000-120",Plan!n:n)</f>
        <v>0</v>
      </c>
      <c r="O161">
        <f>sumif(Plan!B:B,"827-009000-120",Plan!o:o)</f>
        <v>0</v>
      </c>
      <c r="P161">
        <f>sumif(Plan!B:B,"827-009000-120",Plan!p:p)</f>
        <v>0</v>
      </c>
      <c r="Q161">
        <f>sumif(Plan!B:B,"827-009000-120",Plan!q:q)</f>
        <v>0</v>
      </c>
      <c r="R161">
        <f>sumif(Plan!B:B,"827-009000-120",Plan!r:r)</f>
        <v>0</v>
      </c>
      <c r="S161">
        <f>sumif(Plan!B:B,"827-009000-120",Plan!s:s)</f>
        <v>0</v>
      </c>
      <c r="T161">
        <f>sumif(Plan!B:B,"827-009000-120",Plan!t:t)</f>
        <v>0</v>
      </c>
      <c r="U161">
        <f>sumif(Plan!B:B,"827-009000-120",Plan!u:u)</f>
        <v>0</v>
      </c>
      <c r="V161">
        <f>sumif(Plan!B:B,"827-009000-120",Plan!v:v)</f>
        <v>0</v>
      </c>
      <c r="W161">
        <f>sumif(Plan!B:B,"827-009000-120",Plan!w:w)</f>
        <v>0</v>
      </c>
      <c r="X161">
        <f>sumif(Plan!B:B,"827-009000-120",Plan!x:x)</f>
        <v>0</v>
      </c>
      <c r="Y161">
        <f>sumif(Plan!B:B,"827-009000-120",Plan!y:y)</f>
        <v>0</v>
      </c>
      <c r="Z161">
        <f>sumif(Plan!B:B,"827-009000-120",Plan!z:z)</f>
        <v>0</v>
      </c>
      <c r="AA161">
        <f>sumif(Plan!B:B,"827-009000-120",Plan!aa:aa)</f>
        <v>0</v>
      </c>
      <c r="AB161">
        <f>sumif(Plan!B:B,"827-009000-120",Plan!ab:ab)</f>
        <v>0</v>
      </c>
      <c r="AC161">
        <f>sumif(Plan!B:B,"827-009000-120",Plan!ac:ac)</f>
        <v>0</v>
      </c>
      <c r="AD161">
        <f>sumif(Plan!B:B,"827-009000-120",Plan!ad:ad)</f>
        <v>0</v>
      </c>
      <c r="AE161">
        <f>sumif(Plan!B:B,"827-009000-120",Plan!ae:ae)</f>
        <v>0</v>
      </c>
      <c r="AF161">
        <f>sumif(Plan!B:B,"827-009000-120",Plan!af:af)</f>
        <v>0</v>
      </c>
      <c r="AG161">
        <f>sumif(Plan!B:B,"827-009000-120",Plan!ag:ag)</f>
        <v>0</v>
      </c>
      <c r="AH161">
        <f>sumif(Plan!B:B,"827-009000-120",Plan!ah:ah)</f>
        <v>0</v>
      </c>
      <c r="AI161">
        <f>sumif(Plan!B:B,"827-009000-120",Plan!ai:ai)</f>
        <v>0</v>
      </c>
      <c r="AJ161">
        <f>sumif(Plan!B:B,"827-009000-120",Plan!aj:aj)</f>
        <v>0</v>
      </c>
      <c r="AK161">
        <f>sumif(Plan!B:B,"827-009000-120",Plan!ak:ak)</f>
        <v>0</v>
      </c>
      <c r="AL161">
        <f>sumif(Plan!B:B,"827-009000-120",Plan!al:al)</f>
        <v>0</v>
      </c>
      <c r="AM161">
        <f>sumif(Plan!B:B,"827-009000-120",Plan!am:am)</f>
        <v>0</v>
      </c>
      <c r="AN161">
        <f>sumif(Plan!B:B,"827-009000-120",Plan!an:an)</f>
        <v>0</v>
      </c>
      <c r="AO161">
        <f>sumif(Plan!B:B,"827-009000-120",Plan!ao:ao)</f>
        <v>0</v>
      </c>
    </row>
    <row r="162" spans="1:41">
      <c r="A162" t="s">
        <v>17</v>
      </c>
      <c r="B162" t="s">
        <v>99</v>
      </c>
      <c r="C162" t="s">
        <v>113</v>
      </c>
      <c r="E162">
        <v>1</v>
      </c>
      <c r="F162" t="s">
        <v>13</v>
      </c>
      <c r="H162" t="s">
        <v>16</v>
      </c>
      <c r="J162">
        <f>indirect(address(162,9))+indirect(address(160,10))-indirect(address(161,10))</f>
        <v>0</v>
      </c>
      <c r="K162">
        <f>indirect(address(162,10))+indirect(address(160,11))-indirect(address(161,11))</f>
        <v>0</v>
      </c>
      <c r="L162">
        <f>indirect(address(162,11))+indirect(address(160,12))-indirect(address(161,12))</f>
        <v>0</v>
      </c>
      <c r="M162">
        <f>indirect(address(162,12))+indirect(address(160,13))-indirect(address(161,13))</f>
        <v>0</v>
      </c>
      <c r="N162">
        <f>indirect(address(162,13))+indirect(address(160,14))-indirect(address(161,14))</f>
        <v>0</v>
      </c>
      <c r="O162">
        <f>indirect(address(162,14))+indirect(address(160,15))-indirect(address(161,15))</f>
        <v>0</v>
      </c>
      <c r="P162">
        <f>indirect(address(162,15))+indirect(address(160,16))-indirect(address(161,16))</f>
        <v>0</v>
      </c>
      <c r="Q162">
        <f>indirect(address(162,16))+indirect(address(160,17))-indirect(address(161,17))</f>
        <v>0</v>
      </c>
      <c r="R162">
        <f>indirect(address(162,17))+indirect(address(160,18))-indirect(address(161,18))</f>
        <v>0</v>
      </c>
      <c r="S162">
        <f>indirect(address(162,18))+indirect(address(160,19))-indirect(address(161,19))</f>
        <v>0</v>
      </c>
      <c r="T162">
        <f>indirect(address(162,19))+indirect(address(160,20))-indirect(address(161,20))</f>
        <v>0</v>
      </c>
      <c r="U162">
        <f>indirect(address(162,20))+indirect(address(160,21))-indirect(address(161,21))</f>
        <v>0</v>
      </c>
      <c r="V162">
        <f>indirect(address(162,21))+indirect(address(160,22))-indirect(address(161,22))</f>
        <v>0</v>
      </c>
      <c r="W162">
        <f>indirect(address(162,22))+indirect(address(160,23))-indirect(address(161,23))</f>
        <v>0</v>
      </c>
      <c r="X162">
        <f>indirect(address(162,23))+indirect(address(160,24))-indirect(address(161,24))</f>
        <v>0</v>
      </c>
      <c r="Y162">
        <f>indirect(address(162,24))+indirect(address(160,25))-indirect(address(161,25))</f>
        <v>0</v>
      </c>
      <c r="Z162">
        <f>indirect(address(162,25))+indirect(address(160,26))-indirect(address(161,26))</f>
        <v>0</v>
      </c>
      <c r="AA162">
        <f>indirect(address(162,26))+indirect(address(160,27))-indirect(address(161,27))</f>
        <v>0</v>
      </c>
      <c r="AB162">
        <f>indirect(address(162,27))+indirect(address(160,28))-indirect(address(161,28))</f>
        <v>0</v>
      </c>
      <c r="AC162">
        <f>indirect(address(162,28))+indirect(address(160,29))-indirect(address(161,29))</f>
        <v>0</v>
      </c>
      <c r="AD162">
        <f>indirect(address(162,29))+indirect(address(160,30))-indirect(address(161,30))</f>
        <v>0</v>
      </c>
      <c r="AE162">
        <f>indirect(address(162,30))+indirect(address(160,31))-indirect(address(161,31))</f>
        <v>0</v>
      </c>
      <c r="AF162">
        <f>indirect(address(162,31))+indirect(address(160,32))-indirect(address(161,32))</f>
        <v>0</v>
      </c>
      <c r="AG162">
        <f>indirect(address(162,32))+indirect(address(160,33))-indirect(address(161,33))</f>
        <v>0</v>
      </c>
      <c r="AH162">
        <f>indirect(address(162,33))+indirect(address(160,34))-indirect(address(161,34))</f>
        <v>0</v>
      </c>
      <c r="AI162">
        <f>indirect(address(162,34))+indirect(address(160,35))-indirect(address(161,35))</f>
        <v>0</v>
      </c>
      <c r="AJ162">
        <f>indirect(address(162,35))+indirect(address(160,36))-indirect(address(161,36))</f>
        <v>0</v>
      </c>
      <c r="AK162">
        <f>indirect(address(162,36))+indirect(address(160,37))-indirect(address(161,37))</f>
        <v>0</v>
      </c>
      <c r="AL162">
        <f>indirect(address(162,37))+indirect(address(160,38))-indirect(address(161,38))</f>
        <v>0</v>
      </c>
      <c r="AM162">
        <f>indirect(address(162,38))+indirect(address(160,39))-indirect(address(161,39))</f>
        <v>0</v>
      </c>
      <c r="AN162">
        <f>indirect(address(162,39))+indirect(address(160,40))-indirect(address(161,40))</f>
        <v>0</v>
      </c>
      <c r="AO162">
        <f>indirect(address(162,40))+indirect(address(160,41))-indirect(address(161,41))</f>
        <v>0</v>
      </c>
    </row>
    <row r="163" spans="1:41">
      <c r="I163" t="s">
        <v>14</v>
      </c>
      <c r="AO163">
        <f>sum(j163:an163)</f>
        <v>0</v>
      </c>
    </row>
    <row r="164" spans="1:41">
      <c r="I164" t="s">
        <v>15</v>
      </c>
      <c r="J164">
        <f>sumif(Plan!B:B,"827-004000-200",Plan!j:j)</f>
        <v>0</v>
      </c>
      <c r="K164">
        <f>sumif(Plan!B:B,"827-004000-200",Plan!k:k)</f>
        <v>0</v>
      </c>
      <c r="L164">
        <f>sumif(Plan!B:B,"827-004000-200",Plan!l:l)</f>
        <v>0</v>
      </c>
      <c r="M164">
        <f>sumif(Plan!B:B,"827-004000-200",Plan!m:m)</f>
        <v>0</v>
      </c>
      <c r="N164">
        <f>sumif(Plan!B:B,"827-004000-200",Plan!n:n)</f>
        <v>0</v>
      </c>
      <c r="O164">
        <f>sumif(Plan!B:B,"827-004000-200",Plan!o:o)</f>
        <v>0</v>
      </c>
      <c r="P164">
        <f>sumif(Plan!B:B,"827-004000-200",Plan!p:p)</f>
        <v>0</v>
      </c>
      <c r="Q164">
        <f>sumif(Plan!B:B,"827-004000-200",Plan!q:q)</f>
        <v>0</v>
      </c>
      <c r="R164">
        <f>sumif(Plan!B:B,"827-004000-200",Plan!r:r)</f>
        <v>0</v>
      </c>
      <c r="S164">
        <f>sumif(Plan!B:B,"827-004000-200",Plan!s:s)</f>
        <v>0</v>
      </c>
      <c r="T164">
        <f>sumif(Plan!B:B,"827-004000-200",Plan!t:t)</f>
        <v>0</v>
      </c>
      <c r="U164">
        <f>sumif(Plan!B:B,"827-004000-200",Plan!u:u)</f>
        <v>0</v>
      </c>
      <c r="V164">
        <f>sumif(Plan!B:B,"827-004000-200",Plan!v:v)</f>
        <v>0</v>
      </c>
      <c r="W164">
        <f>sumif(Plan!B:B,"827-004000-200",Plan!w:w)</f>
        <v>0</v>
      </c>
      <c r="X164">
        <f>sumif(Plan!B:B,"827-004000-200",Plan!x:x)</f>
        <v>0</v>
      </c>
      <c r="Y164">
        <f>sumif(Plan!B:B,"827-004000-200",Plan!y:y)</f>
        <v>0</v>
      </c>
      <c r="Z164">
        <f>sumif(Plan!B:B,"827-004000-200",Plan!z:z)</f>
        <v>0</v>
      </c>
      <c r="AA164">
        <f>sumif(Plan!B:B,"827-004000-200",Plan!aa:aa)</f>
        <v>0</v>
      </c>
      <c r="AB164">
        <f>sumif(Plan!B:B,"827-004000-200",Plan!ab:ab)</f>
        <v>0</v>
      </c>
      <c r="AC164">
        <f>sumif(Plan!B:B,"827-004000-200",Plan!ac:ac)</f>
        <v>0</v>
      </c>
      <c r="AD164">
        <f>sumif(Plan!B:B,"827-004000-200",Plan!ad:ad)</f>
        <v>0</v>
      </c>
      <c r="AE164">
        <f>sumif(Plan!B:B,"827-004000-200",Plan!ae:ae)</f>
        <v>0</v>
      </c>
      <c r="AF164">
        <f>sumif(Plan!B:B,"827-004000-200",Plan!af:af)</f>
        <v>0</v>
      </c>
      <c r="AG164">
        <f>sumif(Plan!B:B,"827-004000-200",Plan!ag:ag)</f>
        <v>0</v>
      </c>
      <c r="AH164">
        <f>sumif(Plan!B:B,"827-004000-200",Plan!ah:ah)</f>
        <v>0</v>
      </c>
      <c r="AI164">
        <f>sumif(Plan!B:B,"827-004000-200",Plan!ai:ai)</f>
        <v>0</v>
      </c>
      <c r="AJ164">
        <f>sumif(Plan!B:B,"827-004000-200",Plan!aj:aj)</f>
        <v>0</v>
      </c>
      <c r="AK164">
        <f>sumif(Plan!B:B,"827-004000-200",Plan!ak:ak)</f>
        <v>0</v>
      </c>
      <c r="AL164">
        <f>sumif(Plan!B:B,"827-004000-200",Plan!al:al)</f>
        <v>0</v>
      </c>
      <c r="AM164">
        <f>sumif(Plan!B:B,"827-004000-200",Plan!am:am)</f>
        <v>0</v>
      </c>
      <c r="AN164">
        <f>sumif(Plan!B:B,"827-004000-200",Plan!an:an)</f>
        <v>0</v>
      </c>
      <c r="AO164">
        <f>sumif(Plan!B:B,"827-004000-200",Plan!ao:ao)</f>
        <v>0</v>
      </c>
    </row>
    <row r="165" spans="1:41">
      <c r="A165" t="s">
        <v>17</v>
      </c>
      <c r="B165" t="s">
        <v>128</v>
      </c>
      <c r="C165" t="s">
        <v>129</v>
      </c>
      <c r="E165">
        <v>1</v>
      </c>
      <c r="F165" t="s">
        <v>13</v>
      </c>
      <c r="H165" t="s">
        <v>16</v>
      </c>
      <c r="J165">
        <f>indirect(address(165,9))+indirect(address(163,10))-indirect(address(164,10))</f>
        <v>0</v>
      </c>
      <c r="K165">
        <f>indirect(address(165,10))+indirect(address(163,11))-indirect(address(164,11))</f>
        <v>0</v>
      </c>
      <c r="L165">
        <f>indirect(address(165,11))+indirect(address(163,12))-indirect(address(164,12))</f>
        <v>0</v>
      </c>
      <c r="M165">
        <f>indirect(address(165,12))+indirect(address(163,13))-indirect(address(164,13))</f>
        <v>0</v>
      </c>
      <c r="N165">
        <f>indirect(address(165,13))+indirect(address(163,14))-indirect(address(164,14))</f>
        <v>0</v>
      </c>
      <c r="O165">
        <f>indirect(address(165,14))+indirect(address(163,15))-indirect(address(164,15))</f>
        <v>0</v>
      </c>
      <c r="P165">
        <f>indirect(address(165,15))+indirect(address(163,16))-indirect(address(164,16))</f>
        <v>0</v>
      </c>
      <c r="Q165">
        <f>indirect(address(165,16))+indirect(address(163,17))-indirect(address(164,17))</f>
        <v>0</v>
      </c>
      <c r="R165">
        <f>indirect(address(165,17))+indirect(address(163,18))-indirect(address(164,18))</f>
        <v>0</v>
      </c>
      <c r="S165">
        <f>indirect(address(165,18))+indirect(address(163,19))-indirect(address(164,19))</f>
        <v>0</v>
      </c>
      <c r="T165">
        <f>indirect(address(165,19))+indirect(address(163,20))-indirect(address(164,20))</f>
        <v>0</v>
      </c>
      <c r="U165">
        <f>indirect(address(165,20))+indirect(address(163,21))-indirect(address(164,21))</f>
        <v>0</v>
      </c>
      <c r="V165">
        <f>indirect(address(165,21))+indirect(address(163,22))-indirect(address(164,22))</f>
        <v>0</v>
      </c>
      <c r="W165">
        <f>indirect(address(165,22))+indirect(address(163,23))-indirect(address(164,23))</f>
        <v>0</v>
      </c>
      <c r="X165">
        <f>indirect(address(165,23))+indirect(address(163,24))-indirect(address(164,24))</f>
        <v>0</v>
      </c>
      <c r="Y165">
        <f>indirect(address(165,24))+indirect(address(163,25))-indirect(address(164,25))</f>
        <v>0</v>
      </c>
      <c r="Z165">
        <f>indirect(address(165,25))+indirect(address(163,26))-indirect(address(164,26))</f>
        <v>0</v>
      </c>
      <c r="AA165">
        <f>indirect(address(165,26))+indirect(address(163,27))-indirect(address(164,27))</f>
        <v>0</v>
      </c>
      <c r="AB165">
        <f>indirect(address(165,27))+indirect(address(163,28))-indirect(address(164,28))</f>
        <v>0</v>
      </c>
      <c r="AC165">
        <f>indirect(address(165,28))+indirect(address(163,29))-indirect(address(164,29))</f>
        <v>0</v>
      </c>
      <c r="AD165">
        <f>indirect(address(165,29))+indirect(address(163,30))-indirect(address(164,30))</f>
        <v>0</v>
      </c>
      <c r="AE165">
        <f>indirect(address(165,30))+indirect(address(163,31))-indirect(address(164,31))</f>
        <v>0</v>
      </c>
      <c r="AF165">
        <f>indirect(address(165,31))+indirect(address(163,32))-indirect(address(164,32))</f>
        <v>0</v>
      </c>
      <c r="AG165">
        <f>indirect(address(165,32))+indirect(address(163,33))-indirect(address(164,33))</f>
        <v>0</v>
      </c>
      <c r="AH165">
        <f>indirect(address(165,33))+indirect(address(163,34))-indirect(address(164,34))</f>
        <v>0</v>
      </c>
      <c r="AI165">
        <f>indirect(address(165,34))+indirect(address(163,35))-indirect(address(164,35))</f>
        <v>0</v>
      </c>
      <c r="AJ165">
        <f>indirect(address(165,35))+indirect(address(163,36))-indirect(address(164,36))</f>
        <v>0</v>
      </c>
      <c r="AK165">
        <f>indirect(address(165,36))+indirect(address(163,37))-indirect(address(164,37))</f>
        <v>0</v>
      </c>
      <c r="AL165">
        <f>indirect(address(165,37))+indirect(address(163,38))-indirect(address(164,38))</f>
        <v>0</v>
      </c>
      <c r="AM165">
        <f>indirect(address(165,38))+indirect(address(163,39))-indirect(address(164,39))</f>
        <v>0</v>
      </c>
      <c r="AN165">
        <f>indirect(address(165,39))+indirect(address(163,40))-indirect(address(164,40))</f>
        <v>0</v>
      </c>
      <c r="AO165">
        <f>indirect(address(165,40))+indirect(address(163,41))-indirect(address(164,41))</f>
        <v>0</v>
      </c>
    </row>
    <row r="166" spans="1:41">
      <c r="I166" t="s">
        <v>14</v>
      </c>
      <c r="AO166">
        <f>sum(j166:an166)</f>
        <v>0</v>
      </c>
    </row>
    <row r="167" spans="1:41">
      <c r="I167" t="s">
        <v>15</v>
      </c>
      <c r="J167">
        <f>sumif(Plan!B:B,"827-005000-200",Plan!j:j)</f>
        <v>0</v>
      </c>
      <c r="K167">
        <f>sumif(Plan!B:B,"827-005000-200",Plan!k:k)</f>
        <v>0</v>
      </c>
      <c r="L167">
        <f>sumif(Plan!B:B,"827-005000-200",Plan!l:l)</f>
        <v>0</v>
      </c>
      <c r="M167">
        <f>sumif(Plan!B:B,"827-005000-200",Plan!m:m)</f>
        <v>0</v>
      </c>
      <c r="N167">
        <f>sumif(Plan!B:B,"827-005000-200",Plan!n:n)</f>
        <v>0</v>
      </c>
      <c r="O167">
        <f>sumif(Plan!B:B,"827-005000-200",Plan!o:o)</f>
        <v>0</v>
      </c>
      <c r="P167">
        <f>sumif(Plan!B:B,"827-005000-200",Plan!p:p)</f>
        <v>0</v>
      </c>
      <c r="Q167">
        <f>sumif(Plan!B:B,"827-005000-200",Plan!q:q)</f>
        <v>0</v>
      </c>
      <c r="R167">
        <f>sumif(Plan!B:B,"827-005000-200",Plan!r:r)</f>
        <v>0</v>
      </c>
      <c r="S167">
        <f>sumif(Plan!B:B,"827-005000-200",Plan!s:s)</f>
        <v>0</v>
      </c>
      <c r="T167">
        <f>sumif(Plan!B:B,"827-005000-200",Plan!t:t)</f>
        <v>0</v>
      </c>
      <c r="U167">
        <f>sumif(Plan!B:B,"827-005000-200",Plan!u:u)</f>
        <v>0</v>
      </c>
      <c r="V167">
        <f>sumif(Plan!B:B,"827-005000-200",Plan!v:v)</f>
        <v>0</v>
      </c>
      <c r="W167">
        <f>sumif(Plan!B:B,"827-005000-200",Plan!w:w)</f>
        <v>0</v>
      </c>
      <c r="X167">
        <f>sumif(Plan!B:B,"827-005000-200",Plan!x:x)</f>
        <v>0</v>
      </c>
      <c r="Y167">
        <f>sumif(Plan!B:B,"827-005000-200",Plan!y:y)</f>
        <v>0</v>
      </c>
      <c r="Z167">
        <f>sumif(Plan!B:B,"827-005000-200",Plan!z:z)</f>
        <v>0</v>
      </c>
      <c r="AA167">
        <f>sumif(Plan!B:B,"827-005000-200",Plan!aa:aa)</f>
        <v>0</v>
      </c>
      <c r="AB167">
        <f>sumif(Plan!B:B,"827-005000-200",Plan!ab:ab)</f>
        <v>0</v>
      </c>
      <c r="AC167">
        <f>sumif(Plan!B:B,"827-005000-200",Plan!ac:ac)</f>
        <v>0</v>
      </c>
      <c r="AD167">
        <f>sumif(Plan!B:B,"827-005000-200",Plan!ad:ad)</f>
        <v>0</v>
      </c>
      <c r="AE167">
        <f>sumif(Plan!B:B,"827-005000-200",Plan!ae:ae)</f>
        <v>0</v>
      </c>
      <c r="AF167">
        <f>sumif(Plan!B:B,"827-005000-200",Plan!af:af)</f>
        <v>0</v>
      </c>
      <c r="AG167">
        <f>sumif(Plan!B:B,"827-005000-200",Plan!ag:ag)</f>
        <v>0</v>
      </c>
      <c r="AH167">
        <f>sumif(Plan!B:B,"827-005000-200",Plan!ah:ah)</f>
        <v>0</v>
      </c>
      <c r="AI167">
        <f>sumif(Plan!B:B,"827-005000-200",Plan!ai:ai)</f>
        <v>0</v>
      </c>
      <c r="AJ167">
        <f>sumif(Plan!B:B,"827-005000-200",Plan!aj:aj)</f>
        <v>0</v>
      </c>
      <c r="AK167">
        <f>sumif(Plan!B:B,"827-005000-200",Plan!ak:ak)</f>
        <v>0</v>
      </c>
      <c r="AL167">
        <f>sumif(Plan!B:B,"827-005000-200",Plan!al:al)</f>
        <v>0</v>
      </c>
      <c r="AM167">
        <f>sumif(Plan!B:B,"827-005000-200",Plan!am:am)</f>
        <v>0</v>
      </c>
      <c r="AN167">
        <f>sumif(Plan!B:B,"827-005000-200",Plan!an:an)</f>
        <v>0</v>
      </c>
      <c r="AO167">
        <f>sumif(Plan!B:B,"827-005000-200",Plan!ao:ao)</f>
        <v>0</v>
      </c>
    </row>
    <row r="168" spans="1:41">
      <c r="A168" t="s">
        <v>17</v>
      </c>
      <c r="B168" t="s">
        <v>130</v>
      </c>
      <c r="C168" t="s">
        <v>131</v>
      </c>
      <c r="E168">
        <v>1</v>
      </c>
      <c r="F168" t="s">
        <v>13</v>
      </c>
      <c r="H168" t="s">
        <v>16</v>
      </c>
      <c r="J168">
        <f>indirect(address(168,9))+indirect(address(166,10))-indirect(address(167,10))</f>
        <v>0</v>
      </c>
      <c r="K168">
        <f>indirect(address(168,10))+indirect(address(166,11))-indirect(address(167,11))</f>
        <v>0</v>
      </c>
      <c r="L168">
        <f>indirect(address(168,11))+indirect(address(166,12))-indirect(address(167,12))</f>
        <v>0</v>
      </c>
      <c r="M168">
        <f>indirect(address(168,12))+indirect(address(166,13))-indirect(address(167,13))</f>
        <v>0</v>
      </c>
      <c r="N168">
        <f>indirect(address(168,13))+indirect(address(166,14))-indirect(address(167,14))</f>
        <v>0</v>
      </c>
      <c r="O168">
        <f>indirect(address(168,14))+indirect(address(166,15))-indirect(address(167,15))</f>
        <v>0</v>
      </c>
      <c r="P168">
        <f>indirect(address(168,15))+indirect(address(166,16))-indirect(address(167,16))</f>
        <v>0</v>
      </c>
      <c r="Q168">
        <f>indirect(address(168,16))+indirect(address(166,17))-indirect(address(167,17))</f>
        <v>0</v>
      </c>
      <c r="R168">
        <f>indirect(address(168,17))+indirect(address(166,18))-indirect(address(167,18))</f>
        <v>0</v>
      </c>
      <c r="S168">
        <f>indirect(address(168,18))+indirect(address(166,19))-indirect(address(167,19))</f>
        <v>0</v>
      </c>
      <c r="T168">
        <f>indirect(address(168,19))+indirect(address(166,20))-indirect(address(167,20))</f>
        <v>0</v>
      </c>
      <c r="U168">
        <f>indirect(address(168,20))+indirect(address(166,21))-indirect(address(167,21))</f>
        <v>0</v>
      </c>
      <c r="V168">
        <f>indirect(address(168,21))+indirect(address(166,22))-indirect(address(167,22))</f>
        <v>0</v>
      </c>
      <c r="W168">
        <f>indirect(address(168,22))+indirect(address(166,23))-indirect(address(167,23))</f>
        <v>0</v>
      </c>
      <c r="X168">
        <f>indirect(address(168,23))+indirect(address(166,24))-indirect(address(167,24))</f>
        <v>0</v>
      </c>
      <c r="Y168">
        <f>indirect(address(168,24))+indirect(address(166,25))-indirect(address(167,25))</f>
        <v>0</v>
      </c>
      <c r="Z168">
        <f>indirect(address(168,25))+indirect(address(166,26))-indirect(address(167,26))</f>
        <v>0</v>
      </c>
      <c r="AA168">
        <f>indirect(address(168,26))+indirect(address(166,27))-indirect(address(167,27))</f>
        <v>0</v>
      </c>
      <c r="AB168">
        <f>indirect(address(168,27))+indirect(address(166,28))-indirect(address(167,28))</f>
        <v>0</v>
      </c>
      <c r="AC168">
        <f>indirect(address(168,28))+indirect(address(166,29))-indirect(address(167,29))</f>
        <v>0</v>
      </c>
      <c r="AD168">
        <f>indirect(address(168,29))+indirect(address(166,30))-indirect(address(167,30))</f>
        <v>0</v>
      </c>
      <c r="AE168">
        <f>indirect(address(168,30))+indirect(address(166,31))-indirect(address(167,31))</f>
        <v>0</v>
      </c>
      <c r="AF168">
        <f>indirect(address(168,31))+indirect(address(166,32))-indirect(address(167,32))</f>
        <v>0</v>
      </c>
      <c r="AG168">
        <f>indirect(address(168,32))+indirect(address(166,33))-indirect(address(167,33))</f>
        <v>0</v>
      </c>
      <c r="AH168">
        <f>indirect(address(168,33))+indirect(address(166,34))-indirect(address(167,34))</f>
        <v>0</v>
      </c>
      <c r="AI168">
        <f>indirect(address(168,34))+indirect(address(166,35))-indirect(address(167,35))</f>
        <v>0</v>
      </c>
      <c r="AJ168">
        <f>indirect(address(168,35))+indirect(address(166,36))-indirect(address(167,36))</f>
        <v>0</v>
      </c>
      <c r="AK168">
        <f>indirect(address(168,36))+indirect(address(166,37))-indirect(address(167,37))</f>
        <v>0</v>
      </c>
      <c r="AL168">
        <f>indirect(address(168,37))+indirect(address(166,38))-indirect(address(167,38))</f>
        <v>0</v>
      </c>
      <c r="AM168">
        <f>indirect(address(168,38))+indirect(address(166,39))-indirect(address(167,39))</f>
        <v>0</v>
      </c>
      <c r="AN168">
        <f>indirect(address(168,39))+indirect(address(166,40))-indirect(address(167,40))</f>
        <v>0</v>
      </c>
      <c r="AO168">
        <f>indirect(address(168,40))+indirect(address(166,41))-indirect(address(167,41))</f>
        <v>0</v>
      </c>
    </row>
    <row r="169" spans="1:41">
      <c r="I169" t="s">
        <v>14</v>
      </c>
      <c r="AO169">
        <f>sum(j169:an169)</f>
        <v>0</v>
      </c>
    </row>
    <row r="170" spans="1:41">
      <c r="I170" t="s">
        <v>15</v>
      </c>
      <c r="J170">
        <f>sumif(Plan!B:B,"827-006000-200",Plan!j:j)</f>
        <v>0</v>
      </c>
      <c r="K170">
        <f>sumif(Plan!B:B,"827-006000-200",Plan!k:k)</f>
        <v>0</v>
      </c>
      <c r="L170">
        <f>sumif(Plan!B:B,"827-006000-200",Plan!l:l)</f>
        <v>0</v>
      </c>
      <c r="M170">
        <f>sumif(Plan!B:B,"827-006000-200",Plan!m:m)</f>
        <v>0</v>
      </c>
      <c r="N170">
        <f>sumif(Plan!B:B,"827-006000-200",Plan!n:n)</f>
        <v>0</v>
      </c>
      <c r="O170">
        <f>sumif(Plan!B:B,"827-006000-200",Plan!o:o)</f>
        <v>0</v>
      </c>
      <c r="P170">
        <f>sumif(Plan!B:B,"827-006000-200",Plan!p:p)</f>
        <v>0</v>
      </c>
      <c r="Q170">
        <f>sumif(Plan!B:B,"827-006000-200",Plan!q:q)</f>
        <v>0</v>
      </c>
      <c r="R170">
        <f>sumif(Plan!B:B,"827-006000-200",Plan!r:r)</f>
        <v>0</v>
      </c>
      <c r="S170">
        <f>sumif(Plan!B:B,"827-006000-200",Plan!s:s)</f>
        <v>0</v>
      </c>
      <c r="T170">
        <f>sumif(Plan!B:B,"827-006000-200",Plan!t:t)</f>
        <v>0</v>
      </c>
      <c r="U170">
        <f>sumif(Plan!B:B,"827-006000-200",Plan!u:u)</f>
        <v>0</v>
      </c>
      <c r="V170">
        <f>sumif(Plan!B:B,"827-006000-200",Plan!v:v)</f>
        <v>0</v>
      </c>
      <c r="W170">
        <f>sumif(Plan!B:B,"827-006000-200",Plan!w:w)</f>
        <v>0</v>
      </c>
      <c r="X170">
        <f>sumif(Plan!B:B,"827-006000-200",Plan!x:x)</f>
        <v>0</v>
      </c>
      <c r="Y170">
        <f>sumif(Plan!B:B,"827-006000-200",Plan!y:y)</f>
        <v>0</v>
      </c>
      <c r="Z170">
        <f>sumif(Plan!B:B,"827-006000-200",Plan!z:z)</f>
        <v>0</v>
      </c>
      <c r="AA170">
        <f>sumif(Plan!B:B,"827-006000-200",Plan!aa:aa)</f>
        <v>0</v>
      </c>
      <c r="AB170">
        <f>sumif(Plan!B:B,"827-006000-200",Plan!ab:ab)</f>
        <v>0</v>
      </c>
      <c r="AC170">
        <f>sumif(Plan!B:B,"827-006000-200",Plan!ac:ac)</f>
        <v>0</v>
      </c>
      <c r="AD170">
        <f>sumif(Plan!B:B,"827-006000-200",Plan!ad:ad)</f>
        <v>0</v>
      </c>
      <c r="AE170">
        <f>sumif(Plan!B:B,"827-006000-200",Plan!ae:ae)</f>
        <v>0</v>
      </c>
      <c r="AF170">
        <f>sumif(Plan!B:B,"827-006000-200",Plan!af:af)</f>
        <v>0</v>
      </c>
      <c r="AG170">
        <f>sumif(Plan!B:B,"827-006000-200",Plan!ag:ag)</f>
        <v>0</v>
      </c>
      <c r="AH170">
        <f>sumif(Plan!B:B,"827-006000-200",Plan!ah:ah)</f>
        <v>0</v>
      </c>
      <c r="AI170">
        <f>sumif(Plan!B:B,"827-006000-200",Plan!ai:ai)</f>
        <v>0</v>
      </c>
      <c r="AJ170">
        <f>sumif(Plan!B:B,"827-006000-200",Plan!aj:aj)</f>
        <v>0</v>
      </c>
      <c r="AK170">
        <f>sumif(Plan!B:B,"827-006000-200",Plan!ak:ak)</f>
        <v>0</v>
      </c>
      <c r="AL170">
        <f>sumif(Plan!B:B,"827-006000-200",Plan!al:al)</f>
        <v>0</v>
      </c>
      <c r="AM170">
        <f>sumif(Plan!B:B,"827-006000-200",Plan!am:am)</f>
        <v>0</v>
      </c>
      <c r="AN170">
        <f>sumif(Plan!B:B,"827-006000-200",Plan!an:an)</f>
        <v>0</v>
      </c>
      <c r="AO170">
        <f>sumif(Plan!B:B,"827-006000-200",Plan!ao:ao)</f>
        <v>0</v>
      </c>
    </row>
    <row r="171" spans="1:41">
      <c r="A171" t="s">
        <v>17</v>
      </c>
      <c r="B171" t="s">
        <v>132</v>
      </c>
      <c r="C171" t="s">
        <v>133</v>
      </c>
      <c r="E171">
        <v>1</v>
      </c>
      <c r="F171" t="s">
        <v>13</v>
      </c>
      <c r="H171" t="s">
        <v>16</v>
      </c>
      <c r="J171">
        <f>indirect(address(171,9))+indirect(address(169,10))-indirect(address(170,10))</f>
        <v>0</v>
      </c>
      <c r="K171">
        <f>indirect(address(171,10))+indirect(address(169,11))-indirect(address(170,11))</f>
        <v>0</v>
      </c>
      <c r="L171">
        <f>indirect(address(171,11))+indirect(address(169,12))-indirect(address(170,12))</f>
        <v>0</v>
      </c>
      <c r="M171">
        <f>indirect(address(171,12))+indirect(address(169,13))-indirect(address(170,13))</f>
        <v>0</v>
      </c>
      <c r="N171">
        <f>indirect(address(171,13))+indirect(address(169,14))-indirect(address(170,14))</f>
        <v>0</v>
      </c>
      <c r="O171">
        <f>indirect(address(171,14))+indirect(address(169,15))-indirect(address(170,15))</f>
        <v>0</v>
      </c>
      <c r="P171">
        <f>indirect(address(171,15))+indirect(address(169,16))-indirect(address(170,16))</f>
        <v>0</v>
      </c>
      <c r="Q171">
        <f>indirect(address(171,16))+indirect(address(169,17))-indirect(address(170,17))</f>
        <v>0</v>
      </c>
      <c r="R171">
        <f>indirect(address(171,17))+indirect(address(169,18))-indirect(address(170,18))</f>
        <v>0</v>
      </c>
      <c r="S171">
        <f>indirect(address(171,18))+indirect(address(169,19))-indirect(address(170,19))</f>
        <v>0</v>
      </c>
      <c r="T171">
        <f>indirect(address(171,19))+indirect(address(169,20))-indirect(address(170,20))</f>
        <v>0</v>
      </c>
      <c r="U171">
        <f>indirect(address(171,20))+indirect(address(169,21))-indirect(address(170,21))</f>
        <v>0</v>
      </c>
      <c r="V171">
        <f>indirect(address(171,21))+indirect(address(169,22))-indirect(address(170,22))</f>
        <v>0</v>
      </c>
      <c r="W171">
        <f>indirect(address(171,22))+indirect(address(169,23))-indirect(address(170,23))</f>
        <v>0</v>
      </c>
      <c r="X171">
        <f>indirect(address(171,23))+indirect(address(169,24))-indirect(address(170,24))</f>
        <v>0</v>
      </c>
      <c r="Y171">
        <f>indirect(address(171,24))+indirect(address(169,25))-indirect(address(170,25))</f>
        <v>0</v>
      </c>
      <c r="Z171">
        <f>indirect(address(171,25))+indirect(address(169,26))-indirect(address(170,26))</f>
        <v>0</v>
      </c>
      <c r="AA171">
        <f>indirect(address(171,26))+indirect(address(169,27))-indirect(address(170,27))</f>
        <v>0</v>
      </c>
      <c r="AB171">
        <f>indirect(address(171,27))+indirect(address(169,28))-indirect(address(170,28))</f>
        <v>0</v>
      </c>
      <c r="AC171">
        <f>indirect(address(171,28))+indirect(address(169,29))-indirect(address(170,29))</f>
        <v>0</v>
      </c>
      <c r="AD171">
        <f>indirect(address(171,29))+indirect(address(169,30))-indirect(address(170,30))</f>
        <v>0</v>
      </c>
      <c r="AE171">
        <f>indirect(address(171,30))+indirect(address(169,31))-indirect(address(170,31))</f>
        <v>0</v>
      </c>
      <c r="AF171">
        <f>indirect(address(171,31))+indirect(address(169,32))-indirect(address(170,32))</f>
        <v>0</v>
      </c>
      <c r="AG171">
        <f>indirect(address(171,32))+indirect(address(169,33))-indirect(address(170,33))</f>
        <v>0</v>
      </c>
      <c r="AH171">
        <f>indirect(address(171,33))+indirect(address(169,34))-indirect(address(170,34))</f>
        <v>0</v>
      </c>
      <c r="AI171">
        <f>indirect(address(171,34))+indirect(address(169,35))-indirect(address(170,35))</f>
        <v>0</v>
      </c>
      <c r="AJ171">
        <f>indirect(address(171,35))+indirect(address(169,36))-indirect(address(170,36))</f>
        <v>0</v>
      </c>
      <c r="AK171">
        <f>indirect(address(171,36))+indirect(address(169,37))-indirect(address(170,37))</f>
        <v>0</v>
      </c>
      <c r="AL171">
        <f>indirect(address(171,37))+indirect(address(169,38))-indirect(address(170,38))</f>
        <v>0</v>
      </c>
      <c r="AM171">
        <f>indirect(address(171,38))+indirect(address(169,39))-indirect(address(170,39))</f>
        <v>0</v>
      </c>
      <c r="AN171">
        <f>indirect(address(171,39))+indirect(address(169,40))-indirect(address(170,40))</f>
        <v>0</v>
      </c>
      <c r="AO171">
        <f>indirect(address(171,40))+indirect(address(169,41))-indirect(address(170,41))</f>
        <v>0</v>
      </c>
    </row>
    <row r="172" spans="1:41">
      <c r="I172" t="s">
        <v>14</v>
      </c>
      <c r="AO172">
        <f>sum(j172:an172)</f>
        <v>0</v>
      </c>
    </row>
    <row r="173" spans="1:41">
      <c r="I173" t="s">
        <v>15</v>
      </c>
      <c r="J173">
        <f>sumif(Plan!B:B,"263-000000-005",Plan!j:j)</f>
        <v>0</v>
      </c>
      <c r="K173">
        <f>sumif(Plan!B:B,"263-000000-005",Plan!k:k)</f>
        <v>0</v>
      </c>
      <c r="L173">
        <f>sumif(Plan!B:B,"263-000000-005",Plan!l:l)</f>
        <v>0</v>
      </c>
      <c r="M173">
        <f>sumif(Plan!B:B,"263-000000-005",Plan!m:m)</f>
        <v>0</v>
      </c>
      <c r="N173">
        <f>sumif(Plan!B:B,"263-000000-005",Plan!n:n)</f>
        <v>0</v>
      </c>
      <c r="O173">
        <f>sumif(Plan!B:B,"263-000000-005",Plan!o:o)</f>
        <v>0</v>
      </c>
      <c r="P173">
        <f>sumif(Plan!B:B,"263-000000-005",Plan!p:p)</f>
        <v>0</v>
      </c>
      <c r="Q173">
        <f>sumif(Plan!B:B,"263-000000-005",Plan!q:q)</f>
        <v>0</v>
      </c>
      <c r="R173">
        <f>sumif(Plan!B:B,"263-000000-005",Plan!r:r)</f>
        <v>0</v>
      </c>
      <c r="S173">
        <f>sumif(Plan!B:B,"263-000000-005",Plan!s:s)</f>
        <v>0</v>
      </c>
      <c r="T173">
        <f>sumif(Plan!B:B,"263-000000-005",Plan!t:t)</f>
        <v>0</v>
      </c>
      <c r="U173">
        <f>sumif(Plan!B:B,"263-000000-005",Plan!u:u)</f>
        <v>0</v>
      </c>
      <c r="V173">
        <f>sumif(Plan!B:B,"263-000000-005",Plan!v:v)</f>
        <v>0</v>
      </c>
      <c r="W173">
        <f>sumif(Plan!B:B,"263-000000-005",Plan!w:w)</f>
        <v>0</v>
      </c>
      <c r="X173">
        <f>sumif(Plan!B:B,"263-000000-005",Plan!x:x)</f>
        <v>0</v>
      </c>
      <c r="Y173">
        <f>sumif(Plan!B:B,"263-000000-005",Plan!y:y)</f>
        <v>0</v>
      </c>
      <c r="Z173">
        <f>sumif(Plan!B:B,"263-000000-005",Plan!z:z)</f>
        <v>0</v>
      </c>
      <c r="AA173">
        <f>sumif(Plan!B:B,"263-000000-005",Plan!aa:aa)</f>
        <v>0</v>
      </c>
      <c r="AB173">
        <f>sumif(Plan!B:B,"263-000000-005",Plan!ab:ab)</f>
        <v>0</v>
      </c>
      <c r="AC173">
        <f>sumif(Plan!B:B,"263-000000-005",Plan!ac:ac)</f>
        <v>0</v>
      </c>
      <c r="AD173">
        <f>sumif(Plan!B:B,"263-000000-005",Plan!ad:ad)</f>
        <v>0</v>
      </c>
      <c r="AE173">
        <f>sumif(Plan!B:B,"263-000000-005",Plan!ae:ae)</f>
        <v>0</v>
      </c>
      <c r="AF173">
        <f>sumif(Plan!B:B,"263-000000-005",Plan!af:af)</f>
        <v>0</v>
      </c>
      <c r="AG173">
        <f>sumif(Plan!B:B,"263-000000-005",Plan!ag:ag)</f>
        <v>0</v>
      </c>
      <c r="AH173">
        <f>sumif(Plan!B:B,"263-000000-005",Plan!ah:ah)</f>
        <v>0</v>
      </c>
      <c r="AI173">
        <f>sumif(Plan!B:B,"263-000000-005",Plan!ai:ai)</f>
        <v>0</v>
      </c>
      <c r="AJ173">
        <f>sumif(Plan!B:B,"263-000000-005",Plan!aj:aj)</f>
        <v>0</v>
      </c>
      <c r="AK173">
        <f>sumif(Plan!B:B,"263-000000-005",Plan!ak:ak)</f>
        <v>0</v>
      </c>
      <c r="AL173">
        <f>sumif(Plan!B:B,"263-000000-005",Plan!al:al)</f>
        <v>0</v>
      </c>
      <c r="AM173">
        <f>sumif(Plan!B:B,"263-000000-005",Plan!am:am)</f>
        <v>0</v>
      </c>
      <c r="AN173">
        <f>sumif(Plan!B:B,"263-000000-005",Plan!an:an)</f>
        <v>0</v>
      </c>
      <c r="AO173">
        <f>sumif(Plan!B:B,"263-000000-005",Plan!ao:ao)</f>
        <v>0</v>
      </c>
    </row>
    <row r="174" spans="1:41">
      <c r="A174" t="s">
        <v>22</v>
      </c>
      <c r="B174" t="s">
        <v>134</v>
      </c>
      <c r="C174" t="s">
        <v>135</v>
      </c>
      <c r="E174">
        <v>1</v>
      </c>
      <c r="F174" t="s">
        <v>13</v>
      </c>
      <c r="H174" t="s">
        <v>16</v>
      </c>
      <c r="J174">
        <f>indirect(address(174,9))+indirect(address(172,10))-indirect(address(173,10))</f>
        <v>0</v>
      </c>
      <c r="K174">
        <f>indirect(address(174,10))+indirect(address(172,11))-indirect(address(173,11))</f>
        <v>0</v>
      </c>
      <c r="L174">
        <f>indirect(address(174,11))+indirect(address(172,12))-indirect(address(173,12))</f>
        <v>0</v>
      </c>
      <c r="M174">
        <f>indirect(address(174,12))+indirect(address(172,13))-indirect(address(173,13))</f>
        <v>0</v>
      </c>
      <c r="N174">
        <f>indirect(address(174,13))+indirect(address(172,14))-indirect(address(173,14))</f>
        <v>0</v>
      </c>
      <c r="O174">
        <f>indirect(address(174,14))+indirect(address(172,15))-indirect(address(173,15))</f>
        <v>0</v>
      </c>
      <c r="P174">
        <f>indirect(address(174,15))+indirect(address(172,16))-indirect(address(173,16))</f>
        <v>0</v>
      </c>
      <c r="Q174">
        <f>indirect(address(174,16))+indirect(address(172,17))-indirect(address(173,17))</f>
        <v>0</v>
      </c>
      <c r="R174">
        <f>indirect(address(174,17))+indirect(address(172,18))-indirect(address(173,18))</f>
        <v>0</v>
      </c>
      <c r="S174">
        <f>indirect(address(174,18))+indirect(address(172,19))-indirect(address(173,19))</f>
        <v>0</v>
      </c>
      <c r="T174">
        <f>indirect(address(174,19))+indirect(address(172,20))-indirect(address(173,20))</f>
        <v>0</v>
      </c>
      <c r="U174">
        <f>indirect(address(174,20))+indirect(address(172,21))-indirect(address(173,21))</f>
        <v>0</v>
      </c>
      <c r="V174">
        <f>indirect(address(174,21))+indirect(address(172,22))-indirect(address(173,22))</f>
        <v>0</v>
      </c>
      <c r="W174">
        <f>indirect(address(174,22))+indirect(address(172,23))-indirect(address(173,23))</f>
        <v>0</v>
      </c>
      <c r="X174">
        <f>indirect(address(174,23))+indirect(address(172,24))-indirect(address(173,24))</f>
        <v>0</v>
      </c>
      <c r="Y174">
        <f>indirect(address(174,24))+indirect(address(172,25))-indirect(address(173,25))</f>
        <v>0</v>
      </c>
      <c r="Z174">
        <f>indirect(address(174,25))+indirect(address(172,26))-indirect(address(173,26))</f>
        <v>0</v>
      </c>
      <c r="AA174">
        <f>indirect(address(174,26))+indirect(address(172,27))-indirect(address(173,27))</f>
        <v>0</v>
      </c>
      <c r="AB174">
        <f>indirect(address(174,27))+indirect(address(172,28))-indirect(address(173,28))</f>
        <v>0</v>
      </c>
      <c r="AC174">
        <f>indirect(address(174,28))+indirect(address(172,29))-indirect(address(173,29))</f>
        <v>0</v>
      </c>
      <c r="AD174">
        <f>indirect(address(174,29))+indirect(address(172,30))-indirect(address(173,30))</f>
        <v>0</v>
      </c>
      <c r="AE174">
        <f>indirect(address(174,30))+indirect(address(172,31))-indirect(address(173,31))</f>
        <v>0</v>
      </c>
      <c r="AF174">
        <f>indirect(address(174,31))+indirect(address(172,32))-indirect(address(173,32))</f>
        <v>0</v>
      </c>
      <c r="AG174">
        <f>indirect(address(174,32))+indirect(address(172,33))-indirect(address(173,33))</f>
        <v>0</v>
      </c>
      <c r="AH174">
        <f>indirect(address(174,33))+indirect(address(172,34))-indirect(address(173,34))</f>
        <v>0</v>
      </c>
      <c r="AI174">
        <f>indirect(address(174,34))+indirect(address(172,35))-indirect(address(173,35))</f>
        <v>0</v>
      </c>
      <c r="AJ174">
        <f>indirect(address(174,35))+indirect(address(172,36))-indirect(address(173,36))</f>
        <v>0</v>
      </c>
      <c r="AK174">
        <f>indirect(address(174,36))+indirect(address(172,37))-indirect(address(173,37))</f>
        <v>0</v>
      </c>
      <c r="AL174">
        <f>indirect(address(174,37))+indirect(address(172,38))-indirect(address(173,38))</f>
        <v>0</v>
      </c>
      <c r="AM174">
        <f>indirect(address(174,38))+indirect(address(172,39))-indirect(address(173,39))</f>
        <v>0</v>
      </c>
      <c r="AN174">
        <f>indirect(address(174,39))+indirect(address(172,40))-indirect(address(173,40))</f>
        <v>0</v>
      </c>
      <c r="AO174">
        <f>indirect(address(174,40))+indirect(address(172,41))-indirect(address(173,41))</f>
        <v>0</v>
      </c>
    </row>
    <row r="175" spans="1:41">
      <c r="I175" t="s">
        <v>14</v>
      </c>
      <c r="AO175">
        <f>sum(j175:an175)</f>
        <v>0</v>
      </c>
    </row>
    <row r="176" spans="1:41">
      <c r="I176" t="s">
        <v>15</v>
      </c>
      <c r="J176">
        <f>sumif(Plan!B:B,"263-000000-009",Plan!j:j)</f>
        <v>0</v>
      </c>
      <c r="K176">
        <f>sumif(Plan!B:B,"263-000000-009",Plan!k:k)</f>
        <v>0</v>
      </c>
      <c r="L176">
        <f>sumif(Plan!B:B,"263-000000-009",Plan!l:l)</f>
        <v>0</v>
      </c>
      <c r="M176">
        <f>sumif(Plan!B:B,"263-000000-009",Plan!m:m)</f>
        <v>0</v>
      </c>
      <c r="N176">
        <f>sumif(Plan!B:B,"263-000000-009",Plan!n:n)</f>
        <v>0</v>
      </c>
      <c r="O176">
        <f>sumif(Plan!B:B,"263-000000-009",Plan!o:o)</f>
        <v>0</v>
      </c>
      <c r="P176">
        <f>sumif(Plan!B:B,"263-000000-009",Plan!p:p)</f>
        <v>0</v>
      </c>
      <c r="Q176">
        <f>sumif(Plan!B:B,"263-000000-009",Plan!q:q)</f>
        <v>0</v>
      </c>
      <c r="R176">
        <f>sumif(Plan!B:B,"263-000000-009",Plan!r:r)</f>
        <v>0</v>
      </c>
      <c r="S176">
        <f>sumif(Plan!B:B,"263-000000-009",Plan!s:s)</f>
        <v>0</v>
      </c>
      <c r="T176">
        <f>sumif(Plan!B:B,"263-000000-009",Plan!t:t)</f>
        <v>0</v>
      </c>
      <c r="U176">
        <f>sumif(Plan!B:B,"263-000000-009",Plan!u:u)</f>
        <v>0</v>
      </c>
      <c r="V176">
        <f>sumif(Plan!B:B,"263-000000-009",Plan!v:v)</f>
        <v>0</v>
      </c>
      <c r="W176">
        <f>sumif(Plan!B:B,"263-000000-009",Plan!w:w)</f>
        <v>0</v>
      </c>
      <c r="X176">
        <f>sumif(Plan!B:B,"263-000000-009",Plan!x:x)</f>
        <v>0</v>
      </c>
      <c r="Y176">
        <f>sumif(Plan!B:B,"263-000000-009",Plan!y:y)</f>
        <v>0</v>
      </c>
      <c r="Z176">
        <f>sumif(Plan!B:B,"263-000000-009",Plan!z:z)</f>
        <v>0</v>
      </c>
      <c r="AA176">
        <f>sumif(Plan!B:B,"263-000000-009",Plan!aa:aa)</f>
        <v>0</v>
      </c>
      <c r="AB176">
        <f>sumif(Plan!B:B,"263-000000-009",Plan!ab:ab)</f>
        <v>0</v>
      </c>
      <c r="AC176">
        <f>sumif(Plan!B:B,"263-000000-009",Plan!ac:ac)</f>
        <v>0</v>
      </c>
      <c r="AD176">
        <f>sumif(Plan!B:B,"263-000000-009",Plan!ad:ad)</f>
        <v>0</v>
      </c>
      <c r="AE176">
        <f>sumif(Plan!B:B,"263-000000-009",Plan!ae:ae)</f>
        <v>0</v>
      </c>
      <c r="AF176">
        <f>sumif(Plan!B:B,"263-000000-009",Plan!af:af)</f>
        <v>0</v>
      </c>
      <c r="AG176">
        <f>sumif(Plan!B:B,"263-000000-009",Plan!ag:ag)</f>
        <v>0</v>
      </c>
      <c r="AH176">
        <f>sumif(Plan!B:B,"263-000000-009",Plan!ah:ah)</f>
        <v>0</v>
      </c>
      <c r="AI176">
        <f>sumif(Plan!B:B,"263-000000-009",Plan!ai:ai)</f>
        <v>0</v>
      </c>
      <c r="AJ176">
        <f>sumif(Plan!B:B,"263-000000-009",Plan!aj:aj)</f>
        <v>0</v>
      </c>
      <c r="AK176">
        <f>sumif(Plan!B:B,"263-000000-009",Plan!ak:ak)</f>
        <v>0</v>
      </c>
      <c r="AL176">
        <f>sumif(Plan!B:B,"263-000000-009",Plan!al:al)</f>
        <v>0</v>
      </c>
      <c r="AM176">
        <f>sumif(Plan!B:B,"263-000000-009",Plan!am:am)</f>
        <v>0</v>
      </c>
      <c r="AN176">
        <f>sumif(Plan!B:B,"263-000000-009",Plan!an:an)</f>
        <v>0</v>
      </c>
      <c r="AO176">
        <f>sumif(Plan!B:B,"263-000000-009",Plan!ao:ao)</f>
        <v>0</v>
      </c>
    </row>
    <row r="177" spans="1:41">
      <c r="A177" t="s">
        <v>22</v>
      </c>
      <c r="B177" t="s">
        <v>136</v>
      </c>
      <c r="C177" t="s">
        <v>137</v>
      </c>
      <c r="E177">
        <v>1</v>
      </c>
      <c r="F177" t="s">
        <v>13</v>
      </c>
      <c r="H177" t="s">
        <v>16</v>
      </c>
      <c r="J177">
        <f>indirect(address(177,9))+indirect(address(175,10))-indirect(address(176,10))</f>
        <v>0</v>
      </c>
      <c r="K177">
        <f>indirect(address(177,10))+indirect(address(175,11))-indirect(address(176,11))</f>
        <v>0</v>
      </c>
      <c r="L177">
        <f>indirect(address(177,11))+indirect(address(175,12))-indirect(address(176,12))</f>
        <v>0</v>
      </c>
      <c r="M177">
        <f>indirect(address(177,12))+indirect(address(175,13))-indirect(address(176,13))</f>
        <v>0</v>
      </c>
      <c r="N177">
        <f>indirect(address(177,13))+indirect(address(175,14))-indirect(address(176,14))</f>
        <v>0</v>
      </c>
      <c r="O177">
        <f>indirect(address(177,14))+indirect(address(175,15))-indirect(address(176,15))</f>
        <v>0</v>
      </c>
      <c r="P177">
        <f>indirect(address(177,15))+indirect(address(175,16))-indirect(address(176,16))</f>
        <v>0</v>
      </c>
      <c r="Q177">
        <f>indirect(address(177,16))+indirect(address(175,17))-indirect(address(176,17))</f>
        <v>0</v>
      </c>
      <c r="R177">
        <f>indirect(address(177,17))+indirect(address(175,18))-indirect(address(176,18))</f>
        <v>0</v>
      </c>
      <c r="S177">
        <f>indirect(address(177,18))+indirect(address(175,19))-indirect(address(176,19))</f>
        <v>0</v>
      </c>
      <c r="T177">
        <f>indirect(address(177,19))+indirect(address(175,20))-indirect(address(176,20))</f>
        <v>0</v>
      </c>
      <c r="U177">
        <f>indirect(address(177,20))+indirect(address(175,21))-indirect(address(176,21))</f>
        <v>0</v>
      </c>
      <c r="V177">
        <f>indirect(address(177,21))+indirect(address(175,22))-indirect(address(176,22))</f>
        <v>0</v>
      </c>
      <c r="W177">
        <f>indirect(address(177,22))+indirect(address(175,23))-indirect(address(176,23))</f>
        <v>0</v>
      </c>
      <c r="X177">
        <f>indirect(address(177,23))+indirect(address(175,24))-indirect(address(176,24))</f>
        <v>0</v>
      </c>
      <c r="Y177">
        <f>indirect(address(177,24))+indirect(address(175,25))-indirect(address(176,25))</f>
        <v>0</v>
      </c>
      <c r="Z177">
        <f>indirect(address(177,25))+indirect(address(175,26))-indirect(address(176,26))</f>
        <v>0</v>
      </c>
      <c r="AA177">
        <f>indirect(address(177,26))+indirect(address(175,27))-indirect(address(176,27))</f>
        <v>0</v>
      </c>
      <c r="AB177">
        <f>indirect(address(177,27))+indirect(address(175,28))-indirect(address(176,28))</f>
        <v>0</v>
      </c>
      <c r="AC177">
        <f>indirect(address(177,28))+indirect(address(175,29))-indirect(address(176,29))</f>
        <v>0</v>
      </c>
      <c r="AD177">
        <f>indirect(address(177,29))+indirect(address(175,30))-indirect(address(176,30))</f>
        <v>0</v>
      </c>
      <c r="AE177">
        <f>indirect(address(177,30))+indirect(address(175,31))-indirect(address(176,31))</f>
        <v>0</v>
      </c>
      <c r="AF177">
        <f>indirect(address(177,31))+indirect(address(175,32))-indirect(address(176,32))</f>
        <v>0</v>
      </c>
      <c r="AG177">
        <f>indirect(address(177,32))+indirect(address(175,33))-indirect(address(176,33))</f>
        <v>0</v>
      </c>
      <c r="AH177">
        <f>indirect(address(177,33))+indirect(address(175,34))-indirect(address(176,34))</f>
        <v>0</v>
      </c>
      <c r="AI177">
        <f>indirect(address(177,34))+indirect(address(175,35))-indirect(address(176,35))</f>
        <v>0</v>
      </c>
      <c r="AJ177">
        <f>indirect(address(177,35))+indirect(address(175,36))-indirect(address(176,36))</f>
        <v>0</v>
      </c>
      <c r="AK177">
        <f>indirect(address(177,36))+indirect(address(175,37))-indirect(address(176,37))</f>
        <v>0</v>
      </c>
      <c r="AL177">
        <f>indirect(address(177,37))+indirect(address(175,38))-indirect(address(176,38))</f>
        <v>0</v>
      </c>
      <c r="AM177">
        <f>indirect(address(177,38))+indirect(address(175,39))-indirect(address(176,39))</f>
        <v>0</v>
      </c>
      <c r="AN177">
        <f>indirect(address(177,39))+indirect(address(175,40))-indirect(address(176,40))</f>
        <v>0</v>
      </c>
      <c r="AO177">
        <f>indirect(address(177,40))+indirect(address(175,41))-indirect(address(176,41))</f>
        <v>0</v>
      </c>
    </row>
    <row r="178" spans="1:41">
      <c r="I178" t="s">
        <v>14</v>
      </c>
      <c r="AO178">
        <f>sum(j178:an178)</f>
        <v>0</v>
      </c>
    </row>
    <row r="179" spans="1:41">
      <c r="I179" t="s">
        <v>15</v>
      </c>
      <c r="J179">
        <f>sumif(Plan!B:B,"242-101000-000",Plan!j:j)</f>
        <v>0</v>
      </c>
      <c r="K179">
        <f>sumif(Plan!B:B,"242-101000-000",Plan!k:k)</f>
        <v>0</v>
      </c>
      <c r="L179">
        <f>sumif(Plan!B:B,"242-101000-000",Plan!l:l)</f>
        <v>0</v>
      </c>
      <c r="M179">
        <f>sumif(Plan!B:B,"242-101000-000",Plan!m:m)</f>
        <v>0</v>
      </c>
      <c r="N179">
        <f>sumif(Plan!B:B,"242-101000-000",Plan!n:n)</f>
        <v>0</v>
      </c>
      <c r="O179">
        <f>sumif(Plan!B:B,"242-101000-000",Plan!o:o)</f>
        <v>0</v>
      </c>
      <c r="P179">
        <f>sumif(Plan!B:B,"242-101000-000",Plan!p:p)</f>
        <v>0</v>
      </c>
      <c r="Q179">
        <f>sumif(Plan!B:B,"242-101000-000",Plan!q:q)</f>
        <v>0</v>
      </c>
      <c r="R179">
        <f>sumif(Plan!B:B,"242-101000-000",Plan!r:r)</f>
        <v>0</v>
      </c>
      <c r="S179">
        <f>sumif(Plan!B:B,"242-101000-000",Plan!s:s)</f>
        <v>0</v>
      </c>
      <c r="T179">
        <f>sumif(Plan!B:B,"242-101000-000",Plan!t:t)</f>
        <v>0</v>
      </c>
      <c r="U179">
        <f>sumif(Plan!B:B,"242-101000-000",Plan!u:u)</f>
        <v>0</v>
      </c>
      <c r="V179">
        <f>sumif(Plan!B:B,"242-101000-000",Plan!v:v)</f>
        <v>0</v>
      </c>
      <c r="W179">
        <f>sumif(Plan!B:B,"242-101000-000",Plan!w:w)</f>
        <v>0</v>
      </c>
      <c r="X179">
        <f>sumif(Plan!B:B,"242-101000-000",Plan!x:x)</f>
        <v>0</v>
      </c>
      <c r="Y179">
        <f>sumif(Plan!B:B,"242-101000-000",Plan!y:y)</f>
        <v>0</v>
      </c>
      <c r="Z179">
        <f>sumif(Plan!B:B,"242-101000-000",Plan!z:z)</f>
        <v>0</v>
      </c>
      <c r="AA179">
        <f>sumif(Plan!B:B,"242-101000-000",Plan!aa:aa)</f>
        <v>0</v>
      </c>
      <c r="AB179">
        <f>sumif(Plan!B:B,"242-101000-000",Plan!ab:ab)</f>
        <v>0</v>
      </c>
      <c r="AC179">
        <f>sumif(Plan!B:B,"242-101000-000",Plan!ac:ac)</f>
        <v>0</v>
      </c>
      <c r="AD179">
        <f>sumif(Plan!B:B,"242-101000-000",Plan!ad:ad)</f>
        <v>0</v>
      </c>
      <c r="AE179">
        <f>sumif(Plan!B:B,"242-101000-000",Plan!ae:ae)</f>
        <v>0</v>
      </c>
      <c r="AF179">
        <f>sumif(Plan!B:B,"242-101000-000",Plan!af:af)</f>
        <v>0</v>
      </c>
      <c r="AG179">
        <f>sumif(Plan!B:B,"242-101000-000",Plan!ag:ag)</f>
        <v>0</v>
      </c>
      <c r="AH179">
        <f>sumif(Plan!B:B,"242-101000-000",Plan!ah:ah)</f>
        <v>0</v>
      </c>
      <c r="AI179">
        <f>sumif(Plan!B:B,"242-101000-000",Plan!ai:ai)</f>
        <v>0</v>
      </c>
      <c r="AJ179">
        <f>sumif(Plan!B:B,"242-101000-000",Plan!aj:aj)</f>
        <v>0</v>
      </c>
      <c r="AK179">
        <f>sumif(Plan!B:B,"242-101000-000",Plan!ak:ak)</f>
        <v>0</v>
      </c>
      <c r="AL179">
        <f>sumif(Plan!B:B,"242-101000-000",Plan!al:al)</f>
        <v>0</v>
      </c>
      <c r="AM179">
        <f>sumif(Plan!B:B,"242-101000-000",Plan!am:am)</f>
        <v>0</v>
      </c>
      <c r="AN179">
        <f>sumif(Plan!B:B,"242-101000-000",Plan!an:an)</f>
        <v>0</v>
      </c>
      <c r="AO179">
        <f>sumif(Plan!B:B,"242-101000-000",Plan!ao:ao)</f>
        <v>0</v>
      </c>
    </row>
    <row r="180" spans="1:41">
      <c r="A180" t="s">
        <v>78</v>
      </c>
      <c r="B180" t="s">
        <v>138</v>
      </c>
      <c r="C180" t="s">
        <v>139</v>
      </c>
      <c r="E180">
        <v>0.1667</v>
      </c>
      <c r="F180" t="s">
        <v>13</v>
      </c>
      <c r="H180" t="s">
        <v>16</v>
      </c>
      <c r="J180">
        <f>indirect(address(180,9))+indirect(address(178,10))-indirect(address(179,10))</f>
        <v>0</v>
      </c>
      <c r="K180">
        <f>indirect(address(180,10))+indirect(address(178,11))-indirect(address(179,11))</f>
        <v>0</v>
      </c>
      <c r="L180">
        <f>indirect(address(180,11))+indirect(address(178,12))-indirect(address(179,12))</f>
        <v>0</v>
      </c>
      <c r="M180">
        <f>indirect(address(180,12))+indirect(address(178,13))-indirect(address(179,13))</f>
        <v>0</v>
      </c>
      <c r="N180">
        <f>indirect(address(180,13))+indirect(address(178,14))-indirect(address(179,14))</f>
        <v>0</v>
      </c>
      <c r="O180">
        <f>indirect(address(180,14))+indirect(address(178,15))-indirect(address(179,15))</f>
        <v>0</v>
      </c>
      <c r="P180">
        <f>indirect(address(180,15))+indirect(address(178,16))-indirect(address(179,16))</f>
        <v>0</v>
      </c>
      <c r="Q180">
        <f>indirect(address(180,16))+indirect(address(178,17))-indirect(address(179,17))</f>
        <v>0</v>
      </c>
      <c r="R180">
        <f>indirect(address(180,17))+indirect(address(178,18))-indirect(address(179,18))</f>
        <v>0</v>
      </c>
      <c r="S180">
        <f>indirect(address(180,18))+indirect(address(178,19))-indirect(address(179,19))</f>
        <v>0</v>
      </c>
      <c r="T180">
        <f>indirect(address(180,19))+indirect(address(178,20))-indirect(address(179,20))</f>
        <v>0</v>
      </c>
      <c r="U180">
        <f>indirect(address(180,20))+indirect(address(178,21))-indirect(address(179,21))</f>
        <v>0</v>
      </c>
      <c r="V180">
        <f>indirect(address(180,21))+indirect(address(178,22))-indirect(address(179,22))</f>
        <v>0</v>
      </c>
      <c r="W180">
        <f>indirect(address(180,22))+indirect(address(178,23))-indirect(address(179,23))</f>
        <v>0</v>
      </c>
      <c r="X180">
        <f>indirect(address(180,23))+indirect(address(178,24))-indirect(address(179,24))</f>
        <v>0</v>
      </c>
      <c r="Y180">
        <f>indirect(address(180,24))+indirect(address(178,25))-indirect(address(179,25))</f>
        <v>0</v>
      </c>
      <c r="Z180">
        <f>indirect(address(180,25))+indirect(address(178,26))-indirect(address(179,26))</f>
        <v>0</v>
      </c>
      <c r="AA180">
        <f>indirect(address(180,26))+indirect(address(178,27))-indirect(address(179,27))</f>
        <v>0</v>
      </c>
      <c r="AB180">
        <f>indirect(address(180,27))+indirect(address(178,28))-indirect(address(179,28))</f>
        <v>0</v>
      </c>
      <c r="AC180">
        <f>indirect(address(180,28))+indirect(address(178,29))-indirect(address(179,29))</f>
        <v>0</v>
      </c>
      <c r="AD180">
        <f>indirect(address(180,29))+indirect(address(178,30))-indirect(address(179,30))</f>
        <v>0</v>
      </c>
      <c r="AE180">
        <f>indirect(address(180,30))+indirect(address(178,31))-indirect(address(179,31))</f>
        <v>0</v>
      </c>
      <c r="AF180">
        <f>indirect(address(180,31))+indirect(address(178,32))-indirect(address(179,32))</f>
        <v>0</v>
      </c>
      <c r="AG180">
        <f>indirect(address(180,32))+indirect(address(178,33))-indirect(address(179,33))</f>
        <v>0</v>
      </c>
      <c r="AH180">
        <f>indirect(address(180,33))+indirect(address(178,34))-indirect(address(179,34))</f>
        <v>0</v>
      </c>
      <c r="AI180">
        <f>indirect(address(180,34))+indirect(address(178,35))-indirect(address(179,35))</f>
        <v>0</v>
      </c>
      <c r="AJ180">
        <f>indirect(address(180,35))+indirect(address(178,36))-indirect(address(179,36))</f>
        <v>0</v>
      </c>
      <c r="AK180">
        <f>indirect(address(180,36))+indirect(address(178,37))-indirect(address(179,37))</f>
        <v>0</v>
      </c>
      <c r="AL180">
        <f>indirect(address(180,37))+indirect(address(178,38))-indirect(address(179,38))</f>
        <v>0</v>
      </c>
      <c r="AM180">
        <f>indirect(address(180,38))+indirect(address(178,39))-indirect(address(179,39))</f>
        <v>0</v>
      </c>
      <c r="AN180">
        <f>indirect(address(180,39))+indirect(address(178,40))-indirect(address(179,40))</f>
        <v>0</v>
      </c>
      <c r="AO180">
        <f>indirect(address(180,40))+indirect(address(178,41))-indirect(address(179,41))</f>
        <v>0</v>
      </c>
    </row>
    <row r="181" spans="1:41">
      <c r="I181" t="s">
        <v>14</v>
      </c>
      <c r="AO181">
        <f>sum(j181:an181)</f>
        <v>0</v>
      </c>
    </row>
    <row r="182" spans="1:41">
      <c r="I182" t="s">
        <v>15</v>
      </c>
      <c r="J182">
        <f>sumif(Plan!B:B,"827-004856-300",Plan!j:j)</f>
        <v>0</v>
      </c>
      <c r="K182">
        <f>sumif(Plan!B:B,"827-004856-300",Plan!k:k)</f>
        <v>0</v>
      </c>
      <c r="L182">
        <f>sumif(Plan!B:B,"827-004856-300",Plan!l:l)</f>
        <v>0</v>
      </c>
      <c r="M182">
        <f>sumif(Plan!B:B,"827-004856-300",Plan!m:m)</f>
        <v>0</v>
      </c>
      <c r="N182">
        <f>sumif(Plan!B:B,"827-004856-300",Plan!n:n)</f>
        <v>0</v>
      </c>
      <c r="O182">
        <f>sumif(Plan!B:B,"827-004856-300",Plan!o:o)</f>
        <v>0</v>
      </c>
      <c r="P182">
        <f>sumif(Plan!B:B,"827-004856-300",Plan!p:p)</f>
        <v>0</v>
      </c>
      <c r="Q182">
        <f>sumif(Plan!B:B,"827-004856-300",Plan!q:q)</f>
        <v>0</v>
      </c>
      <c r="R182">
        <f>sumif(Plan!B:B,"827-004856-300",Plan!r:r)</f>
        <v>0</v>
      </c>
      <c r="S182">
        <f>sumif(Plan!B:B,"827-004856-300",Plan!s:s)</f>
        <v>0</v>
      </c>
      <c r="T182">
        <f>sumif(Plan!B:B,"827-004856-300",Plan!t:t)</f>
        <v>0</v>
      </c>
      <c r="U182">
        <f>sumif(Plan!B:B,"827-004856-300",Plan!u:u)</f>
        <v>0</v>
      </c>
      <c r="V182">
        <f>sumif(Plan!B:B,"827-004856-300",Plan!v:v)</f>
        <v>0</v>
      </c>
      <c r="W182">
        <f>sumif(Plan!B:B,"827-004856-300",Plan!w:w)</f>
        <v>0</v>
      </c>
      <c r="X182">
        <f>sumif(Plan!B:B,"827-004856-300",Plan!x:x)</f>
        <v>0</v>
      </c>
      <c r="Y182">
        <f>sumif(Plan!B:B,"827-004856-300",Plan!y:y)</f>
        <v>0</v>
      </c>
      <c r="Z182">
        <f>sumif(Plan!B:B,"827-004856-300",Plan!z:z)</f>
        <v>0</v>
      </c>
      <c r="AA182">
        <f>sumif(Plan!B:B,"827-004856-300",Plan!aa:aa)</f>
        <v>0</v>
      </c>
      <c r="AB182">
        <f>sumif(Plan!B:B,"827-004856-300",Plan!ab:ab)</f>
        <v>0</v>
      </c>
      <c r="AC182">
        <f>sumif(Plan!B:B,"827-004856-300",Plan!ac:ac)</f>
        <v>0</v>
      </c>
      <c r="AD182">
        <f>sumif(Plan!B:B,"827-004856-300",Plan!ad:ad)</f>
        <v>0</v>
      </c>
      <c r="AE182">
        <f>sumif(Plan!B:B,"827-004856-300",Plan!ae:ae)</f>
        <v>0</v>
      </c>
      <c r="AF182">
        <f>sumif(Plan!B:B,"827-004856-300",Plan!af:af)</f>
        <v>0</v>
      </c>
      <c r="AG182">
        <f>sumif(Plan!B:B,"827-004856-300",Plan!ag:ag)</f>
        <v>0</v>
      </c>
      <c r="AH182">
        <f>sumif(Plan!B:B,"827-004856-300",Plan!ah:ah)</f>
        <v>0</v>
      </c>
      <c r="AI182">
        <f>sumif(Plan!B:B,"827-004856-300",Plan!ai:ai)</f>
        <v>0</v>
      </c>
      <c r="AJ182">
        <f>sumif(Plan!B:B,"827-004856-300",Plan!aj:aj)</f>
        <v>0</v>
      </c>
      <c r="AK182">
        <f>sumif(Plan!B:B,"827-004856-300",Plan!ak:ak)</f>
        <v>0</v>
      </c>
      <c r="AL182">
        <f>sumif(Plan!B:B,"827-004856-300",Plan!al:al)</f>
        <v>0</v>
      </c>
      <c r="AM182">
        <f>sumif(Plan!B:B,"827-004856-300",Plan!am:am)</f>
        <v>0</v>
      </c>
      <c r="AN182">
        <f>sumif(Plan!B:B,"827-004856-300",Plan!an:an)</f>
        <v>0</v>
      </c>
      <c r="AO182">
        <f>sumif(Plan!B:B,"827-004856-300",Plan!ao:ao)</f>
        <v>0</v>
      </c>
    </row>
    <row r="183" spans="1:41">
      <c r="A183" t="s">
        <v>17</v>
      </c>
      <c r="B183" t="s">
        <v>142</v>
      </c>
      <c r="C183" t="s">
        <v>143</v>
      </c>
      <c r="E183">
        <v>1</v>
      </c>
      <c r="F183" t="s">
        <v>13</v>
      </c>
      <c r="H183" t="s">
        <v>16</v>
      </c>
      <c r="J183">
        <f>indirect(address(183,9))+indirect(address(181,10))-indirect(address(182,10))</f>
        <v>0</v>
      </c>
      <c r="K183">
        <f>indirect(address(183,10))+indirect(address(181,11))-indirect(address(182,11))</f>
        <v>0</v>
      </c>
      <c r="L183">
        <f>indirect(address(183,11))+indirect(address(181,12))-indirect(address(182,12))</f>
        <v>0</v>
      </c>
      <c r="M183">
        <f>indirect(address(183,12))+indirect(address(181,13))-indirect(address(182,13))</f>
        <v>0</v>
      </c>
      <c r="N183">
        <f>indirect(address(183,13))+indirect(address(181,14))-indirect(address(182,14))</f>
        <v>0</v>
      </c>
      <c r="O183">
        <f>indirect(address(183,14))+indirect(address(181,15))-indirect(address(182,15))</f>
        <v>0</v>
      </c>
      <c r="P183">
        <f>indirect(address(183,15))+indirect(address(181,16))-indirect(address(182,16))</f>
        <v>0</v>
      </c>
      <c r="Q183">
        <f>indirect(address(183,16))+indirect(address(181,17))-indirect(address(182,17))</f>
        <v>0</v>
      </c>
      <c r="R183">
        <f>indirect(address(183,17))+indirect(address(181,18))-indirect(address(182,18))</f>
        <v>0</v>
      </c>
      <c r="S183">
        <f>indirect(address(183,18))+indirect(address(181,19))-indirect(address(182,19))</f>
        <v>0</v>
      </c>
      <c r="T183">
        <f>indirect(address(183,19))+indirect(address(181,20))-indirect(address(182,20))</f>
        <v>0</v>
      </c>
      <c r="U183">
        <f>indirect(address(183,20))+indirect(address(181,21))-indirect(address(182,21))</f>
        <v>0</v>
      </c>
      <c r="V183">
        <f>indirect(address(183,21))+indirect(address(181,22))-indirect(address(182,22))</f>
        <v>0</v>
      </c>
      <c r="W183">
        <f>indirect(address(183,22))+indirect(address(181,23))-indirect(address(182,23))</f>
        <v>0</v>
      </c>
      <c r="X183">
        <f>indirect(address(183,23))+indirect(address(181,24))-indirect(address(182,24))</f>
        <v>0</v>
      </c>
      <c r="Y183">
        <f>indirect(address(183,24))+indirect(address(181,25))-indirect(address(182,25))</f>
        <v>0</v>
      </c>
      <c r="Z183">
        <f>indirect(address(183,25))+indirect(address(181,26))-indirect(address(182,26))</f>
        <v>0</v>
      </c>
      <c r="AA183">
        <f>indirect(address(183,26))+indirect(address(181,27))-indirect(address(182,27))</f>
        <v>0</v>
      </c>
      <c r="AB183">
        <f>indirect(address(183,27))+indirect(address(181,28))-indirect(address(182,28))</f>
        <v>0</v>
      </c>
      <c r="AC183">
        <f>indirect(address(183,28))+indirect(address(181,29))-indirect(address(182,29))</f>
        <v>0</v>
      </c>
      <c r="AD183">
        <f>indirect(address(183,29))+indirect(address(181,30))-indirect(address(182,30))</f>
        <v>0</v>
      </c>
      <c r="AE183">
        <f>indirect(address(183,30))+indirect(address(181,31))-indirect(address(182,31))</f>
        <v>0</v>
      </c>
      <c r="AF183">
        <f>indirect(address(183,31))+indirect(address(181,32))-indirect(address(182,32))</f>
        <v>0</v>
      </c>
      <c r="AG183">
        <f>indirect(address(183,32))+indirect(address(181,33))-indirect(address(182,33))</f>
        <v>0</v>
      </c>
      <c r="AH183">
        <f>indirect(address(183,33))+indirect(address(181,34))-indirect(address(182,34))</f>
        <v>0</v>
      </c>
      <c r="AI183">
        <f>indirect(address(183,34))+indirect(address(181,35))-indirect(address(182,35))</f>
        <v>0</v>
      </c>
      <c r="AJ183">
        <f>indirect(address(183,35))+indirect(address(181,36))-indirect(address(182,36))</f>
        <v>0</v>
      </c>
      <c r="AK183">
        <f>indirect(address(183,36))+indirect(address(181,37))-indirect(address(182,37))</f>
        <v>0</v>
      </c>
      <c r="AL183">
        <f>indirect(address(183,37))+indirect(address(181,38))-indirect(address(182,38))</f>
        <v>0</v>
      </c>
      <c r="AM183">
        <f>indirect(address(183,38))+indirect(address(181,39))-indirect(address(182,39))</f>
        <v>0</v>
      </c>
      <c r="AN183">
        <f>indirect(address(183,39))+indirect(address(181,40))-indirect(address(182,40))</f>
        <v>0</v>
      </c>
      <c r="AO183">
        <f>indirect(address(183,40))+indirect(address(181,41))-indirect(address(182,41))</f>
        <v>0</v>
      </c>
    </row>
    <row r="184" spans="1:41">
      <c r="I184" t="s">
        <v>14</v>
      </c>
      <c r="AO184">
        <f>sum(j184:an184)</f>
        <v>0</v>
      </c>
    </row>
    <row r="185" spans="1:41">
      <c r="I185" t="s">
        <v>15</v>
      </c>
      <c r="J185">
        <f>sumif(Plan!B:B,"263-000000-005",Plan!j:j)</f>
        <v>0</v>
      </c>
      <c r="K185">
        <f>sumif(Plan!B:B,"263-000000-005",Plan!k:k)</f>
        <v>0</v>
      </c>
      <c r="L185">
        <f>sumif(Plan!B:B,"263-000000-005",Plan!l:l)</f>
        <v>0</v>
      </c>
      <c r="M185">
        <f>sumif(Plan!B:B,"263-000000-005",Plan!m:m)</f>
        <v>0</v>
      </c>
      <c r="N185">
        <f>sumif(Plan!B:B,"263-000000-005",Plan!n:n)</f>
        <v>0</v>
      </c>
      <c r="O185">
        <f>sumif(Plan!B:B,"263-000000-005",Plan!o:o)</f>
        <v>0</v>
      </c>
      <c r="P185">
        <f>sumif(Plan!B:B,"263-000000-005",Plan!p:p)</f>
        <v>0</v>
      </c>
      <c r="Q185">
        <f>sumif(Plan!B:B,"263-000000-005",Plan!q:q)</f>
        <v>0</v>
      </c>
      <c r="R185">
        <f>sumif(Plan!B:B,"263-000000-005",Plan!r:r)</f>
        <v>0</v>
      </c>
      <c r="S185">
        <f>sumif(Plan!B:B,"263-000000-005",Plan!s:s)</f>
        <v>0</v>
      </c>
      <c r="T185">
        <f>sumif(Plan!B:B,"263-000000-005",Plan!t:t)</f>
        <v>0</v>
      </c>
      <c r="U185">
        <f>sumif(Plan!B:B,"263-000000-005",Plan!u:u)</f>
        <v>0</v>
      </c>
      <c r="V185">
        <f>sumif(Plan!B:B,"263-000000-005",Plan!v:v)</f>
        <v>0</v>
      </c>
      <c r="W185">
        <f>sumif(Plan!B:B,"263-000000-005",Plan!w:w)</f>
        <v>0</v>
      </c>
      <c r="X185">
        <f>sumif(Plan!B:B,"263-000000-005",Plan!x:x)</f>
        <v>0</v>
      </c>
      <c r="Y185">
        <f>sumif(Plan!B:B,"263-000000-005",Plan!y:y)</f>
        <v>0</v>
      </c>
      <c r="Z185">
        <f>sumif(Plan!B:B,"263-000000-005",Plan!z:z)</f>
        <v>0</v>
      </c>
      <c r="AA185">
        <f>sumif(Plan!B:B,"263-000000-005",Plan!aa:aa)</f>
        <v>0</v>
      </c>
      <c r="AB185">
        <f>sumif(Plan!B:B,"263-000000-005",Plan!ab:ab)</f>
        <v>0</v>
      </c>
      <c r="AC185">
        <f>sumif(Plan!B:B,"263-000000-005",Plan!ac:ac)</f>
        <v>0</v>
      </c>
      <c r="AD185">
        <f>sumif(Plan!B:B,"263-000000-005",Plan!ad:ad)</f>
        <v>0</v>
      </c>
      <c r="AE185">
        <f>sumif(Plan!B:B,"263-000000-005",Plan!ae:ae)</f>
        <v>0</v>
      </c>
      <c r="AF185">
        <f>sumif(Plan!B:B,"263-000000-005",Plan!af:af)</f>
        <v>0</v>
      </c>
      <c r="AG185">
        <f>sumif(Plan!B:B,"263-000000-005",Plan!ag:ag)</f>
        <v>0</v>
      </c>
      <c r="AH185">
        <f>sumif(Plan!B:B,"263-000000-005",Plan!ah:ah)</f>
        <v>0</v>
      </c>
      <c r="AI185">
        <f>sumif(Plan!B:B,"263-000000-005",Plan!ai:ai)</f>
        <v>0</v>
      </c>
      <c r="AJ185">
        <f>sumif(Plan!B:B,"263-000000-005",Plan!aj:aj)</f>
        <v>0</v>
      </c>
      <c r="AK185">
        <f>sumif(Plan!B:B,"263-000000-005",Plan!ak:ak)</f>
        <v>0</v>
      </c>
      <c r="AL185">
        <f>sumif(Plan!B:B,"263-000000-005",Plan!al:al)</f>
        <v>0</v>
      </c>
      <c r="AM185">
        <f>sumif(Plan!B:B,"263-000000-005",Plan!am:am)</f>
        <v>0</v>
      </c>
      <c r="AN185">
        <f>sumif(Plan!B:B,"263-000000-005",Plan!an:an)</f>
        <v>0</v>
      </c>
      <c r="AO185">
        <f>sumif(Plan!B:B,"263-000000-005",Plan!ao:ao)</f>
        <v>0</v>
      </c>
    </row>
    <row r="186" spans="1:41">
      <c r="A186" t="s">
        <v>17</v>
      </c>
      <c r="B186" t="s">
        <v>134</v>
      </c>
      <c r="C186" t="s">
        <v>144</v>
      </c>
      <c r="E186">
        <v>1</v>
      </c>
      <c r="F186" t="s">
        <v>13</v>
      </c>
      <c r="H186" t="s">
        <v>16</v>
      </c>
      <c r="J186">
        <f>indirect(address(186,9))+indirect(address(184,10))-indirect(address(185,10))</f>
        <v>0</v>
      </c>
      <c r="K186">
        <f>indirect(address(186,10))+indirect(address(184,11))-indirect(address(185,11))</f>
        <v>0</v>
      </c>
      <c r="L186">
        <f>indirect(address(186,11))+indirect(address(184,12))-indirect(address(185,12))</f>
        <v>0</v>
      </c>
      <c r="M186">
        <f>indirect(address(186,12))+indirect(address(184,13))-indirect(address(185,13))</f>
        <v>0</v>
      </c>
      <c r="N186">
        <f>indirect(address(186,13))+indirect(address(184,14))-indirect(address(185,14))</f>
        <v>0</v>
      </c>
      <c r="O186">
        <f>indirect(address(186,14))+indirect(address(184,15))-indirect(address(185,15))</f>
        <v>0</v>
      </c>
      <c r="P186">
        <f>indirect(address(186,15))+indirect(address(184,16))-indirect(address(185,16))</f>
        <v>0</v>
      </c>
      <c r="Q186">
        <f>indirect(address(186,16))+indirect(address(184,17))-indirect(address(185,17))</f>
        <v>0</v>
      </c>
      <c r="R186">
        <f>indirect(address(186,17))+indirect(address(184,18))-indirect(address(185,18))</f>
        <v>0</v>
      </c>
      <c r="S186">
        <f>indirect(address(186,18))+indirect(address(184,19))-indirect(address(185,19))</f>
        <v>0</v>
      </c>
      <c r="T186">
        <f>indirect(address(186,19))+indirect(address(184,20))-indirect(address(185,20))</f>
        <v>0</v>
      </c>
      <c r="U186">
        <f>indirect(address(186,20))+indirect(address(184,21))-indirect(address(185,21))</f>
        <v>0</v>
      </c>
      <c r="V186">
        <f>indirect(address(186,21))+indirect(address(184,22))-indirect(address(185,22))</f>
        <v>0</v>
      </c>
      <c r="W186">
        <f>indirect(address(186,22))+indirect(address(184,23))-indirect(address(185,23))</f>
        <v>0</v>
      </c>
      <c r="X186">
        <f>indirect(address(186,23))+indirect(address(184,24))-indirect(address(185,24))</f>
        <v>0</v>
      </c>
      <c r="Y186">
        <f>indirect(address(186,24))+indirect(address(184,25))-indirect(address(185,25))</f>
        <v>0</v>
      </c>
      <c r="Z186">
        <f>indirect(address(186,25))+indirect(address(184,26))-indirect(address(185,26))</f>
        <v>0</v>
      </c>
      <c r="AA186">
        <f>indirect(address(186,26))+indirect(address(184,27))-indirect(address(185,27))</f>
        <v>0</v>
      </c>
      <c r="AB186">
        <f>indirect(address(186,27))+indirect(address(184,28))-indirect(address(185,28))</f>
        <v>0</v>
      </c>
      <c r="AC186">
        <f>indirect(address(186,28))+indirect(address(184,29))-indirect(address(185,29))</f>
        <v>0</v>
      </c>
      <c r="AD186">
        <f>indirect(address(186,29))+indirect(address(184,30))-indirect(address(185,30))</f>
        <v>0</v>
      </c>
      <c r="AE186">
        <f>indirect(address(186,30))+indirect(address(184,31))-indirect(address(185,31))</f>
        <v>0</v>
      </c>
      <c r="AF186">
        <f>indirect(address(186,31))+indirect(address(184,32))-indirect(address(185,32))</f>
        <v>0</v>
      </c>
      <c r="AG186">
        <f>indirect(address(186,32))+indirect(address(184,33))-indirect(address(185,33))</f>
        <v>0</v>
      </c>
      <c r="AH186">
        <f>indirect(address(186,33))+indirect(address(184,34))-indirect(address(185,34))</f>
        <v>0</v>
      </c>
      <c r="AI186">
        <f>indirect(address(186,34))+indirect(address(184,35))-indirect(address(185,35))</f>
        <v>0</v>
      </c>
      <c r="AJ186">
        <f>indirect(address(186,35))+indirect(address(184,36))-indirect(address(185,36))</f>
        <v>0</v>
      </c>
      <c r="AK186">
        <f>indirect(address(186,36))+indirect(address(184,37))-indirect(address(185,37))</f>
        <v>0</v>
      </c>
      <c r="AL186">
        <f>indirect(address(186,37))+indirect(address(184,38))-indirect(address(185,38))</f>
        <v>0</v>
      </c>
      <c r="AM186">
        <f>indirect(address(186,38))+indirect(address(184,39))-indirect(address(185,39))</f>
        <v>0</v>
      </c>
      <c r="AN186">
        <f>indirect(address(186,39))+indirect(address(184,40))-indirect(address(185,40))</f>
        <v>0</v>
      </c>
      <c r="AO186">
        <f>indirect(address(186,40))+indirect(address(184,41))-indirect(address(185,41))</f>
        <v>0</v>
      </c>
    </row>
    <row r="187" spans="1:41">
      <c r="I187" t="s">
        <v>14</v>
      </c>
      <c r="AO187">
        <f>sum(j187:an187)</f>
        <v>0</v>
      </c>
    </row>
    <row r="188" spans="1:41">
      <c r="I188" t="s">
        <v>15</v>
      </c>
      <c r="J188">
        <f>sumif(Plan!B:B,"827-005856-300",Plan!j:j)</f>
        <v>0</v>
      </c>
      <c r="K188">
        <f>sumif(Plan!B:B,"827-005856-300",Plan!k:k)</f>
        <v>0</v>
      </c>
      <c r="L188">
        <f>sumif(Plan!B:B,"827-005856-300",Plan!l:l)</f>
        <v>0</v>
      </c>
      <c r="M188">
        <f>sumif(Plan!B:B,"827-005856-300",Plan!m:m)</f>
        <v>0</v>
      </c>
      <c r="N188">
        <f>sumif(Plan!B:B,"827-005856-300",Plan!n:n)</f>
        <v>0</v>
      </c>
      <c r="O188">
        <f>sumif(Plan!B:B,"827-005856-300",Plan!o:o)</f>
        <v>0</v>
      </c>
      <c r="P188">
        <f>sumif(Plan!B:B,"827-005856-300",Plan!p:p)</f>
        <v>0</v>
      </c>
      <c r="Q188">
        <f>sumif(Plan!B:B,"827-005856-300",Plan!q:q)</f>
        <v>0</v>
      </c>
      <c r="R188">
        <f>sumif(Plan!B:B,"827-005856-300",Plan!r:r)</f>
        <v>0</v>
      </c>
      <c r="S188">
        <f>sumif(Plan!B:B,"827-005856-300",Plan!s:s)</f>
        <v>0</v>
      </c>
      <c r="T188">
        <f>sumif(Plan!B:B,"827-005856-300",Plan!t:t)</f>
        <v>0</v>
      </c>
      <c r="U188">
        <f>sumif(Plan!B:B,"827-005856-300",Plan!u:u)</f>
        <v>0</v>
      </c>
      <c r="V188">
        <f>sumif(Plan!B:B,"827-005856-300",Plan!v:v)</f>
        <v>0</v>
      </c>
      <c r="W188">
        <f>sumif(Plan!B:B,"827-005856-300",Plan!w:w)</f>
        <v>0</v>
      </c>
      <c r="X188">
        <f>sumif(Plan!B:B,"827-005856-300",Plan!x:x)</f>
        <v>0</v>
      </c>
      <c r="Y188">
        <f>sumif(Plan!B:B,"827-005856-300",Plan!y:y)</f>
        <v>0</v>
      </c>
      <c r="Z188">
        <f>sumif(Plan!B:B,"827-005856-300",Plan!z:z)</f>
        <v>0</v>
      </c>
      <c r="AA188">
        <f>sumif(Plan!B:B,"827-005856-300",Plan!aa:aa)</f>
        <v>0</v>
      </c>
      <c r="AB188">
        <f>sumif(Plan!B:B,"827-005856-300",Plan!ab:ab)</f>
        <v>0</v>
      </c>
      <c r="AC188">
        <f>sumif(Plan!B:B,"827-005856-300",Plan!ac:ac)</f>
        <v>0</v>
      </c>
      <c r="AD188">
        <f>sumif(Plan!B:B,"827-005856-300",Plan!ad:ad)</f>
        <v>0</v>
      </c>
      <c r="AE188">
        <f>sumif(Plan!B:B,"827-005856-300",Plan!ae:ae)</f>
        <v>0</v>
      </c>
      <c r="AF188">
        <f>sumif(Plan!B:B,"827-005856-300",Plan!af:af)</f>
        <v>0</v>
      </c>
      <c r="AG188">
        <f>sumif(Plan!B:B,"827-005856-300",Plan!ag:ag)</f>
        <v>0</v>
      </c>
      <c r="AH188">
        <f>sumif(Plan!B:B,"827-005856-300",Plan!ah:ah)</f>
        <v>0</v>
      </c>
      <c r="AI188">
        <f>sumif(Plan!B:B,"827-005856-300",Plan!ai:ai)</f>
        <v>0</v>
      </c>
      <c r="AJ188">
        <f>sumif(Plan!B:B,"827-005856-300",Plan!aj:aj)</f>
        <v>0</v>
      </c>
      <c r="AK188">
        <f>sumif(Plan!B:B,"827-005856-300",Plan!ak:ak)</f>
        <v>0</v>
      </c>
      <c r="AL188">
        <f>sumif(Plan!B:B,"827-005856-300",Plan!al:al)</f>
        <v>0</v>
      </c>
      <c r="AM188">
        <f>sumif(Plan!B:B,"827-005856-300",Plan!am:am)</f>
        <v>0</v>
      </c>
      <c r="AN188">
        <f>sumif(Plan!B:B,"827-005856-300",Plan!an:an)</f>
        <v>0</v>
      </c>
      <c r="AO188">
        <f>sumif(Plan!B:B,"827-005856-300",Plan!ao:ao)</f>
        <v>0</v>
      </c>
    </row>
    <row r="189" spans="1:41">
      <c r="A189" t="s">
        <v>17</v>
      </c>
      <c r="B189" t="s">
        <v>145</v>
      </c>
      <c r="C189" t="s">
        <v>146</v>
      </c>
      <c r="E189">
        <v>1</v>
      </c>
      <c r="F189" t="s">
        <v>13</v>
      </c>
      <c r="H189" t="s">
        <v>16</v>
      </c>
      <c r="J189">
        <f>indirect(address(189,9))+indirect(address(187,10))-indirect(address(188,10))</f>
        <v>0</v>
      </c>
      <c r="K189">
        <f>indirect(address(189,10))+indirect(address(187,11))-indirect(address(188,11))</f>
        <v>0</v>
      </c>
      <c r="L189">
        <f>indirect(address(189,11))+indirect(address(187,12))-indirect(address(188,12))</f>
        <v>0</v>
      </c>
      <c r="M189">
        <f>indirect(address(189,12))+indirect(address(187,13))-indirect(address(188,13))</f>
        <v>0</v>
      </c>
      <c r="N189">
        <f>indirect(address(189,13))+indirect(address(187,14))-indirect(address(188,14))</f>
        <v>0</v>
      </c>
      <c r="O189">
        <f>indirect(address(189,14))+indirect(address(187,15))-indirect(address(188,15))</f>
        <v>0</v>
      </c>
      <c r="P189">
        <f>indirect(address(189,15))+indirect(address(187,16))-indirect(address(188,16))</f>
        <v>0</v>
      </c>
      <c r="Q189">
        <f>indirect(address(189,16))+indirect(address(187,17))-indirect(address(188,17))</f>
        <v>0</v>
      </c>
      <c r="R189">
        <f>indirect(address(189,17))+indirect(address(187,18))-indirect(address(188,18))</f>
        <v>0</v>
      </c>
      <c r="S189">
        <f>indirect(address(189,18))+indirect(address(187,19))-indirect(address(188,19))</f>
        <v>0</v>
      </c>
      <c r="T189">
        <f>indirect(address(189,19))+indirect(address(187,20))-indirect(address(188,20))</f>
        <v>0</v>
      </c>
      <c r="U189">
        <f>indirect(address(189,20))+indirect(address(187,21))-indirect(address(188,21))</f>
        <v>0</v>
      </c>
      <c r="V189">
        <f>indirect(address(189,21))+indirect(address(187,22))-indirect(address(188,22))</f>
        <v>0</v>
      </c>
      <c r="W189">
        <f>indirect(address(189,22))+indirect(address(187,23))-indirect(address(188,23))</f>
        <v>0</v>
      </c>
      <c r="X189">
        <f>indirect(address(189,23))+indirect(address(187,24))-indirect(address(188,24))</f>
        <v>0</v>
      </c>
      <c r="Y189">
        <f>indirect(address(189,24))+indirect(address(187,25))-indirect(address(188,25))</f>
        <v>0</v>
      </c>
      <c r="Z189">
        <f>indirect(address(189,25))+indirect(address(187,26))-indirect(address(188,26))</f>
        <v>0</v>
      </c>
      <c r="AA189">
        <f>indirect(address(189,26))+indirect(address(187,27))-indirect(address(188,27))</f>
        <v>0</v>
      </c>
      <c r="AB189">
        <f>indirect(address(189,27))+indirect(address(187,28))-indirect(address(188,28))</f>
        <v>0</v>
      </c>
      <c r="AC189">
        <f>indirect(address(189,28))+indirect(address(187,29))-indirect(address(188,29))</f>
        <v>0</v>
      </c>
      <c r="AD189">
        <f>indirect(address(189,29))+indirect(address(187,30))-indirect(address(188,30))</f>
        <v>0</v>
      </c>
      <c r="AE189">
        <f>indirect(address(189,30))+indirect(address(187,31))-indirect(address(188,31))</f>
        <v>0</v>
      </c>
      <c r="AF189">
        <f>indirect(address(189,31))+indirect(address(187,32))-indirect(address(188,32))</f>
        <v>0</v>
      </c>
      <c r="AG189">
        <f>indirect(address(189,32))+indirect(address(187,33))-indirect(address(188,33))</f>
        <v>0</v>
      </c>
      <c r="AH189">
        <f>indirect(address(189,33))+indirect(address(187,34))-indirect(address(188,34))</f>
        <v>0</v>
      </c>
      <c r="AI189">
        <f>indirect(address(189,34))+indirect(address(187,35))-indirect(address(188,35))</f>
        <v>0</v>
      </c>
      <c r="AJ189">
        <f>indirect(address(189,35))+indirect(address(187,36))-indirect(address(188,36))</f>
        <v>0</v>
      </c>
      <c r="AK189">
        <f>indirect(address(189,36))+indirect(address(187,37))-indirect(address(188,37))</f>
        <v>0</v>
      </c>
      <c r="AL189">
        <f>indirect(address(189,37))+indirect(address(187,38))-indirect(address(188,38))</f>
        <v>0</v>
      </c>
      <c r="AM189">
        <f>indirect(address(189,38))+indirect(address(187,39))-indirect(address(188,39))</f>
        <v>0</v>
      </c>
      <c r="AN189">
        <f>indirect(address(189,39))+indirect(address(187,40))-indirect(address(188,40))</f>
        <v>0</v>
      </c>
      <c r="AO189">
        <f>indirect(address(189,40))+indirect(address(187,41))-indirect(address(188,41))</f>
        <v>0</v>
      </c>
    </row>
    <row r="190" spans="1:41">
      <c r="I190" t="s">
        <v>14</v>
      </c>
      <c r="AO190">
        <f>sum(j190:an190)</f>
        <v>0</v>
      </c>
    </row>
    <row r="191" spans="1:41">
      <c r="I191" t="s">
        <v>15</v>
      </c>
      <c r="J191">
        <f>sumif(Plan!B:B,"827-006856-300",Plan!j:j)</f>
        <v>0</v>
      </c>
      <c r="K191">
        <f>sumif(Plan!B:B,"827-006856-300",Plan!k:k)</f>
        <v>0</v>
      </c>
      <c r="L191">
        <f>sumif(Plan!B:B,"827-006856-300",Plan!l:l)</f>
        <v>0</v>
      </c>
      <c r="M191">
        <f>sumif(Plan!B:B,"827-006856-300",Plan!m:m)</f>
        <v>0</v>
      </c>
      <c r="N191">
        <f>sumif(Plan!B:B,"827-006856-300",Plan!n:n)</f>
        <v>0</v>
      </c>
      <c r="O191">
        <f>sumif(Plan!B:B,"827-006856-300",Plan!o:o)</f>
        <v>0</v>
      </c>
      <c r="P191">
        <f>sumif(Plan!B:B,"827-006856-300",Plan!p:p)</f>
        <v>0</v>
      </c>
      <c r="Q191">
        <f>sumif(Plan!B:B,"827-006856-300",Plan!q:q)</f>
        <v>0</v>
      </c>
      <c r="R191">
        <f>sumif(Plan!B:B,"827-006856-300",Plan!r:r)</f>
        <v>0</v>
      </c>
      <c r="S191">
        <f>sumif(Plan!B:B,"827-006856-300",Plan!s:s)</f>
        <v>0</v>
      </c>
      <c r="T191">
        <f>sumif(Plan!B:B,"827-006856-300",Plan!t:t)</f>
        <v>0</v>
      </c>
      <c r="U191">
        <f>sumif(Plan!B:B,"827-006856-300",Plan!u:u)</f>
        <v>0</v>
      </c>
      <c r="V191">
        <f>sumif(Plan!B:B,"827-006856-300",Plan!v:v)</f>
        <v>0</v>
      </c>
      <c r="W191">
        <f>sumif(Plan!B:B,"827-006856-300",Plan!w:w)</f>
        <v>0</v>
      </c>
      <c r="X191">
        <f>sumif(Plan!B:B,"827-006856-300",Plan!x:x)</f>
        <v>0</v>
      </c>
      <c r="Y191">
        <f>sumif(Plan!B:B,"827-006856-300",Plan!y:y)</f>
        <v>0</v>
      </c>
      <c r="Z191">
        <f>sumif(Plan!B:B,"827-006856-300",Plan!z:z)</f>
        <v>0</v>
      </c>
      <c r="AA191">
        <f>sumif(Plan!B:B,"827-006856-300",Plan!aa:aa)</f>
        <v>0</v>
      </c>
      <c r="AB191">
        <f>sumif(Plan!B:B,"827-006856-300",Plan!ab:ab)</f>
        <v>0</v>
      </c>
      <c r="AC191">
        <f>sumif(Plan!B:B,"827-006856-300",Plan!ac:ac)</f>
        <v>0</v>
      </c>
      <c r="AD191">
        <f>sumif(Plan!B:B,"827-006856-300",Plan!ad:ad)</f>
        <v>0</v>
      </c>
      <c r="AE191">
        <f>sumif(Plan!B:B,"827-006856-300",Plan!ae:ae)</f>
        <v>0</v>
      </c>
      <c r="AF191">
        <f>sumif(Plan!B:B,"827-006856-300",Plan!af:af)</f>
        <v>0</v>
      </c>
      <c r="AG191">
        <f>sumif(Plan!B:B,"827-006856-300",Plan!ag:ag)</f>
        <v>0</v>
      </c>
      <c r="AH191">
        <f>sumif(Plan!B:B,"827-006856-300",Plan!ah:ah)</f>
        <v>0</v>
      </c>
      <c r="AI191">
        <f>sumif(Plan!B:B,"827-006856-300",Plan!ai:ai)</f>
        <v>0</v>
      </c>
      <c r="AJ191">
        <f>sumif(Plan!B:B,"827-006856-300",Plan!aj:aj)</f>
        <v>0</v>
      </c>
      <c r="AK191">
        <f>sumif(Plan!B:B,"827-006856-300",Plan!ak:ak)</f>
        <v>0</v>
      </c>
      <c r="AL191">
        <f>sumif(Plan!B:B,"827-006856-300",Plan!al:al)</f>
        <v>0</v>
      </c>
      <c r="AM191">
        <f>sumif(Plan!B:B,"827-006856-300",Plan!am:am)</f>
        <v>0</v>
      </c>
      <c r="AN191">
        <f>sumif(Plan!B:B,"827-006856-300",Plan!an:an)</f>
        <v>0</v>
      </c>
      <c r="AO191">
        <f>sumif(Plan!B:B,"827-006856-300",Plan!ao:ao)</f>
        <v>0</v>
      </c>
    </row>
    <row r="192" spans="1:41">
      <c r="A192" t="s">
        <v>22</v>
      </c>
      <c r="B192" t="s">
        <v>147</v>
      </c>
      <c r="C192" t="s">
        <v>148</v>
      </c>
      <c r="E192">
        <v>1</v>
      </c>
      <c r="F192" t="s">
        <v>13</v>
      </c>
      <c r="H192" t="s">
        <v>16</v>
      </c>
      <c r="J192">
        <f>indirect(address(192,9))+indirect(address(190,10))-indirect(address(191,10))</f>
        <v>0</v>
      </c>
      <c r="K192">
        <f>indirect(address(192,10))+indirect(address(190,11))-indirect(address(191,11))</f>
        <v>0</v>
      </c>
      <c r="L192">
        <f>indirect(address(192,11))+indirect(address(190,12))-indirect(address(191,12))</f>
        <v>0</v>
      </c>
      <c r="M192">
        <f>indirect(address(192,12))+indirect(address(190,13))-indirect(address(191,13))</f>
        <v>0</v>
      </c>
      <c r="N192">
        <f>indirect(address(192,13))+indirect(address(190,14))-indirect(address(191,14))</f>
        <v>0</v>
      </c>
      <c r="O192">
        <f>indirect(address(192,14))+indirect(address(190,15))-indirect(address(191,15))</f>
        <v>0</v>
      </c>
      <c r="P192">
        <f>indirect(address(192,15))+indirect(address(190,16))-indirect(address(191,16))</f>
        <v>0</v>
      </c>
      <c r="Q192">
        <f>indirect(address(192,16))+indirect(address(190,17))-indirect(address(191,17))</f>
        <v>0</v>
      </c>
      <c r="R192">
        <f>indirect(address(192,17))+indirect(address(190,18))-indirect(address(191,18))</f>
        <v>0</v>
      </c>
      <c r="S192">
        <f>indirect(address(192,18))+indirect(address(190,19))-indirect(address(191,19))</f>
        <v>0</v>
      </c>
      <c r="T192">
        <f>indirect(address(192,19))+indirect(address(190,20))-indirect(address(191,20))</f>
        <v>0</v>
      </c>
      <c r="U192">
        <f>indirect(address(192,20))+indirect(address(190,21))-indirect(address(191,21))</f>
        <v>0</v>
      </c>
      <c r="V192">
        <f>indirect(address(192,21))+indirect(address(190,22))-indirect(address(191,22))</f>
        <v>0</v>
      </c>
      <c r="W192">
        <f>indirect(address(192,22))+indirect(address(190,23))-indirect(address(191,23))</f>
        <v>0</v>
      </c>
      <c r="X192">
        <f>indirect(address(192,23))+indirect(address(190,24))-indirect(address(191,24))</f>
        <v>0</v>
      </c>
      <c r="Y192">
        <f>indirect(address(192,24))+indirect(address(190,25))-indirect(address(191,25))</f>
        <v>0</v>
      </c>
      <c r="Z192">
        <f>indirect(address(192,25))+indirect(address(190,26))-indirect(address(191,26))</f>
        <v>0</v>
      </c>
      <c r="AA192">
        <f>indirect(address(192,26))+indirect(address(190,27))-indirect(address(191,27))</f>
        <v>0</v>
      </c>
      <c r="AB192">
        <f>indirect(address(192,27))+indirect(address(190,28))-indirect(address(191,28))</f>
        <v>0</v>
      </c>
      <c r="AC192">
        <f>indirect(address(192,28))+indirect(address(190,29))-indirect(address(191,29))</f>
        <v>0</v>
      </c>
      <c r="AD192">
        <f>indirect(address(192,29))+indirect(address(190,30))-indirect(address(191,30))</f>
        <v>0</v>
      </c>
      <c r="AE192">
        <f>indirect(address(192,30))+indirect(address(190,31))-indirect(address(191,31))</f>
        <v>0</v>
      </c>
      <c r="AF192">
        <f>indirect(address(192,31))+indirect(address(190,32))-indirect(address(191,32))</f>
        <v>0</v>
      </c>
      <c r="AG192">
        <f>indirect(address(192,32))+indirect(address(190,33))-indirect(address(191,33))</f>
        <v>0</v>
      </c>
      <c r="AH192">
        <f>indirect(address(192,33))+indirect(address(190,34))-indirect(address(191,34))</f>
        <v>0</v>
      </c>
      <c r="AI192">
        <f>indirect(address(192,34))+indirect(address(190,35))-indirect(address(191,35))</f>
        <v>0</v>
      </c>
      <c r="AJ192">
        <f>indirect(address(192,35))+indirect(address(190,36))-indirect(address(191,36))</f>
        <v>0</v>
      </c>
      <c r="AK192">
        <f>indirect(address(192,36))+indirect(address(190,37))-indirect(address(191,37))</f>
        <v>0</v>
      </c>
      <c r="AL192">
        <f>indirect(address(192,37))+indirect(address(190,38))-indirect(address(191,38))</f>
        <v>0</v>
      </c>
      <c r="AM192">
        <f>indirect(address(192,38))+indirect(address(190,39))-indirect(address(191,39))</f>
        <v>0</v>
      </c>
      <c r="AN192">
        <f>indirect(address(192,39))+indirect(address(190,40))-indirect(address(191,40))</f>
        <v>0</v>
      </c>
      <c r="AO192">
        <f>indirect(address(192,40))+indirect(address(190,41))-indirect(address(191,41))</f>
        <v>0</v>
      </c>
    </row>
    <row r="193" spans="1:41">
      <c r="I193" t="s">
        <v>14</v>
      </c>
      <c r="AO193">
        <f>sum(j193:an193)</f>
        <v>0</v>
      </c>
    </row>
    <row r="194" spans="1:41">
      <c r="I194" t="s">
        <v>15</v>
      </c>
      <c r="J194">
        <f>sumif(Plan!B:B,"263-000000-009",Plan!j:j)</f>
        <v>0</v>
      </c>
      <c r="K194">
        <f>sumif(Plan!B:B,"263-000000-009",Plan!k:k)</f>
        <v>0</v>
      </c>
      <c r="L194">
        <f>sumif(Plan!B:B,"263-000000-009",Plan!l:l)</f>
        <v>0</v>
      </c>
      <c r="M194">
        <f>sumif(Plan!B:B,"263-000000-009",Plan!m:m)</f>
        <v>0</v>
      </c>
      <c r="N194">
        <f>sumif(Plan!B:B,"263-000000-009",Plan!n:n)</f>
        <v>0</v>
      </c>
      <c r="O194">
        <f>sumif(Plan!B:B,"263-000000-009",Plan!o:o)</f>
        <v>0</v>
      </c>
      <c r="P194">
        <f>sumif(Plan!B:B,"263-000000-009",Plan!p:p)</f>
        <v>0</v>
      </c>
      <c r="Q194">
        <f>sumif(Plan!B:B,"263-000000-009",Plan!q:q)</f>
        <v>0</v>
      </c>
      <c r="R194">
        <f>sumif(Plan!B:B,"263-000000-009",Plan!r:r)</f>
        <v>0</v>
      </c>
      <c r="S194">
        <f>sumif(Plan!B:B,"263-000000-009",Plan!s:s)</f>
        <v>0</v>
      </c>
      <c r="T194">
        <f>sumif(Plan!B:B,"263-000000-009",Plan!t:t)</f>
        <v>0</v>
      </c>
      <c r="U194">
        <f>sumif(Plan!B:B,"263-000000-009",Plan!u:u)</f>
        <v>0</v>
      </c>
      <c r="V194">
        <f>sumif(Plan!B:B,"263-000000-009",Plan!v:v)</f>
        <v>0</v>
      </c>
      <c r="W194">
        <f>sumif(Plan!B:B,"263-000000-009",Plan!w:w)</f>
        <v>0</v>
      </c>
      <c r="X194">
        <f>sumif(Plan!B:B,"263-000000-009",Plan!x:x)</f>
        <v>0</v>
      </c>
      <c r="Y194">
        <f>sumif(Plan!B:B,"263-000000-009",Plan!y:y)</f>
        <v>0</v>
      </c>
      <c r="Z194">
        <f>sumif(Plan!B:B,"263-000000-009",Plan!z:z)</f>
        <v>0</v>
      </c>
      <c r="AA194">
        <f>sumif(Plan!B:B,"263-000000-009",Plan!aa:aa)</f>
        <v>0</v>
      </c>
      <c r="AB194">
        <f>sumif(Plan!B:B,"263-000000-009",Plan!ab:ab)</f>
        <v>0</v>
      </c>
      <c r="AC194">
        <f>sumif(Plan!B:B,"263-000000-009",Plan!ac:ac)</f>
        <v>0</v>
      </c>
      <c r="AD194">
        <f>sumif(Plan!B:B,"263-000000-009",Plan!ad:ad)</f>
        <v>0</v>
      </c>
      <c r="AE194">
        <f>sumif(Plan!B:B,"263-000000-009",Plan!ae:ae)</f>
        <v>0</v>
      </c>
      <c r="AF194">
        <f>sumif(Plan!B:B,"263-000000-009",Plan!af:af)</f>
        <v>0</v>
      </c>
      <c r="AG194">
        <f>sumif(Plan!B:B,"263-000000-009",Plan!ag:ag)</f>
        <v>0</v>
      </c>
      <c r="AH194">
        <f>sumif(Plan!B:B,"263-000000-009",Plan!ah:ah)</f>
        <v>0</v>
      </c>
      <c r="AI194">
        <f>sumif(Plan!B:B,"263-000000-009",Plan!ai:ai)</f>
        <v>0</v>
      </c>
      <c r="AJ194">
        <f>sumif(Plan!B:B,"263-000000-009",Plan!aj:aj)</f>
        <v>0</v>
      </c>
      <c r="AK194">
        <f>sumif(Plan!B:B,"263-000000-009",Plan!ak:ak)</f>
        <v>0</v>
      </c>
      <c r="AL194">
        <f>sumif(Plan!B:B,"263-000000-009",Plan!al:al)</f>
        <v>0</v>
      </c>
      <c r="AM194">
        <f>sumif(Plan!B:B,"263-000000-009",Plan!am:am)</f>
        <v>0</v>
      </c>
      <c r="AN194">
        <f>sumif(Plan!B:B,"263-000000-009",Plan!an:an)</f>
        <v>0</v>
      </c>
      <c r="AO194">
        <f>sumif(Plan!B:B,"263-000000-009",Plan!ao:ao)</f>
        <v>0</v>
      </c>
    </row>
    <row r="195" spans="1:41">
      <c r="A195" t="s">
        <v>22</v>
      </c>
      <c r="B195" t="s">
        <v>136</v>
      </c>
      <c r="C195" t="s">
        <v>149</v>
      </c>
      <c r="E195">
        <v>1</v>
      </c>
      <c r="F195" t="s">
        <v>150</v>
      </c>
      <c r="H195" t="s">
        <v>16</v>
      </c>
      <c r="J195">
        <f>indirect(address(195,9))+indirect(address(193,10))-indirect(address(194,10))</f>
        <v>0</v>
      </c>
      <c r="K195">
        <f>indirect(address(195,10))+indirect(address(193,11))-indirect(address(194,11))</f>
        <v>0</v>
      </c>
      <c r="L195">
        <f>indirect(address(195,11))+indirect(address(193,12))-indirect(address(194,12))</f>
        <v>0</v>
      </c>
      <c r="M195">
        <f>indirect(address(195,12))+indirect(address(193,13))-indirect(address(194,13))</f>
        <v>0</v>
      </c>
      <c r="N195">
        <f>indirect(address(195,13))+indirect(address(193,14))-indirect(address(194,14))</f>
        <v>0</v>
      </c>
      <c r="O195">
        <f>indirect(address(195,14))+indirect(address(193,15))-indirect(address(194,15))</f>
        <v>0</v>
      </c>
      <c r="P195">
        <f>indirect(address(195,15))+indirect(address(193,16))-indirect(address(194,16))</f>
        <v>0</v>
      </c>
      <c r="Q195">
        <f>indirect(address(195,16))+indirect(address(193,17))-indirect(address(194,17))</f>
        <v>0</v>
      </c>
      <c r="R195">
        <f>indirect(address(195,17))+indirect(address(193,18))-indirect(address(194,18))</f>
        <v>0</v>
      </c>
      <c r="S195">
        <f>indirect(address(195,18))+indirect(address(193,19))-indirect(address(194,19))</f>
        <v>0</v>
      </c>
      <c r="T195">
        <f>indirect(address(195,19))+indirect(address(193,20))-indirect(address(194,20))</f>
        <v>0</v>
      </c>
      <c r="U195">
        <f>indirect(address(195,20))+indirect(address(193,21))-indirect(address(194,21))</f>
        <v>0</v>
      </c>
      <c r="V195">
        <f>indirect(address(195,21))+indirect(address(193,22))-indirect(address(194,22))</f>
        <v>0</v>
      </c>
      <c r="W195">
        <f>indirect(address(195,22))+indirect(address(193,23))-indirect(address(194,23))</f>
        <v>0</v>
      </c>
      <c r="X195">
        <f>indirect(address(195,23))+indirect(address(193,24))-indirect(address(194,24))</f>
        <v>0</v>
      </c>
      <c r="Y195">
        <f>indirect(address(195,24))+indirect(address(193,25))-indirect(address(194,25))</f>
        <v>0</v>
      </c>
      <c r="Z195">
        <f>indirect(address(195,25))+indirect(address(193,26))-indirect(address(194,26))</f>
        <v>0</v>
      </c>
      <c r="AA195">
        <f>indirect(address(195,26))+indirect(address(193,27))-indirect(address(194,27))</f>
        <v>0</v>
      </c>
      <c r="AB195">
        <f>indirect(address(195,27))+indirect(address(193,28))-indirect(address(194,28))</f>
        <v>0</v>
      </c>
      <c r="AC195">
        <f>indirect(address(195,28))+indirect(address(193,29))-indirect(address(194,29))</f>
        <v>0</v>
      </c>
      <c r="AD195">
        <f>indirect(address(195,29))+indirect(address(193,30))-indirect(address(194,30))</f>
        <v>0</v>
      </c>
      <c r="AE195">
        <f>indirect(address(195,30))+indirect(address(193,31))-indirect(address(194,31))</f>
        <v>0</v>
      </c>
      <c r="AF195">
        <f>indirect(address(195,31))+indirect(address(193,32))-indirect(address(194,32))</f>
        <v>0</v>
      </c>
      <c r="AG195">
        <f>indirect(address(195,32))+indirect(address(193,33))-indirect(address(194,33))</f>
        <v>0</v>
      </c>
      <c r="AH195">
        <f>indirect(address(195,33))+indirect(address(193,34))-indirect(address(194,34))</f>
        <v>0</v>
      </c>
      <c r="AI195">
        <f>indirect(address(195,34))+indirect(address(193,35))-indirect(address(194,35))</f>
        <v>0</v>
      </c>
      <c r="AJ195">
        <f>indirect(address(195,35))+indirect(address(193,36))-indirect(address(194,36))</f>
        <v>0</v>
      </c>
      <c r="AK195">
        <f>indirect(address(195,36))+indirect(address(193,37))-indirect(address(194,37))</f>
        <v>0</v>
      </c>
      <c r="AL195">
        <f>indirect(address(195,37))+indirect(address(193,38))-indirect(address(194,38))</f>
        <v>0</v>
      </c>
      <c r="AM195">
        <f>indirect(address(195,38))+indirect(address(193,39))-indirect(address(194,39))</f>
        <v>0</v>
      </c>
      <c r="AN195">
        <f>indirect(address(195,39))+indirect(address(193,40))-indirect(address(194,40))</f>
        <v>0</v>
      </c>
      <c r="AO195">
        <f>indirect(address(195,40))+indirect(address(193,41))-indirect(address(194,41))</f>
        <v>0</v>
      </c>
    </row>
    <row r="196" spans="1:41">
      <c r="I196" t="s">
        <v>14</v>
      </c>
      <c r="AO196">
        <f>sum(j196:an196)</f>
        <v>0</v>
      </c>
    </row>
    <row r="197" spans="1:41">
      <c r="I197" t="s">
        <v>15</v>
      </c>
      <c r="J197">
        <f>sumif(Plan!B:B,"262-000000-081",Plan!j:j)</f>
        <v>0</v>
      </c>
      <c r="K197">
        <f>sumif(Plan!B:B,"262-000000-081",Plan!k:k)</f>
        <v>0</v>
      </c>
      <c r="L197">
        <f>sumif(Plan!B:B,"262-000000-081",Plan!l:l)</f>
        <v>0</v>
      </c>
      <c r="M197">
        <f>sumif(Plan!B:B,"262-000000-081",Plan!m:m)</f>
        <v>0</v>
      </c>
      <c r="N197">
        <f>sumif(Plan!B:B,"262-000000-081",Plan!n:n)</f>
        <v>0</v>
      </c>
      <c r="O197">
        <f>sumif(Plan!B:B,"262-000000-081",Plan!o:o)</f>
        <v>0</v>
      </c>
      <c r="P197">
        <f>sumif(Plan!B:B,"262-000000-081",Plan!p:p)</f>
        <v>0</v>
      </c>
      <c r="Q197">
        <f>sumif(Plan!B:B,"262-000000-081",Plan!q:q)</f>
        <v>0</v>
      </c>
      <c r="R197">
        <f>sumif(Plan!B:B,"262-000000-081",Plan!r:r)</f>
        <v>0</v>
      </c>
      <c r="S197">
        <f>sumif(Plan!B:B,"262-000000-081",Plan!s:s)</f>
        <v>0</v>
      </c>
      <c r="T197">
        <f>sumif(Plan!B:B,"262-000000-081",Plan!t:t)</f>
        <v>0</v>
      </c>
      <c r="U197">
        <f>sumif(Plan!B:B,"262-000000-081",Plan!u:u)</f>
        <v>0</v>
      </c>
      <c r="V197">
        <f>sumif(Plan!B:B,"262-000000-081",Plan!v:v)</f>
        <v>0</v>
      </c>
      <c r="W197">
        <f>sumif(Plan!B:B,"262-000000-081",Plan!w:w)</f>
        <v>0</v>
      </c>
      <c r="X197">
        <f>sumif(Plan!B:B,"262-000000-081",Plan!x:x)</f>
        <v>0</v>
      </c>
      <c r="Y197">
        <f>sumif(Plan!B:B,"262-000000-081",Plan!y:y)</f>
        <v>0</v>
      </c>
      <c r="Z197">
        <f>sumif(Plan!B:B,"262-000000-081",Plan!z:z)</f>
        <v>0</v>
      </c>
      <c r="AA197">
        <f>sumif(Plan!B:B,"262-000000-081",Plan!aa:aa)</f>
        <v>0</v>
      </c>
      <c r="AB197">
        <f>sumif(Plan!B:B,"262-000000-081",Plan!ab:ab)</f>
        <v>0</v>
      </c>
      <c r="AC197">
        <f>sumif(Plan!B:B,"262-000000-081",Plan!ac:ac)</f>
        <v>0</v>
      </c>
      <c r="AD197">
        <f>sumif(Plan!B:B,"262-000000-081",Plan!ad:ad)</f>
        <v>0</v>
      </c>
      <c r="AE197">
        <f>sumif(Plan!B:B,"262-000000-081",Plan!ae:ae)</f>
        <v>0</v>
      </c>
      <c r="AF197">
        <f>sumif(Plan!B:B,"262-000000-081",Plan!af:af)</f>
        <v>0</v>
      </c>
      <c r="AG197">
        <f>sumif(Plan!B:B,"262-000000-081",Plan!ag:ag)</f>
        <v>0</v>
      </c>
      <c r="AH197">
        <f>sumif(Plan!B:B,"262-000000-081",Plan!ah:ah)</f>
        <v>0</v>
      </c>
      <c r="AI197">
        <f>sumif(Plan!B:B,"262-000000-081",Plan!ai:ai)</f>
        <v>0</v>
      </c>
      <c r="AJ197">
        <f>sumif(Plan!B:B,"262-000000-081",Plan!aj:aj)</f>
        <v>0</v>
      </c>
      <c r="AK197">
        <f>sumif(Plan!B:B,"262-000000-081",Plan!ak:ak)</f>
        <v>0</v>
      </c>
      <c r="AL197">
        <f>sumif(Plan!B:B,"262-000000-081",Plan!al:al)</f>
        <v>0</v>
      </c>
      <c r="AM197">
        <f>sumif(Plan!B:B,"262-000000-081",Plan!am:am)</f>
        <v>0</v>
      </c>
      <c r="AN197">
        <f>sumif(Plan!B:B,"262-000000-081",Plan!an:an)</f>
        <v>0</v>
      </c>
      <c r="AO197">
        <f>sumif(Plan!B:B,"262-000000-081",Plan!ao:ao)</f>
        <v>0</v>
      </c>
    </row>
    <row r="198" spans="1:41">
      <c r="A198" t="s">
        <v>22</v>
      </c>
      <c r="B198" t="s">
        <v>151</v>
      </c>
      <c r="C198" t="s">
        <v>152</v>
      </c>
      <c r="E198">
        <v>2</v>
      </c>
      <c r="F198" t="s">
        <v>13</v>
      </c>
      <c r="H198" t="s">
        <v>16</v>
      </c>
      <c r="J198">
        <f>indirect(address(198,9))+indirect(address(196,10))-indirect(address(197,10))</f>
        <v>0</v>
      </c>
      <c r="K198">
        <f>indirect(address(198,10))+indirect(address(196,11))-indirect(address(197,11))</f>
        <v>0</v>
      </c>
      <c r="L198">
        <f>indirect(address(198,11))+indirect(address(196,12))-indirect(address(197,12))</f>
        <v>0</v>
      </c>
      <c r="M198">
        <f>indirect(address(198,12))+indirect(address(196,13))-indirect(address(197,13))</f>
        <v>0</v>
      </c>
      <c r="N198">
        <f>indirect(address(198,13))+indirect(address(196,14))-indirect(address(197,14))</f>
        <v>0</v>
      </c>
      <c r="O198">
        <f>indirect(address(198,14))+indirect(address(196,15))-indirect(address(197,15))</f>
        <v>0</v>
      </c>
      <c r="P198">
        <f>indirect(address(198,15))+indirect(address(196,16))-indirect(address(197,16))</f>
        <v>0</v>
      </c>
      <c r="Q198">
        <f>indirect(address(198,16))+indirect(address(196,17))-indirect(address(197,17))</f>
        <v>0</v>
      </c>
      <c r="R198">
        <f>indirect(address(198,17))+indirect(address(196,18))-indirect(address(197,18))</f>
        <v>0</v>
      </c>
      <c r="S198">
        <f>indirect(address(198,18))+indirect(address(196,19))-indirect(address(197,19))</f>
        <v>0</v>
      </c>
      <c r="T198">
        <f>indirect(address(198,19))+indirect(address(196,20))-indirect(address(197,20))</f>
        <v>0</v>
      </c>
      <c r="U198">
        <f>indirect(address(198,20))+indirect(address(196,21))-indirect(address(197,21))</f>
        <v>0</v>
      </c>
      <c r="V198">
        <f>indirect(address(198,21))+indirect(address(196,22))-indirect(address(197,22))</f>
        <v>0</v>
      </c>
      <c r="W198">
        <f>indirect(address(198,22))+indirect(address(196,23))-indirect(address(197,23))</f>
        <v>0</v>
      </c>
      <c r="X198">
        <f>indirect(address(198,23))+indirect(address(196,24))-indirect(address(197,24))</f>
        <v>0</v>
      </c>
      <c r="Y198">
        <f>indirect(address(198,24))+indirect(address(196,25))-indirect(address(197,25))</f>
        <v>0</v>
      </c>
      <c r="Z198">
        <f>indirect(address(198,25))+indirect(address(196,26))-indirect(address(197,26))</f>
        <v>0</v>
      </c>
      <c r="AA198">
        <f>indirect(address(198,26))+indirect(address(196,27))-indirect(address(197,27))</f>
        <v>0</v>
      </c>
      <c r="AB198">
        <f>indirect(address(198,27))+indirect(address(196,28))-indirect(address(197,28))</f>
        <v>0</v>
      </c>
      <c r="AC198">
        <f>indirect(address(198,28))+indirect(address(196,29))-indirect(address(197,29))</f>
        <v>0</v>
      </c>
      <c r="AD198">
        <f>indirect(address(198,29))+indirect(address(196,30))-indirect(address(197,30))</f>
        <v>0</v>
      </c>
      <c r="AE198">
        <f>indirect(address(198,30))+indirect(address(196,31))-indirect(address(197,31))</f>
        <v>0</v>
      </c>
      <c r="AF198">
        <f>indirect(address(198,31))+indirect(address(196,32))-indirect(address(197,32))</f>
        <v>0</v>
      </c>
      <c r="AG198">
        <f>indirect(address(198,32))+indirect(address(196,33))-indirect(address(197,33))</f>
        <v>0</v>
      </c>
      <c r="AH198">
        <f>indirect(address(198,33))+indirect(address(196,34))-indirect(address(197,34))</f>
        <v>0</v>
      </c>
      <c r="AI198">
        <f>indirect(address(198,34))+indirect(address(196,35))-indirect(address(197,35))</f>
        <v>0</v>
      </c>
      <c r="AJ198">
        <f>indirect(address(198,35))+indirect(address(196,36))-indirect(address(197,36))</f>
        <v>0</v>
      </c>
      <c r="AK198">
        <f>indirect(address(198,36))+indirect(address(196,37))-indirect(address(197,37))</f>
        <v>0</v>
      </c>
      <c r="AL198">
        <f>indirect(address(198,37))+indirect(address(196,38))-indirect(address(197,38))</f>
        <v>0</v>
      </c>
      <c r="AM198">
        <f>indirect(address(198,38))+indirect(address(196,39))-indirect(address(197,39))</f>
        <v>0</v>
      </c>
      <c r="AN198">
        <f>indirect(address(198,39))+indirect(address(196,40))-indirect(address(197,40))</f>
        <v>0</v>
      </c>
      <c r="AO198">
        <f>indirect(address(198,40))+indirect(address(196,41))-indirect(address(197,41))</f>
        <v>0</v>
      </c>
    </row>
    <row r="199" spans="1:41">
      <c r="I199" t="s">
        <v>14</v>
      </c>
      <c r="AO199">
        <f>sum(j199:an199)</f>
        <v>0</v>
      </c>
    </row>
    <row r="200" spans="1:41">
      <c r="I200" t="s">
        <v>15</v>
      </c>
      <c r="J200">
        <f>sumif(Plan!B:B,"242-101000-000",Plan!j:j)</f>
        <v>0</v>
      </c>
      <c r="K200">
        <f>sumif(Plan!B:B,"242-101000-000",Plan!k:k)</f>
        <v>0</v>
      </c>
      <c r="L200">
        <f>sumif(Plan!B:B,"242-101000-000",Plan!l:l)</f>
        <v>0</v>
      </c>
      <c r="M200">
        <f>sumif(Plan!B:B,"242-101000-000",Plan!m:m)</f>
        <v>0</v>
      </c>
      <c r="N200">
        <f>sumif(Plan!B:B,"242-101000-000",Plan!n:n)</f>
        <v>0</v>
      </c>
      <c r="O200">
        <f>sumif(Plan!B:B,"242-101000-000",Plan!o:o)</f>
        <v>0</v>
      </c>
      <c r="P200">
        <f>sumif(Plan!B:B,"242-101000-000",Plan!p:p)</f>
        <v>0</v>
      </c>
      <c r="Q200">
        <f>sumif(Plan!B:B,"242-101000-000",Plan!q:q)</f>
        <v>0</v>
      </c>
      <c r="R200">
        <f>sumif(Plan!B:B,"242-101000-000",Plan!r:r)</f>
        <v>0</v>
      </c>
      <c r="S200">
        <f>sumif(Plan!B:B,"242-101000-000",Plan!s:s)</f>
        <v>0</v>
      </c>
      <c r="T200">
        <f>sumif(Plan!B:B,"242-101000-000",Plan!t:t)</f>
        <v>0</v>
      </c>
      <c r="U200">
        <f>sumif(Plan!B:B,"242-101000-000",Plan!u:u)</f>
        <v>0</v>
      </c>
      <c r="V200">
        <f>sumif(Plan!B:B,"242-101000-000",Plan!v:v)</f>
        <v>0</v>
      </c>
      <c r="W200">
        <f>sumif(Plan!B:B,"242-101000-000",Plan!w:w)</f>
        <v>0</v>
      </c>
      <c r="X200">
        <f>sumif(Plan!B:B,"242-101000-000",Plan!x:x)</f>
        <v>0</v>
      </c>
      <c r="Y200">
        <f>sumif(Plan!B:B,"242-101000-000",Plan!y:y)</f>
        <v>0</v>
      </c>
      <c r="Z200">
        <f>sumif(Plan!B:B,"242-101000-000",Plan!z:z)</f>
        <v>0</v>
      </c>
      <c r="AA200">
        <f>sumif(Plan!B:B,"242-101000-000",Plan!aa:aa)</f>
        <v>0</v>
      </c>
      <c r="AB200">
        <f>sumif(Plan!B:B,"242-101000-000",Plan!ab:ab)</f>
        <v>0</v>
      </c>
      <c r="AC200">
        <f>sumif(Plan!B:B,"242-101000-000",Plan!ac:ac)</f>
        <v>0</v>
      </c>
      <c r="AD200">
        <f>sumif(Plan!B:B,"242-101000-000",Plan!ad:ad)</f>
        <v>0</v>
      </c>
      <c r="AE200">
        <f>sumif(Plan!B:B,"242-101000-000",Plan!ae:ae)</f>
        <v>0</v>
      </c>
      <c r="AF200">
        <f>sumif(Plan!B:B,"242-101000-000",Plan!af:af)</f>
        <v>0</v>
      </c>
      <c r="AG200">
        <f>sumif(Plan!B:B,"242-101000-000",Plan!ag:ag)</f>
        <v>0</v>
      </c>
      <c r="AH200">
        <f>sumif(Plan!B:B,"242-101000-000",Plan!ah:ah)</f>
        <v>0</v>
      </c>
      <c r="AI200">
        <f>sumif(Plan!B:B,"242-101000-000",Plan!ai:ai)</f>
        <v>0</v>
      </c>
      <c r="AJ200">
        <f>sumif(Plan!B:B,"242-101000-000",Plan!aj:aj)</f>
        <v>0</v>
      </c>
      <c r="AK200">
        <f>sumif(Plan!B:B,"242-101000-000",Plan!ak:ak)</f>
        <v>0</v>
      </c>
      <c r="AL200">
        <f>sumif(Plan!B:B,"242-101000-000",Plan!al:al)</f>
        <v>0</v>
      </c>
      <c r="AM200">
        <f>sumif(Plan!B:B,"242-101000-000",Plan!am:am)</f>
        <v>0</v>
      </c>
      <c r="AN200">
        <f>sumif(Plan!B:B,"242-101000-000",Plan!an:an)</f>
        <v>0</v>
      </c>
      <c r="AO200">
        <f>sumif(Plan!B:B,"242-101000-000",Plan!ao:ao)</f>
        <v>0</v>
      </c>
    </row>
    <row r="201" spans="1:41">
      <c r="A201" t="s">
        <v>78</v>
      </c>
      <c r="B201" t="s">
        <v>138</v>
      </c>
      <c r="C201" t="s">
        <v>153</v>
      </c>
      <c r="E201">
        <v>0.17</v>
      </c>
      <c r="F201" t="s">
        <v>13</v>
      </c>
      <c r="H201" t="s">
        <v>16</v>
      </c>
      <c r="J201">
        <f>indirect(address(201,9))+indirect(address(199,10))-indirect(address(200,10))</f>
        <v>0</v>
      </c>
      <c r="K201">
        <f>indirect(address(201,10))+indirect(address(199,11))-indirect(address(200,11))</f>
        <v>0</v>
      </c>
      <c r="L201">
        <f>indirect(address(201,11))+indirect(address(199,12))-indirect(address(200,12))</f>
        <v>0</v>
      </c>
      <c r="M201">
        <f>indirect(address(201,12))+indirect(address(199,13))-indirect(address(200,13))</f>
        <v>0</v>
      </c>
      <c r="N201">
        <f>indirect(address(201,13))+indirect(address(199,14))-indirect(address(200,14))</f>
        <v>0</v>
      </c>
      <c r="O201">
        <f>indirect(address(201,14))+indirect(address(199,15))-indirect(address(200,15))</f>
        <v>0</v>
      </c>
      <c r="P201">
        <f>indirect(address(201,15))+indirect(address(199,16))-indirect(address(200,16))</f>
        <v>0</v>
      </c>
      <c r="Q201">
        <f>indirect(address(201,16))+indirect(address(199,17))-indirect(address(200,17))</f>
        <v>0</v>
      </c>
      <c r="R201">
        <f>indirect(address(201,17))+indirect(address(199,18))-indirect(address(200,18))</f>
        <v>0</v>
      </c>
      <c r="S201">
        <f>indirect(address(201,18))+indirect(address(199,19))-indirect(address(200,19))</f>
        <v>0</v>
      </c>
      <c r="T201">
        <f>indirect(address(201,19))+indirect(address(199,20))-indirect(address(200,20))</f>
        <v>0</v>
      </c>
      <c r="U201">
        <f>indirect(address(201,20))+indirect(address(199,21))-indirect(address(200,21))</f>
        <v>0</v>
      </c>
      <c r="V201">
        <f>indirect(address(201,21))+indirect(address(199,22))-indirect(address(200,22))</f>
        <v>0</v>
      </c>
      <c r="W201">
        <f>indirect(address(201,22))+indirect(address(199,23))-indirect(address(200,23))</f>
        <v>0</v>
      </c>
      <c r="X201">
        <f>indirect(address(201,23))+indirect(address(199,24))-indirect(address(200,24))</f>
        <v>0</v>
      </c>
      <c r="Y201">
        <f>indirect(address(201,24))+indirect(address(199,25))-indirect(address(200,25))</f>
        <v>0</v>
      </c>
      <c r="Z201">
        <f>indirect(address(201,25))+indirect(address(199,26))-indirect(address(200,26))</f>
        <v>0</v>
      </c>
      <c r="AA201">
        <f>indirect(address(201,26))+indirect(address(199,27))-indirect(address(200,27))</f>
        <v>0</v>
      </c>
      <c r="AB201">
        <f>indirect(address(201,27))+indirect(address(199,28))-indirect(address(200,28))</f>
        <v>0</v>
      </c>
      <c r="AC201">
        <f>indirect(address(201,28))+indirect(address(199,29))-indirect(address(200,29))</f>
        <v>0</v>
      </c>
      <c r="AD201">
        <f>indirect(address(201,29))+indirect(address(199,30))-indirect(address(200,30))</f>
        <v>0</v>
      </c>
      <c r="AE201">
        <f>indirect(address(201,30))+indirect(address(199,31))-indirect(address(200,31))</f>
        <v>0</v>
      </c>
      <c r="AF201">
        <f>indirect(address(201,31))+indirect(address(199,32))-indirect(address(200,32))</f>
        <v>0</v>
      </c>
      <c r="AG201">
        <f>indirect(address(201,32))+indirect(address(199,33))-indirect(address(200,33))</f>
        <v>0</v>
      </c>
      <c r="AH201">
        <f>indirect(address(201,33))+indirect(address(199,34))-indirect(address(200,34))</f>
        <v>0</v>
      </c>
      <c r="AI201">
        <f>indirect(address(201,34))+indirect(address(199,35))-indirect(address(200,35))</f>
        <v>0</v>
      </c>
      <c r="AJ201">
        <f>indirect(address(201,35))+indirect(address(199,36))-indirect(address(200,36))</f>
        <v>0</v>
      </c>
      <c r="AK201">
        <f>indirect(address(201,36))+indirect(address(199,37))-indirect(address(200,37))</f>
        <v>0</v>
      </c>
      <c r="AL201">
        <f>indirect(address(201,37))+indirect(address(199,38))-indirect(address(200,38))</f>
        <v>0</v>
      </c>
      <c r="AM201">
        <f>indirect(address(201,38))+indirect(address(199,39))-indirect(address(200,39))</f>
        <v>0</v>
      </c>
      <c r="AN201">
        <f>indirect(address(201,39))+indirect(address(199,40))-indirect(address(200,40))</f>
        <v>0</v>
      </c>
      <c r="AO201">
        <f>indirect(address(201,40))+indirect(address(199,41))-indirect(address(200,41))</f>
        <v>0</v>
      </c>
    </row>
    <row r="202" spans="1:41">
      <c r="I202" t="s">
        <v>14</v>
      </c>
      <c r="AO202">
        <f>sum(j202:an202)</f>
        <v>0</v>
      </c>
    </row>
    <row r="203" spans="1:41">
      <c r="I203" t="s">
        <v>15</v>
      </c>
      <c r="J203">
        <f>sumif(Plan!B:B,"827-004000-100",Plan!j:j)</f>
        <v>0</v>
      </c>
      <c r="K203">
        <f>sumif(Plan!B:B,"827-004000-100",Plan!k:k)</f>
        <v>0</v>
      </c>
      <c r="L203">
        <f>sumif(Plan!B:B,"827-004000-100",Plan!l:l)</f>
        <v>0</v>
      </c>
      <c r="M203">
        <f>sumif(Plan!B:B,"827-004000-100",Plan!m:m)</f>
        <v>0</v>
      </c>
      <c r="N203">
        <f>sumif(Plan!B:B,"827-004000-100",Plan!n:n)</f>
        <v>0</v>
      </c>
      <c r="O203">
        <f>sumif(Plan!B:B,"827-004000-100",Plan!o:o)</f>
        <v>0</v>
      </c>
      <c r="P203">
        <f>sumif(Plan!B:B,"827-004000-100",Plan!p:p)</f>
        <v>0</v>
      </c>
      <c r="Q203">
        <f>sumif(Plan!B:B,"827-004000-100",Plan!q:q)</f>
        <v>0</v>
      </c>
      <c r="R203">
        <f>sumif(Plan!B:B,"827-004000-100",Plan!r:r)</f>
        <v>0</v>
      </c>
      <c r="S203">
        <f>sumif(Plan!B:B,"827-004000-100",Plan!s:s)</f>
        <v>0</v>
      </c>
      <c r="T203">
        <f>sumif(Plan!B:B,"827-004000-100",Plan!t:t)</f>
        <v>0</v>
      </c>
      <c r="U203">
        <f>sumif(Plan!B:B,"827-004000-100",Plan!u:u)</f>
        <v>0</v>
      </c>
      <c r="V203">
        <f>sumif(Plan!B:B,"827-004000-100",Plan!v:v)</f>
        <v>0</v>
      </c>
      <c r="W203">
        <f>sumif(Plan!B:B,"827-004000-100",Plan!w:w)</f>
        <v>0</v>
      </c>
      <c r="X203">
        <f>sumif(Plan!B:B,"827-004000-100",Plan!x:x)</f>
        <v>0</v>
      </c>
      <c r="Y203">
        <f>sumif(Plan!B:B,"827-004000-100",Plan!y:y)</f>
        <v>0</v>
      </c>
      <c r="Z203">
        <f>sumif(Plan!B:B,"827-004000-100",Plan!z:z)</f>
        <v>0</v>
      </c>
      <c r="AA203">
        <f>sumif(Plan!B:B,"827-004000-100",Plan!aa:aa)</f>
        <v>0</v>
      </c>
      <c r="AB203">
        <f>sumif(Plan!B:B,"827-004000-100",Plan!ab:ab)</f>
        <v>0</v>
      </c>
      <c r="AC203">
        <f>sumif(Plan!B:B,"827-004000-100",Plan!ac:ac)</f>
        <v>0</v>
      </c>
      <c r="AD203">
        <f>sumif(Plan!B:B,"827-004000-100",Plan!ad:ad)</f>
        <v>0</v>
      </c>
      <c r="AE203">
        <f>sumif(Plan!B:B,"827-004000-100",Plan!ae:ae)</f>
        <v>0</v>
      </c>
      <c r="AF203">
        <f>sumif(Plan!B:B,"827-004000-100",Plan!af:af)</f>
        <v>0</v>
      </c>
      <c r="AG203">
        <f>sumif(Plan!B:B,"827-004000-100",Plan!ag:ag)</f>
        <v>0</v>
      </c>
      <c r="AH203">
        <f>sumif(Plan!B:B,"827-004000-100",Plan!ah:ah)</f>
        <v>0</v>
      </c>
      <c r="AI203">
        <f>sumif(Plan!B:B,"827-004000-100",Plan!ai:ai)</f>
        <v>0</v>
      </c>
      <c r="AJ203">
        <f>sumif(Plan!B:B,"827-004000-100",Plan!aj:aj)</f>
        <v>0</v>
      </c>
      <c r="AK203">
        <f>sumif(Plan!B:B,"827-004000-100",Plan!ak:ak)</f>
        <v>0</v>
      </c>
      <c r="AL203">
        <f>sumif(Plan!B:B,"827-004000-100",Plan!al:al)</f>
        <v>0</v>
      </c>
      <c r="AM203">
        <f>sumif(Plan!B:B,"827-004000-100",Plan!am:am)</f>
        <v>0</v>
      </c>
      <c r="AN203">
        <f>sumif(Plan!B:B,"827-004000-100",Plan!an:an)</f>
        <v>0</v>
      </c>
      <c r="AO203">
        <f>sumif(Plan!B:B,"827-004000-100",Plan!ao:ao)</f>
        <v>0</v>
      </c>
    </row>
    <row r="204" spans="1:41">
      <c r="A204" t="s">
        <v>17</v>
      </c>
      <c r="B204" t="s">
        <v>155</v>
      </c>
      <c r="C204" t="s">
        <v>156</v>
      </c>
      <c r="E204">
        <v>1</v>
      </c>
      <c r="F204" t="s">
        <v>13</v>
      </c>
      <c r="H204" t="s">
        <v>16</v>
      </c>
      <c r="J204">
        <f>indirect(address(204,9))+indirect(address(202,10))-indirect(address(203,10))</f>
        <v>0</v>
      </c>
      <c r="K204">
        <f>indirect(address(204,10))+indirect(address(202,11))-indirect(address(203,11))</f>
        <v>0</v>
      </c>
      <c r="L204">
        <f>indirect(address(204,11))+indirect(address(202,12))-indirect(address(203,12))</f>
        <v>0</v>
      </c>
      <c r="M204">
        <f>indirect(address(204,12))+indirect(address(202,13))-indirect(address(203,13))</f>
        <v>0</v>
      </c>
      <c r="N204">
        <f>indirect(address(204,13))+indirect(address(202,14))-indirect(address(203,14))</f>
        <v>0</v>
      </c>
      <c r="O204">
        <f>indirect(address(204,14))+indirect(address(202,15))-indirect(address(203,15))</f>
        <v>0</v>
      </c>
      <c r="P204">
        <f>indirect(address(204,15))+indirect(address(202,16))-indirect(address(203,16))</f>
        <v>0</v>
      </c>
      <c r="Q204">
        <f>indirect(address(204,16))+indirect(address(202,17))-indirect(address(203,17))</f>
        <v>0</v>
      </c>
      <c r="R204">
        <f>indirect(address(204,17))+indirect(address(202,18))-indirect(address(203,18))</f>
        <v>0</v>
      </c>
      <c r="S204">
        <f>indirect(address(204,18))+indirect(address(202,19))-indirect(address(203,19))</f>
        <v>0</v>
      </c>
      <c r="T204">
        <f>indirect(address(204,19))+indirect(address(202,20))-indirect(address(203,20))</f>
        <v>0</v>
      </c>
      <c r="U204">
        <f>indirect(address(204,20))+indirect(address(202,21))-indirect(address(203,21))</f>
        <v>0</v>
      </c>
      <c r="V204">
        <f>indirect(address(204,21))+indirect(address(202,22))-indirect(address(203,22))</f>
        <v>0</v>
      </c>
      <c r="W204">
        <f>indirect(address(204,22))+indirect(address(202,23))-indirect(address(203,23))</f>
        <v>0</v>
      </c>
      <c r="X204">
        <f>indirect(address(204,23))+indirect(address(202,24))-indirect(address(203,24))</f>
        <v>0</v>
      </c>
      <c r="Y204">
        <f>indirect(address(204,24))+indirect(address(202,25))-indirect(address(203,25))</f>
        <v>0</v>
      </c>
      <c r="Z204">
        <f>indirect(address(204,25))+indirect(address(202,26))-indirect(address(203,26))</f>
        <v>0</v>
      </c>
      <c r="AA204">
        <f>indirect(address(204,26))+indirect(address(202,27))-indirect(address(203,27))</f>
        <v>0</v>
      </c>
      <c r="AB204">
        <f>indirect(address(204,27))+indirect(address(202,28))-indirect(address(203,28))</f>
        <v>0</v>
      </c>
      <c r="AC204">
        <f>indirect(address(204,28))+indirect(address(202,29))-indirect(address(203,29))</f>
        <v>0</v>
      </c>
      <c r="AD204">
        <f>indirect(address(204,29))+indirect(address(202,30))-indirect(address(203,30))</f>
        <v>0</v>
      </c>
      <c r="AE204">
        <f>indirect(address(204,30))+indirect(address(202,31))-indirect(address(203,31))</f>
        <v>0</v>
      </c>
      <c r="AF204">
        <f>indirect(address(204,31))+indirect(address(202,32))-indirect(address(203,32))</f>
        <v>0</v>
      </c>
      <c r="AG204">
        <f>indirect(address(204,32))+indirect(address(202,33))-indirect(address(203,33))</f>
        <v>0</v>
      </c>
      <c r="AH204">
        <f>indirect(address(204,33))+indirect(address(202,34))-indirect(address(203,34))</f>
        <v>0</v>
      </c>
      <c r="AI204">
        <f>indirect(address(204,34))+indirect(address(202,35))-indirect(address(203,35))</f>
        <v>0</v>
      </c>
      <c r="AJ204">
        <f>indirect(address(204,35))+indirect(address(202,36))-indirect(address(203,36))</f>
        <v>0</v>
      </c>
      <c r="AK204">
        <f>indirect(address(204,36))+indirect(address(202,37))-indirect(address(203,37))</f>
        <v>0</v>
      </c>
      <c r="AL204">
        <f>indirect(address(204,37))+indirect(address(202,38))-indirect(address(203,38))</f>
        <v>0</v>
      </c>
      <c r="AM204">
        <f>indirect(address(204,38))+indirect(address(202,39))-indirect(address(203,39))</f>
        <v>0</v>
      </c>
      <c r="AN204">
        <f>indirect(address(204,39))+indirect(address(202,40))-indirect(address(203,40))</f>
        <v>0</v>
      </c>
      <c r="AO204">
        <f>indirect(address(204,40))+indirect(address(202,41))-indirect(address(203,41))</f>
        <v>0</v>
      </c>
    </row>
    <row r="205" spans="1:41">
      <c r="I205" t="s">
        <v>14</v>
      </c>
      <c r="AO205">
        <f>sum(j205:an205)</f>
        <v>0</v>
      </c>
    </row>
    <row r="206" spans="1:41">
      <c r="I206" t="s">
        <v>15</v>
      </c>
      <c r="J206">
        <f>sumif(Plan!B:B,"827-005000-100",Plan!j:j)</f>
        <v>0</v>
      </c>
      <c r="K206">
        <f>sumif(Plan!B:B,"827-005000-100",Plan!k:k)</f>
        <v>0</v>
      </c>
      <c r="L206">
        <f>sumif(Plan!B:B,"827-005000-100",Plan!l:l)</f>
        <v>0</v>
      </c>
      <c r="M206">
        <f>sumif(Plan!B:B,"827-005000-100",Plan!m:m)</f>
        <v>0</v>
      </c>
      <c r="N206">
        <f>sumif(Plan!B:B,"827-005000-100",Plan!n:n)</f>
        <v>0</v>
      </c>
      <c r="O206">
        <f>sumif(Plan!B:B,"827-005000-100",Plan!o:o)</f>
        <v>0</v>
      </c>
      <c r="P206">
        <f>sumif(Plan!B:B,"827-005000-100",Plan!p:p)</f>
        <v>0</v>
      </c>
      <c r="Q206">
        <f>sumif(Plan!B:B,"827-005000-100",Plan!q:q)</f>
        <v>0</v>
      </c>
      <c r="R206">
        <f>sumif(Plan!B:B,"827-005000-100",Plan!r:r)</f>
        <v>0</v>
      </c>
      <c r="S206">
        <f>sumif(Plan!B:B,"827-005000-100",Plan!s:s)</f>
        <v>0</v>
      </c>
      <c r="T206">
        <f>sumif(Plan!B:B,"827-005000-100",Plan!t:t)</f>
        <v>0</v>
      </c>
      <c r="U206">
        <f>sumif(Plan!B:B,"827-005000-100",Plan!u:u)</f>
        <v>0</v>
      </c>
      <c r="V206">
        <f>sumif(Plan!B:B,"827-005000-100",Plan!v:v)</f>
        <v>0</v>
      </c>
      <c r="W206">
        <f>sumif(Plan!B:B,"827-005000-100",Plan!w:w)</f>
        <v>0</v>
      </c>
      <c r="X206">
        <f>sumif(Plan!B:B,"827-005000-100",Plan!x:x)</f>
        <v>0</v>
      </c>
      <c r="Y206">
        <f>sumif(Plan!B:B,"827-005000-100",Plan!y:y)</f>
        <v>0</v>
      </c>
      <c r="Z206">
        <f>sumif(Plan!B:B,"827-005000-100",Plan!z:z)</f>
        <v>0</v>
      </c>
      <c r="AA206">
        <f>sumif(Plan!B:B,"827-005000-100",Plan!aa:aa)</f>
        <v>0</v>
      </c>
      <c r="AB206">
        <f>sumif(Plan!B:B,"827-005000-100",Plan!ab:ab)</f>
        <v>0</v>
      </c>
      <c r="AC206">
        <f>sumif(Plan!B:B,"827-005000-100",Plan!ac:ac)</f>
        <v>0</v>
      </c>
      <c r="AD206">
        <f>sumif(Plan!B:B,"827-005000-100",Plan!ad:ad)</f>
        <v>0</v>
      </c>
      <c r="AE206">
        <f>sumif(Plan!B:B,"827-005000-100",Plan!ae:ae)</f>
        <v>0</v>
      </c>
      <c r="AF206">
        <f>sumif(Plan!B:B,"827-005000-100",Plan!af:af)</f>
        <v>0</v>
      </c>
      <c r="AG206">
        <f>sumif(Plan!B:B,"827-005000-100",Plan!ag:ag)</f>
        <v>0</v>
      </c>
      <c r="AH206">
        <f>sumif(Plan!B:B,"827-005000-100",Plan!ah:ah)</f>
        <v>0</v>
      </c>
      <c r="AI206">
        <f>sumif(Plan!B:B,"827-005000-100",Plan!ai:ai)</f>
        <v>0</v>
      </c>
      <c r="AJ206">
        <f>sumif(Plan!B:B,"827-005000-100",Plan!aj:aj)</f>
        <v>0</v>
      </c>
      <c r="AK206">
        <f>sumif(Plan!B:B,"827-005000-100",Plan!ak:ak)</f>
        <v>0</v>
      </c>
      <c r="AL206">
        <f>sumif(Plan!B:B,"827-005000-100",Plan!al:al)</f>
        <v>0</v>
      </c>
      <c r="AM206">
        <f>sumif(Plan!B:B,"827-005000-100",Plan!am:am)</f>
        <v>0</v>
      </c>
      <c r="AN206">
        <f>sumif(Plan!B:B,"827-005000-100",Plan!an:an)</f>
        <v>0</v>
      </c>
      <c r="AO206">
        <f>sumif(Plan!B:B,"827-005000-100",Plan!ao:ao)</f>
        <v>0</v>
      </c>
    </row>
    <row r="207" spans="1:41">
      <c r="A207" t="s">
        <v>17</v>
      </c>
      <c r="B207" t="s">
        <v>157</v>
      </c>
      <c r="C207" t="s">
        <v>158</v>
      </c>
      <c r="E207">
        <v>1</v>
      </c>
      <c r="F207" t="s">
        <v>13</v>
      </c>
      <c r="H207" t="s">
        <v>16</v>
      </c>
      <c r="J207">
        <f>indirect(address(207,9))+indirect(address(205,10))-indirect(address(206,10))</f>
        <v>0</v>
      </c>
      <c r="K207">
        <f>indirect(address(207,10))+indirect(address(205,11))-indirect(address(206,11))</f>
        <v>0</v>
      </c>
      <c r="L207">
        <f>indirect(address(207,11))+indirect(address(205,12))-indirect(address(206,12))</f>
        <v>0</v>
      </c>
      <c r="M207">
        <f>indirect(address(207,12))+indirect(address(205,13))-indirect(address(206,13))</f>
        <v>0</v>
      </c>
      <c r="N207">
        <f>indirect(address(207,13))+indirect(address(205,14))-indirect(address(206,14))</f>
        <v>0</v>
      </c>
      <c r="O207">
        <f>indirect(address(207,14))+indirect(address(205,15))-indirect(address(206,15))</f>
        <v>0</v>
      </c>
      <c r="P207">
        <f>indirect(address(207,15))+indirect(address(205,16))-indirect(address(206,16))</f>
        <v>0</v>
      </c>
      <c r="Q207">
        <f>indirect(address(207,16))+indirect(address(205,17))-indirect(address(206,17))</f>
        <v>0</v>
      </c>
      <c r="R207">
        <f>indirect(address(207,17))+indirect(address(205,18))-indirect(address(206,18))</f>
        <v>0</v>
      </c>
      <c r="S207">
        <f>indirect(address(207,18))+indirect(address(205,19))-indirect(address(206,19))</f>
        <v>0</v>
      </c>
      <c r="T207">
        <f>indirect(address(207,19))+indirect(address(205,20))-indirect(address(206,20))</f>
        <v>0</v>
      </c>
      <c r="U207">
        <f>indirect(address(207,20))+indirect(address(205,21))-indirect(address(206,21))</f>
        <v>0</v>
      </c>
      <c r="V207">
        <f>indirect(address(207,21))+indirect(address(205,22))-indirect(address(206,22))</f>
        <v>0</v>
      </c>
      <c r="W207">
        <f>indirect(address(207,22))+indirect(address(205,23))-indirect(address(206,23))</f>
        <v>0</v>
      </c>
      <c r="X207">
        <f>indirect(address(207,23))+indirect(address(205,24))-indirect(address(206,24))</f>
        <v>0</v>
      </c>
      <c r="Y207">
        <f>indirect(address(207,24))+indirect(address(205,25))-indirect(address(206,25))</f>
        <v>0</v>
      </c>
      <c r="Z207">
        <f>indirect(address(207,25))+indirect(address(205,26))-indirect(address(206,26))</f>
        <v>0</v>
      </c>
      <c r="AA207">
        <f>indirect(address(207,26))+indirect(address(205,27))-indirect(address(206,27))</f>
        <v>0</v>
      </c>
      <c r="AB207">
        <f>indirect(address(207,27))+indirect(address(205,28))-indirect(address(206,28))</f>
        <v>0</v>
      </c>
      <c r="AC207">
        <f>indirect(address(207,28))+indirect(address(205,29))-indirect(address(206,29))</f>
        <v>0</v>
      </c>
      <c r="AD207">
        <f>indirect(address(207,29))+indirect(address(205,30))-indirect(address(206,30))</f>
        <v>0</v>
      </c>
      <c r="AE207">
        <f>indirect(address(207,30))+indirect(address(205,31))-indirect(address(206,31))</f>
        <v>0</v>
      </c>
      <c r="AF207">
        <f>indirect(address(207,31))+indirect(address(205,32))-indirect(address(206,32))</f>
        <v>0</v>
      </c>
      <c r="AG207">
        <f>indirect(address(207,32))+indirect(address(205,33))-indirect(address(206,33))</f>
        <v>0</v>
      </c>
      <c r="AH207">
        <f>indirect(address(207,33))+indirect(address(205,34))-indirect(address(206,34))</f>
        <v>0</v>
      </c>
      <c r="AI207">
        <f>indirect(address(207,34))+indirect(address(205,35))-indirect(address(206,35))</f>
        <v>0</v>
      </c>
      <c r="AJ207">
        <f>indirect(address(207,35))+indirect(address(205,36))-indirect(address(206,36))</f>
        <v>0</v>
      </c>
      <c r="AK207">
        <f>indirect(address(207,36))+indirect(address(205,37))-indirect(address(206,37))</f>
        <v>0</v>
      </c>
      <c r="AL207">
        <f>indirect(address(207,37))+indirect(address(205,38))-indirect(address(206,38))</f>
        <v>0</v>
      </c>
      <c r="AM207">
        <f>indirect(address(207,38))+indirect(address(205,39))-indirect(address(206,39))</f>
        <v>0</v>
      </c>
      <c r="AN207">
        <f>indirect(address(207,39))+indirect(address(205,40))-indirect(address(206,40))</f>
        <v>0</v>
      </c>
      <c r="AO207">
        <f>indirect(address(207,40))+indirect(address(205,41))-indirect(address(206,41))</f>
        <v>0</v>
      </c>
    </row>
    <row r="208" spans="1:41">
      <c r="I208" t="s">
        <v>14</v>
      </c>
      <c r="AO208">
        <f>sum(j208:an208)</f>
        <v>0</v>
      </c>
    </row>
    <row r="209" spans="1:41">
      <c r="I209" t="s">
        <v>15</v>
      </c>
      <c r="J209">
        <f>sumif(Plan!B:B,"827-006000-100",Plan!j:j)</f>
        <v>0</v>
      </c>
      <c r="K209">
        <f>sumif(Plan!B:B,"827-006000-100",Plan!k:k)</f>
        <v>0</v>
      </c>
      <c r="L209">
        <f>sumif(Plan!B:B,"827-006000-100",Plan!l:l)</f>
        <v>0</v>
      </c>
      <c r="M209">
        <f>sumif(Plan!B:B,"827-006000-100",Plan!m:m)</f>
        <v>0</v>
      </c>
      <c r="N209">
        <f>sumif(Plan!B:B,"827-006000-100",Plan!n:n)</f>
        <v>0</v>
      </c>
      <c r="O209">
        <f>sumif(Plan!B:B,"827-006000-100",Plan!o:o)</f>
        <v>0</v>
      </c>
      <c r="P209">
        <f>sumif(Plan!B:B,"827-006000-100",Plan!p:p)</f>
        <v>0</v>
      </c>
      <c r="Q209">
        <f>sumif(Plan!B:B,"827-006000-100",Plan!q:q)</f>
        <v>0</v>
      </c>
      <c r="R209">
        <f>sumif(Plan!B:B,"827-006000-100",Plan!r:r)</f>
        <v>0</v>
      </c>
      <c r="S209">
        <f>sumif(Plan!B:B,"827-006000-100",Plan!s:s)</f>
        <v>0</v>
      </c>
      <c r="T209">
        <f>sumif(Plan!B:B,"827-006000-100",Plan!t:t)</f>
        <v>0</v>
      </c>
      <c r="U209">
        <f>sumif(Plan!B:B,"827-006000-100",Plan!u:u)</f>
        <v>0</v>
      </c>
      <c r="V209">
        <f>sumif(Plan!B:B,"827-006000-100",Plan!v:v)</f>
        <v>0</v>
      </c>
      <c r="W209">
        <f>sumif(Plan!B:B,"827-006000-100",Plan!w:w)</f>
        <v>0</v>
      </c>
      <c r="X209">
        <f>sumif(Plan!B:B,"827-006000-100",Plan!x:x)</f>
        <v>0</v>
      </c>
      <c r="Y209">
        <f>sumif(Plan!B:B,"827-006000-100",Plan!y:y)</f>
        <v>0</v>
      </c>
      <c r="Z209">
        <f>sumif(Plan!B:B,"827-006000-100",Plan!z:z)</f>
        <v>0</v>
      </c>
      <c r="AA209">
        <f>sumif(Plan!B:B,"827-006000-100",Plan!aa:aa)</f>
        <v>0</v>
      </c>
      <c r="AB209">
        <f>sumif(Plan!B:B,"827-006000-100",Plan!ab:ab)</f>
        <v>0</v>
      </c>
      <c r="AC209">
        <f>sumif(Plan!B:B,"827-006000-100",Plan!ac:ac)</f>
        <v>0</v>
      </c>
      <c r="AD209">
        <f>sumif(Plan!B:B,"827-006000-100",Plan!ad:ad)</f>
        <v>0</v>
      </c>
      <c r="AE209">
        <f>sumif(Plan!B:B,"827-006000-100",Plan!ae:ae)</f>
        <v>0</v>
      </c>
      <c r="AF209">
        <f>sumif(Plan!B:B,"827-006000-100",Plan!af:af)</f>
        <v>0</v>
      </c>
      <c r="AG209">
        <f>sumif(Plan!B:B,"827-006000-100",Plan!ag:ag)</f>
        <v>0</v>
      </c>
      <c r="AH209">
        <f>sumif(Plan!B:B,"827-006000-100",Plan!ah:ah)</f>
        <v>0</v>
      </c>
      <c r="AI209">
        <f>sumif(Plan!B:B,"827-006000-100",Plan!ai:ai)</f>
        <v>0</v>
      </c>
      <c r="AJ209">
        <f>sumif(Plan!B:B,"827-006000-100",Plan!aj:aj)</f>
        <v>0</v>
      </c>
      <c r="AK209">
        <f>sumif(Plan!B:B,"827-006000-100",Plan!ak:ak)</f>
        <v>0</v>
      </c>
      <c r="AL209">
        <f>sumif(Plan!B:B,"827-006000-100",Plan!al:al)</f>
        <v>0</v>
      </c>
      <c r="AM209">
        <f>sumif(Plan!B:B,"827-006000-100",Plan!am:am)</f>
        <v>0</v>
      </c>
      <c r="AN209">
        <f>sumif(Plan!B:B,"827-006000-100",Plan!an:an)</f>
        <v>0</v>
      </c>
      <c r="AO209">
        <f>sumif(Plan!B:B,"827-006000-100",Plan!ao:ao)</f>
        <v>0</v>
      </c>
    </row>
    <row r="210" spans="1:41">
      <c r="A210" t="s">
        <v>17</v>
      </c>
      <c r="B210" t="s">
        <v>159</v>
      </c>
      <c r="C210" t="s">
        <v>160</v>
      </c>
      <c r="E210">
        <v>1</v>
      </c>
      <c r="F210" t="s">
        <v>13</v>
      </c>
      <c r="H210" t="s">
        <v>16</v>
      </c>
      <c r="J210">
        <f>indirect(address(210,9))+indirect(address(208,10))-indirect(address(209,10))</f>
        <v>0</v>
      </c>
      <c r="K210">
        <f>indirect(address(210,10))+indirect(address(208,11))-indirect(address(209,11))</f>
        <v>0</v>
      </c>
      <c r="L210">
        <f>indirect(address(210,11))+indirect(address(208,12))-indirect(address(209,12))</f>
        <v>0</v>
      </c>
      <c r="M210">
        <f>indirect(address(210,12))+indirect(address(208,13))-indirect(address(209,13))</f>
        <v>0</v>
      </c>
      <c r="N210">
        <f>indirect(address(210,13))+indirect(address(208,14))-indirect(address(209,14))</f>
        <v>0</v>
      </c>
      <c r="O210">
        <f>indirect(address(210,14))+indirect(address(208,15))-indirect(address(209,15))</f>
        <v>0</v>
      </c>
      <c r="P210">
        <f>indirect(address(210,15))+indirect(address(208,16))-indirect(address(209,16))</f>
        <v>0</v>
      </c>
      <c r="Q210">
        <f>indirect(address(210,16))+indirect(address(208,17))-indirect(address(209,17))</f>
        <v>0</v>
      </c>
      <c r="R210">
        <f>indirect(address(210,17))+indirect(address(208,18))-indirect(address(209,18))</f>
        <v>0</v>
      </c>
      <c r="S210">
        <f>indirect(address(210,18))+indirect(address(208,19))-indirect(address(209,19))</f>
        <v>0</v>
      </c>
      <c r="T210">
        <f>indirect(address(210,19))+indirect(address(208,20))-indirect(address(209,20))</f>
        <v>0</v>
      </c>
      <c r="U210">
        <f>indirect(address(210,20))+indirect(address(208,21))-indirect(address(209,21))</f>
        <v>0</v>
      </c>
      <c r="V210">
        <f>indirect(address(210,21))+indirect(address(208,22))-indirect(address(209,22))</f>
        <v>0</v>
      </c>
      <c r="W210">
        <f>indirect(address(210,22))+indirect(address(208,23))-indirect(address(209,23))</f>
        <v>0</v>
      </c>
      <c r="X210">
        <f>indirect(address(210,23))+indirect(address(208,24))-indirect(address(209,24))</f>
        <v>0</v>
      </c>
      <c r="Y210">
        <f>indirect(address(210,24))+indirect(address(208,25))-indirect(address(209,25))</f>
        <v>0</v>
      </c>
      <c r="Z210">
        <f>indirect(address(210,25))+indirect(address(208,26))-indirect(address(209,26))</f>
        <v>0</v>
      </c>
      <c r="AA210">
        <f>indirect(address(210,26))+indirect(address(208,27))-indirect(address(209,27))</f>
        <v>0</v>
      </c>
      <c r="AB210">
        <f>indirect(address(210,27))+indirect(address(208,28))-indirect(address(209,28))</f>
        <v>0</v>
      </c>
      <c r="AC210">
        <f>indirect(address(210,28))+indirect(address(208,29))-indirect(address(209,29))</f>
        <v>0</v>
      </c>
      <c r="AD210">
        <f>indirect(address(210,29))+indirect(address(208,30))-indirect(address(209,30))</f>
        <v>0</v>
      </c>
      <c r="AE210">
        <f>indirect(address(210,30))+indirect(address(208,31))-indirect(address(209,31))</f>
        <v>0</v>
      </c>
      <c r="AF210">
        <f>indirect(address(210,31))+indirect(address(208,32))-indirect(address(209,32))</f>
        <v>0</v>
      </c>
      <c r="AG210">
        <f>indirect(address(210,32))+indirect(address(208,33))-indirect(address(209,33))</f>
        <v>0</v>
      </c>
      <c r="AH210">
        <f>indirect(address(210,33))+indirect(address(208,34))-indirect(address(209,34))</f>
        <v>0</v>
      </c>
      <c r="AI210">
        <f>indirect(address(210,34))+indirect(address(208,35))-indirect(address(209,35))</f>
        <v>0</v>
      </c>
      <c r="AJ210">
        <f>indirect(address(210,35))+indirect(address(208,36))-indirect(address(209,36))</f>
        <v>0</v>
      </c>
      <c r="AK210">
        <f>indirect(address(210,36))+indirect(address(208,37))-indirect(address(209,37))</f>
        <v>0</v>
      </c>
      <c r="AL210">
        <f>indirect(address(210,37))+indirect(address(208,38))-indirect(address(209,38))</f>
        <v>0</v>
      </c>
      <c r="AM210">
        <f>indirect(address(210,38))+indirect(address(208,39))-indirect(address(209,39))</f>
        <v>0</v>
      </c>
      <c r="AN210">
        <f>indirect(address(210,39))+indirect(address(208,40))-indirect(address(209,40))</f>
        <v>0</v>
      </c>
      <c r="AO210">
        <f>indirect(address(210,40))+indirect(address(208,41))-indirect(address(209,41))</f>
        <v>0</v>
      </c>
    </row>
    <row r="211" spans="1:41">
      <c r="I211" t="s">
        <v>14</v>
      </c>
      <c r="AO211">
        <f>sum(j211:an211)</f>
        <v>0</v>
      </c>
    </row>
    <row r="212" spans="1:41">
      <c r="I212" t="s">
        <v>15</v>
      </c>
      <c r="J212">
        <f>sumif(Plan!B:B,"824-718897-100",Plan!j:j)</f>
        <v>0</v>
      </c>
      <c r="K212">
        <f>sumif(Plan!B:B,"824-718897-100",Plan!k:k)</f>
        <v>0</v>
      </c>
      <c r="L212">
        <f>sumif(Plan!B:B,"824-718897-100",Plan!l:l)</f>
        <v>0</v>
      </c>
      <c r="M212">
        <f>sumif(Plan!B:B,"824-718897-100",Plan!m:m)</f>
        <v>0</v>
      </c>
      <c r="N212">
        <f>sumif(Plan!B:B,"824-718897-100",Plan!n:n)</f>
        <v>0</v>
      </c>
      <c r="O212">
        <f>sumif(Plan!B:B,"824-718897-100",Plan!o:o)</f>
        <v>0</v>
      </c>
      <c r="P212">
        <f>sumif(Plan!B:B,"824-718897-100",Plan!p:p)</f>
        <v>0</v>
      </c>
      <c r="Q212">
        <f>sumif(Plan!B:B,"824-718897-100",Plan!q:q)</f>
        <v>0</v>
      </c>
      <c r="R212">
        <f>sumif(Plan!B:B,"824-718897-100",Plan!r:r)</f>
        <v>0</v>
      </c>
      <c r="S212">
        <f>sumif(Plan!B:B,"824-718897-100",Plan!s:s)</f>
        <v>0</v>
      </c>
      <c r="T212">
        <f>sumif(Plan!B:B,"824-718897-100",Plan!t:t)</f>
        <v>0</v>
      </c>
      <c r="U212">
        <f>sumif(Plan!B:B,"824-718897-100",Plan!u:u)</f>
        <v>0</v>
      </c>
      <c r="V212">
        <f>sumif(Plan!B:B,"824-718897-100",Plan!v:v)</f>
        <v>0</v>
      </c>
      <c r="W212">
        <f>sumif(Plan!B:B,"824-718897-100",Plan!w:w)</f>
        <v>0</v>
      </c>
      <c r="X212">
        <f>sumif(Plan!B:B,"824-718897-100",Plan!x:x)</f>
        <v>0</v>
      </c>
      <c r="Y212">
        <f>sumif(Plan!B:B,"824-718897-100",Plan!y:y)</f>
        <v>0</v>
      </c>
      <c r="Z212">
        <f>sumif(Plan!B:B,"824-718897-100",Plan!z:z)</f>
        <v>0</v>
      </c>
      <c r="AA212">
        <f>sumif(Plan!B:B,"824-718897-100",Plan!aa:aa)</f>
        <v>0</v>
      </c>
      <c r="AB212">
        <f>sumif(Plan!B:B,"824-718897-100",Plan!ab:ab)</f>
        <v>0</v>
      </c>
      <c r="AC212">
        <f>sumif(Plan!B:B,"824-718897-100",Plan!ac:ac)</f>
        <v>0</v>
      </c>
      <c r="AD212">
        <f>sumif(Plan!B:B,"824-718897-100",Plan!ad:ad)</f>
        <v>0</v>
      </c>
      <c r="AE212">
        <f>sumif(Plan!B:B,"824-718897-100",Plan!ae:ae)</f>
        <v>0</v>
      </c>
      <c r="AF212">
        <f>sumif(Plan!B:B,"824-718897-100",Plan!af:af)</f>
        <v>0</v>
      </c>
      <c r="AG212">
        <f>sumif(Plan!B:B,"824-718897-100",Plan!ag:ag)</f>
        <v>0</v>
      </c>
      <c r="AH212">
        <f>sumif(Plan!B:B,"824-718897-100",Plan!ah:ah)</f>
        <v>0</v>
      </c>
      <c r="AI212">
        <f>sumif(Plan!B:B,"824-718897-100",Plan!ai:ai)</f>
        <v>0</v>
      </c>
      <c r="AJ212">
        <f>sumif(Plan!B:B,"824-718897-100",Plan!aj:aj)</f>
        <v>0</v>
      </c>
      <c r="AK212">
        <f>sumif(Plan!B:B,"824-718897-100",Plan!ak:ak)</f>
        <v>0</v>
      </c>
      <c r="AL212">
        <f>sumif(Plan!B:B,"824-718897-100",Plan!al:al)</f>
        <v>0</v>
      </c>
      <c r="AM212">
        <f>sumif(Plan!B:B,"824-718897-100",Plan!am:am)</f>
        <v>0</v>
      </c>
      <c r="AN212">
        <f>sumif(Plan!B:B,"824-718897-100",Plan!an:an)</f>
        <v>0</v>
      </c>
      <c r="AO212">
        <f>sumif(Plan!B:B,"824-718897-100",Plan!ao:ao)</f>
        <v>0</v>
      </c>
    </row>
    <row r="213" spans="1:41">
      <c r="A213" t="s">
        <v>17</v>
      </c>
      <c r="B213" t="s">
        <v>163</v>
      </c>
      <c r="C213" t="s">
        <v>164</v>
      </c>
      <c r="E213">
        <v>1</v>
      </c>
      <c r="F213" t="s">
        <v>13</v>
      </c>
      <c r="H213" t="s">
        <v>16</v>
      </c>
      <c r="J213">
        <f>indirect(address(213,9))+indirect(address(211,10))-indirect(address(212,10))</f>
        <v>0</v>
      </c>
      <c r="K213">
        <f>indirect(address(213,10))+indirect(address(211,11))-indirect(address(212,11))</f>
        <v>0</v>
      </c>
      <c r="L213">
        <f>indirect(address(213,11))+indirect(address(211,12))-indirect(address(212,12))</f>
        <v>0</v>
      </c>
      <c r="M213">
        <f>indirect(address(213,12))+indirect(address(211,13))-indirect(address(212,13))</f>
        <v>0</v>
      </c>
      <c r="N213">
        <f>indirect(address(213,13))+indirect(address(211,14))-indirect(address(212,14))</f>
        <v>0</v>
      </c>
      <c r="O213">
        <f>indirect(address(213,14))+indirect(address(211,15))-indirect(address(212,15))</f>
        <v>0</v>
      </c>
      <c r="P213">
        <f>indirect(address(213,15))+indirect(address(211,16))-indirect(address(212,16))</f>
        <v>0</v>
      </c>
      <c r="Q213">
        <f>indirect(address(213,16))+indirect(address(211,17))-indirect(address(212,17))</f>
        <v>0</v>
      </c>
      <c r="R213">
        <f>indirect(address(213,17))+indirect(address(211,18))-indirect(address(212,18))</f>
        <v>0</v>
      </c>
      <c r="S213">
        <f>indirect(address(213,18))+indirect(address(211,19))-indirect(address(212,19))</f>
        <v>0</v>
      </c>
      <c r="T213">
        <f>indirect(address(213,19))+indirect(address(211,20))-indirect(address(212,20))</f>
        <v>0</v>
      </c>
      <c r="U213">
        <f>indirect(address(213,20))+indirect(address(211,21))-indirect(address(212,21))</f>
        <v>0</v>
      </c>
      <c r="V213">
        <f>indirect(address(213,21))+indirect(address(211,22))-indirect(address(212,22))</f>
        <v>0</v>
      </c>
      <c r="W213">
        <f>indirect(address(213,22))+indirect(address(211,23))-indirect(address(212,23))</f>
        <v>0</v>
      </c>
      <c r="X213">
        <f>indirect(address(213,23))+indirect(address(211,24))-indirect(address(212,24))</f>
        <v>0</v>
      </c>
      <c r="Y213">
        <f>indirect(address(213,24))+indirect(address(211,25))-indirect(address(212,25))</f>
        <v>0</v>
      </c>
      <c r="Z213">
        <f>indirect(address(213,25))+indirect(address(211,26))-indirect(address(212,26))</f>
        <v>0</v>
      </c>
      <c r="AA213">
        <f>indirect(address(213,26))+indirect(address(211,27))-indirect(address(212,27))</f>
        <v>0</v>
      </c>
      <c r="AB213">
        <f>indirect(address(213,27))+indirect(address(211,28))-indirect(address(212,28))</f>
        <v>0</v>
      </c>
      <c r="AC213">
        <f>indirect(address(213,28))+indirect(address(211,29))-indirect(address(212,29))</f>
        <v>0</v>
      </c>
      <c r="AD213">
        <f>indirect(address(213,29))+indirect(address(211,30))-indirect(address(212,30))</f>
        <v>0</v>
      </c>
      <c r="AE213">
        <f>indirect(address(213,30))+indirect(address(211,31))-indirect(address(212,31))</f>
        <v>0</v>
      </c>
      <c r="AF213">
        <f>indirect(address(213,31))+indirect(address(211,32))-indirect(address(212,32))</f>
        <v>0</v>
      </c>
      <c r="AG213">
        <f>indirect(address(213,32))+indirect(address(211,33))-indirect(address(212,33))</f>
        <v>0</v>
      </c>
      <c r="AH213">
        <f>indirect(address(213,33))+indirect(address(211,34))-indirect(address(212,34))</f>
        <v>0</v>
      </c>
      <c r="AI213">
        <f>indirect(address(213,34))+indirect(address(211,35))-indirect(address(212,35))</f>
        <v>0</v>
      </c>
      <c r="AJ213">
        <f>indirect(address(213,35))+indirect(address(211,36))-indirect(address(212,36))</f>
        <v>0</v>
      </c>
      <c r="AK213">
        <f>indirect(address(213,36))+indirect(address(211,37))-indirect(address(212,37))</f>
        <v>0</v>
      </c>
      <c r="AL213">
        <f>indirect(address(213,37))+indirect(address(211,38))-indirect(address(212,38))</f>
        <v>0</v>
      </c>
      <c r="AM213">
        <f>indirect(address(213,38))+indirect(address(211,39))-indirect(address(212,39))</f>
        <v>0</v>
      </c>
      <c r="AN213">
        <f>indirect(address(213,39))+indirect(address(211,40))-indirect(address(212,40))</f>
        <v>0</v>
      </c>
      <c r="AO213">
        <f>indirect(address(213,40))+indirect(address(211,41))-indirect(address(212,41))</f>
        <v>0</v>
      </c>
    </row>
    <row r="214" spans="1:41">
      <c r="I214" t="s">
        <v>14</v>
      </c>
      <c r="AO214">
        <f>sum(j214:an214)</f>
        <v>0</v>
      </c>
    </row>
    <row r="215" spans="1:41">
      <c r="I215" t="s">
        <v>15</v>
      </c>
      <c r="J215">
        <f>sumif(Plan!B:B,"263-000000-004",Plan!j:j)</f>
        <v>0</v>
      </c>
      <c r="K215">
        <f>sumif(Plan!B:B,"263-000000-004",Plan!k:k)</f>
        <v>0</v>
      </c>
      <c r="L215">
        <f>sumif(Plan!B:B,"263-000000-004",Plan!l:l)</f>
        <v>0</v>
      </c>
      <c r="M215">
        <f>sumif(Plan!B:B,"263-000000-004",Plan!m:m)</f>
        <v>0</v>
      </c>
      <c r="N215">
        <f>sumif(Plan!B:B,"263-000000-004",Plan!n:n)</f>
        <v>0</v>
      </c>
      <c r="O215">
        <f>sumif(Plan!B:B,"263-000000-004",Plan!o:o)</f>
        <v>0</v>
      </c>
      <c r="P215">
        <f>sumif(Plan!B:B,"263-000000-004",Plan!p:p)</f>
        <v>0</v>
      </c>
      <c r="Q215">
        <f>sumif(Plan!B:B,"263-000000-004",Plan!q:q)</f>
        <v>0</v>
      </c>
      <c r="R215">
        <f>sumif(Plan!B:B,"263-000000-004",Plan!r:r)</f>
        <v>0</v>
      </c>
      <c r="S215">
        <f>sumif(Plan!B:B,"263-000000-004",Plan!s:s)</f>
        <v>0</v>
      </c>
      <c r="T215">
        <f>sumif(Plan!B:B,"263-000000-004",Plan!t:t)</f>
        <v>0</v>
      </c>
      <c r="U215">
        <f>sumif(Plan!B:B,"263-000000-004",Plan!u:u)</f>
        <v>0</v>
      </c>
      <c r="V215">
        <f>sumif(Plan!B:B,"263-000000-004",Plan!v:v)</f>
        <v>0</v>
      </c>
      <c r="W215">
        <f>sumif(Plan!B:B,"263-000000-004",Plan!w:w)</f>
        <v>0</v>
      </c>
      <c r="X215">
        <f>sumif(Plan!B:B,"263-000000-004",Plan!x:x)</f>
        <v>0</v>
      </c>
      <c r="Y215">
        <f>sumif(Plan!B:B,"263-000000-004",Plan!y:y)</f>
        <v>0</v>
      </c>
      <c r="Z215">
        <f>sumif(Plan!B:B,"263-000000-004",Plan!z:z)</f>
        <v>0</v>
      </c>
      <c r="AA215">
        <f>sumif(Plan!B:B,"263-000000-004",Plan!aa:aa)</f>
        <v>0</v>
      </c>
      <c r="AB215">
        <f>sumif(Plan!B:B,"263-000000-004",Plan!ab:ab)</f>
        <v>0</v>
      </c>
      <c r="AC215">
        <f>sumif(Plan!B:B,"263-000000-004",Plan!ac:ac)</f>
        <v>0</v>
      </c>
      <c r="AD215">
        <f>sumif(Plan!B:B,"263-000000-004",Plan!ad:ad)</f>
        <v>0</v>
      </c>
      <c r="AE215">
        <f>sumif(Plan!B:B,"263-000000-004",Plan!ae:ae)</f>
        <v>0</v>
      </c>
      <c r="AF215">
        <f>sumif(Plan!B:B,"263-000000-004",Plan!af:af)</f>
        <v>0</v>
      </c>
      <c r="AG215">
        <f>sumif(Plan!B:B,"263-000000-004",Plan!ag:ag)</f>
        <v>0</v>
      </c>
      <c r="AH215">
        <f>sumif(Plan!B:B,"263-000000-004",Plan!ah:ah)</f>
        <v>0</v>
      </c>
      <c r="AI215">
        <f>sumif(Plan!B:B,"263-000000-004",Plan!ai:ai)</f>
        <v>0</v>
      </c>
      <c r="AJ215">
        <f>sumif(Plan!B:B,"263-000000-004",Plan!aj:aj)</f>
        <v>0</v>
      </c>
      <c r="AK215">
        <f>sumif(Plan!B:B,"263-000000-004",Plan!ak:ak)</f>
        <v>0</v>
      </c>
      <c r="AL215">
        <f>sumif(Plan!B:B,"263-000000-004",Plan!al:al)</f>
        <v>0</v>
      </c>
      <c r="AM215">
        <f>sumif(Plan!B:B,"263-000000-004",Plan!am:am)</f>
        <v>0</v>
      </c>
      <c r="AN215">
        <f>sumif(Plan!B:B,"263-000000-004",Plan!an:an)</f>
        <v>0</v>
      </c>
      <c r="AO215">
        <f>sumif(Plan!B:B,"263-000000-004",Plan!ao:ao)</f>
        <v>0</v>
      </c>
    </row>
    <row r="216" spans="1:41">
      <c r="A216" t="s">
        <v>22</v>
      </c>
      <c r="B216" t="s">
        <v>165</v>
      </c>
      <c r="C216" t="s">
        <v>166</v>
      </c>
      <c r="E216">
        <v>1</v>
      </c>
      <c r="F216" t="s">
        <v>13</v>
      </c>
      <c r="H216" t="s">
        <v>16</v>
      </c>
      <c r="J216">
        <f>indirect(address(216,9))+indirect(address(214,10))-indirect(address(215,10))</f>
        <v>0</v>
      </c>
      <c r="K216">
        <f>indirect(address(216,10))+indirect(address(214,11))-indirect(address(215,11))</f>
        <v>0</v>
      </c>
      <c r="L216">
        <f>indirect(address(216,11))+indirect(address(214,12))-indirect(address(215,12))</f>
        <v>0</v>
      </c>
      <c r="M216">
        <f>indirect(address(216,12))+indirect(address(214,13))-indirect(address(215,13))</f>
        <v>0</v>
      </c>
      <c r="N216">
        <f>indirect(address(216,13))+indirect(address(214,14))-indirect(address(215,14))</f>
        <v>0</v>
      </c>
      <c r="O216">
        <f>indirect(address(216,14))+indirect(address(214,15))-indirect(address(215,15))</f>
        <v>0</v>
      </c>
      <c r="P216">
        <f>indirect(address(216,15))+indirect(address(214,16))-indirect(address(215,16))</f>
        <v>0</v>
      </c>
      <c r="Q216">
        <f>indirect(address(216,16))+indirect(address(214,17))-indirect(address(215,17))</f>
        <v>0</v>
      </c>
      <c r="R216">
        <f>indirect(address(216,17))+indirect(address(214,18))-indirect(address(215,18))</f>
        <v>0</v>
      </c>
      <c r="S216">
        <f>indirect(address(216,18))+indirect(address(214,19))-indirect(address(215,19))</f>
        <v>0</v>
      </c>
      <c r="T216">
        <f>indirect(address(216,19))+indirect(address(214,20))-indirect(address(215,20))</f>
        <v>0</v>
      </c>
      <c r="U216">
        <f>indirect(address(216,20))+indirect(address(214,21))-indirect(address(215,21))</f>
        <v>0</v>
      </c>
      <c r="V216">
        <f>indirect(address(216,21))+indirect(address(214,22))-indirect(address(215,22))</f>
        <v>0</v>
      </c>
      <c r="W216">
        <f>indirect(address(216,22))+indirect(address(214,23))-indirect(address(215,23))</f>
        <v>0</v>
      </c>
      <c r="X216">
        <f>indirect(address(216,23))+indirect(address(214,24))-indirect(address(215,24))</f>
        <v>0</v>
      </c>
      <c r="Y216">
        <f>indirect(address(216,24))+indirect(address(214,25))-indirect(address(215,25))</f>
        <v>0</v>
      </c>
      <c r="Z216">
        <f>indirect(address(216,25))+indirect(address(214,26))-indirect(address(215,26))</f>
        <v>0</v>
      </c>
      <c r="AA216">
        <f>indirect(address(216,26))+indirect(address(214,27))-indirect(address(215,27))</f>
        <v>0</v>
      </c>
      <c r="AB216">
        <f>indirect(address(216,27))+indirect(address(214,28))-indirect(address(215,28))</f>
        <v>0</v>
      </c>
      <c r="AC216">
        <f>indirect(address(216,28))+indirect(address(214,29))-indirect(address(215,29))</f>
        <v>0</v>
      </c>
      <c r="AD216">
        <f>indirect(address(216,29))+indirect(address(214,30))-indirect(address(215,30))</f>
        <v>0</v>
      </c>
      <c r="AE216">
        <f>indirect(address(216,30))+indirect(address(214,31))-indirect(address(215,31))</f>
        <v>0</v>
      </c>
      <c r="AF216">
        <f>indirect(address(216,31))+indirect(address(214,32))-indirect(address(215,32))</f>
        <v>0</v>
      </c>
      <c r="AG216">
        <f>indirect(address(216,32))+indirect(address(214,33))-indirect(address(215,33))</f>
        <v>0</v>
      </c>
      <c r="AH216">
        <f>indirect(address(216,33))+indirect(address(214,34))-indirect(address(215,34))</f>
        <v>0</v>
      </c>
      <c r="AI216">
        <f>indirect(address(216,34))+indirect(address(214,35))-indirect(address(215,35))</f>
        <v>0</v>
      </c>
      <c r="AJ216">
        <f>indirect(address(216,35))+indirect(address(214,36))-indirect(address(215,36))</f>
        <v>0</v>
      </c>
      <c r="AK216">
        <f>indirect(address(216,36))+indirect(address(214,37))-indirect(address(215,37))</f>
        <v>0</v>
      </c>
      <c r="AL216">
        <f>indirect(address(216,37))+indirect(address(214,38))-indirect(address(215,38))</f>
        <v>0</v>
      </c>
      <c r="AM216">
        <f>indirect(address(216,38))+indirect(address(214,39))-indirect(address(215,39))</f>
        <v>0</v>
      </c>
      <c r="AN216">
        <f>indirect(address(216,39))+indirect(address(214,40))-indirect(address(215,40))</f>
        <v>0</v>
      </c>
      <c r="AO216">
        <f>indirect(address(216,40))+indirect(address(214,41))-indirect(address(215,41))</f>
        <v>0</v>
      </c>
    </row>
    <row r="217" spans="1:41">
      <c r="I217" t="s">
        <v>14</v>
      </c>
      <c r="AO217">
        <f>sum(j217:an217)</f>
        <v>0</v>
      </c>
    </row>
    <row r="218" spans="1:41">
      <c r="I218" t="s">
        <v>15</v>
      </c>
      <c r="J218">
        <f>sumif(Plan!B:B,"262-000000-037",Plan!j:j)</f>
        <v>0</v>
      </c>
      <c r="K218">
        <f>sumif(Plan!B:B,"262-000000-037",Plan!k:k)</f>
        <v>0</v>
      </c>
      <c r="L218">
        <f>sumif(Plan!B:B,"262-000000-037",Plan!l:l)</f>
        <v>0</v>
      </c>
      <c r="M218">
        <f>sumif(Plan!B:B,"262-000000-037",Plan!m:m)</f>
        <v>0</v>
      </c>
      <c r="N218">
        <f>sumif(Plan!B:B,"262-000000-037",Plan!n:n)</f>
        <v>0</v>
      </c>
      <c r="O218">
        <f>sumif(Plan!B:B,"262-000000-037",Plan!o:o)</f>
        <v>0</v>
      </c>
      <c r="P218">
        <f>sumif(Plan!B:B,"262-000000-037",Plan!p:p)</f>
        <v>0</v>
      </c>
      <c r="Q218">
        <f>sumif(Plan!B:B,"262-000000-037",Plan!q:q)</f>
        <v>0</v>
      </c>
      <c r="R218">
        <f>sumif(Plan!B:B,"262-000000-037",Plan!r:r)</f>
        <v>0</v>
      </c>
      <c r="S218">
        <f>sumif(Plan!B:B,"262-000000-037",Plan!s:s)</f>
        <v>0</v>
      </c>
      <c r="T218">
        <f>sumif(Plan!B:B,"262-000000-037",Plan!t:t)</f>
        <v>0</v>
      </c>
      <c r="U218">
        <f>sumif(Plan!B:B,"262-000000-037",Plan!u:u)</f>
        <v>0</v>
      </c>
      <c r="V218">
        <f>sumif(Plan!B:B,"262-000000-037",Plan!v:v)</f>
        <v>0</v>
      </c>
      <c r="W218">
        <f>sumif(Plan!B:B,"262-000000-037",Plan!w:w)</f>
        <v>0</v>
      </c>
      <c r="X218">
        <f>sumif(Plan!B:B,"262-000000-037",Plan!x:x)</f>
        <v>0</v>
      </c>
      <c r="Y218">
        <f>sumif(Plan!B:B,"262-000000-037",Plan!y:y)</f>
        <v>0</v>
      </c>
      <c r="Z218">
        <f>sumif(Plan!B:B,"262-000000-037",Plan!z:z)</f>
        <v>0</v>
      </c>
      <c r="AA218">
        <f>sumif(Plan!B:B,"262-000000-037",Plan!aa:aa)</f>
        <v>0</v>
      </c>
      <c r="AB218">
        <f>sumif(Plan!B:B,"262-000000-037",Plan!ab:ab)</f>
        <v>0</v>
      </c>
      <c r="AC218">
        <f>sumif(Plan!B:B,"262-000000-037",Plan!ac:ac)</f>
        <v>0</v>
      </c>
      <c r="AD218">
        <f>sumif(Plan!B:B,"262-000000-037",Plan!ad:ad)</f>
        <v>0</v>
      </c>
      <c r="AE218">
        <f>sumif(Plan!B:B,"262-000000-037",Plan!ae:ae)</f>
        <v>0</v>
      </c>
      <c r="AF218">
        <f>sumif(Plan!B:B,"262-000000-037",Plan!af:af)</f>
        <v>0</v>
      </c>
      <c r="AG218">
        <f>sumif(Plan!B:B,"262-000000-037",Plan!ag:ag)</f>
        <v>0</v>
      </c>
      <c r="AH218">
        <f>sumif(Plan!B:B,"262-000000-037",Plan!ah:ah)</f>
        <v>0</v>
      </c>
      <c r="AI218">
        <f>sumif(Plan!B:B,"262-000000-037",Plan!ai:ai)</f>
        <v>0</v>
      </c>
      <c r="AJ218">
        <f>sumif(Plan!B:B,"262-000000-037",Plan!aj:aj)</f>
        <v>0</v>
      </c>
      <c r="AK218">
        <f>sumif(Plan!B:B,"262-000000-037",Plan!ak:ak)</f>
        <v>0</v>
      </c>
      <c r="AL218">
        <f>sumif(Plan!B:B,"262-000000-037",Plan!al:al)</f>
        <v>0</v>
      </c>
      <c r="AM218">
        <f>sumif(Plan!B:B,"262-000000-037",Plan!am:am)</f>
        <v>0</v>
      </c>
      <c r="AN218">
        <f>sumif(Plan!B:B,"262-000000-037",Plan!an:an)</f>
        <v>0</v>
      </c>
      <c r="AO218">
        <f>sumif(Plan!B:B,"262-000000-037",Plan!ao:ao)</f>
        <v>0</v>
      </c>
    </row>
    <row r="219" spans="1:41">
      <c r="A219" t="s">
        <v>22</v>
      </c>
      <c r="B219" t="s">
        <v>167</v>
      </c>
      <c r="C219" t="s">
        <v>168</v>
      </c>
      <c r="E219">
        <v>1</v>
      </c>
      <c r="F219" t="s">
        <v>13</v>
      </c>
      <c r="H219" t="s">
        <v>16</v>
      </c>
      <c r="J219">
        <f>indirect(address(219,9))+indirect(address(217,10))-indirect(address(218,10))</f>
        <v>0</v>
      </c>
      <c r="K219">
        <f>indirect(address(219,10))+indirect(address(217,11))-indirect(address(218,11))</f>
        <v>0</v>
      </c>
      <c r="L219">
        <f>indirect(address(219,11))+indirect(address(217,12))-indirect(address(218,12))</f>
        <v>0</v>
      </c>
      <c r="M219">
        <f>indirect(address(219,12))+indirect(address(217,13))-indirect(address(218,13))</f>
        <v>0</v>
      </c>
      <c r="N219">
        <f>indirect(address(219,13))+indirect(address(217,14))-indirect(address(218,14))</f>
        <v>0</v>
      </c>
      <c r="O219">
        <f>indirect(address(219,14))+indirect(address(217,15))-indirect(address(218,15))</f>
        <v>0</v>
      </c>
      <c r="P219">
        <f>indirect(address(219,15))+indirect(address(217,16))-indirect(address(218,16))</f>
        <v>0</v>
      </c>
      <c r="Q219">
        <f>indirect(address(219,16))+indirect(address(217,17))-indirect(address(218,17))</f>
        <v>0</v>
      </c>
      <c r="R219">
        <f>indirect(address(219,17))+indirect(address(217,18))-indirect(address(218,18))</f>
        <v>0</v>
      </c>
      <c r="S219">
        <f>indirect(address(219,18))+indirect(address(217,19))-indirect(address(218,19))</f>
        <v>0</v>
      </c>
      <c r="T219">
        <f>indirect(address(219,19))+indirect(address(217,20))-indirect(address(218,20))</f>
        <v>0</v>
      </c>
      <c r="U219">
        <f>indirect(address(219,20))+indirect(address(217,21))-indirect(address(218,21))</f>
        <v>0</v>
      </c>
      <c r="V219">
        <f>indirect(address(219,21))+indirect(address(217,22))-indirect(address(218,22))</f>
        <v>0</v>
      </c>
      <c r="W219">
        <f>indirect(address(219,22))+indirect(address(217,23))-indirect(address(218,23))</f>
        <v>0</v>
      </c>
      <c r="X219">
        <f>indirect(address(219,23))+indirect(address(217,24))-indirect(address(218,24))</f>
        <v>0</v>
      </c>
      <c r="Y219">
        <f>indirect(address(219,24))+indirect(address(217,25))-indirect(address(218,25))</f>
        <v>0</v>
      </c>
      <c r="Z219">
        <f>indirect(address(219,25))+indirect(address(217,26))-indirect(address(218,26))</f>
        <v>0</v>
      </c>
      <c r="AA219">
        <f>indirect(address(219,26))+indirect(address(217,27))-indirect(address(218,27))</f>
        <v>0</v>
      </c>
      <c r="AB219">
        <f>indirect(address(219,27))+indirect(address(217,28))-indirect(address(218,28))</f>
        <v>0</v>
      </c>
      <c r="AC219">
        <f>indirect(address(219,28))+indirect(address(217,29))-indirect(address(218,29))</f>
        <v>0</v>
      </c>
      <c r="AD219">
        <f>indirect(address(219,29))+indirect(address(217,30))-indirect(address(218,30))</f>
        <v>0</v>
      </c>
      <c r="AE219">
        <f>indirect(address(219,30))+indirect(address(217,31))-indirect(address(218,31))</f>
        <v>0</v>
      </c>
      <c r="AF219">
        <f>indirect(address(219,31))+indirect(address(217,32))-indirect(address(218,32))</f>
        <v>0</v>
      </c>
      <c r="AG219">
        <f>indirect(address(219,32))+indirect(address(217,33))-indirect(address(218,33))</f>
        <v>0</v>
      </c>
      <c r="AH219">
        <f>indirect(address(219,33))+indirect(address(217,34))-indirect(address(218,34))</f>
        <v>0</v>
      </c>
      <c r="AI219">
        <f>indirect(address(219,34))+indirect(address(217,35))-indirect(address(218,35))</f>
        <v>0</v>
      </c>
      <c r="AJ219">
        <f>indirect(address(219,35))+indirect(address(217,36))-indirect(address(218,36))</f>
        <v>0</v>
      </c>
      <c r="AK219">
        <f>indirect(address(219,36))+indirect(address(217,37))-indirect(address(218,37))</f>
        <v>0</v>
      </c>
      <c r="AL219">
        <f>indirect(address(219,37))+indirect(address(217,38))-indirect(address(218,38))</f>
        <v>0</v>
      </c>
      <c r="AM219">
        <f>indirect(address(219,38))+indirect(address(217,39))-indirect(address(218,39))</f>
        <v>0</v>
      </c>
      <c r="AN219">
        <f>indirect(address(219,39))+indirect(address(217,40))-indirect(address(218,40))</f>
        <v>0</v>
      </c>
      <c r="AO219">
        <f>indirect(address(219,40))+indirect(address(217,41))-indirect(address(218,41))</f>
        <v>0</v>
      </c>
    </row>
    <row r="220" spans="1:41">
      <c r="I220" t="s">
        <v>14</v>
      </c>
      <c r="AO220">
        <f>sum(j220:an220)</f>
        <v>0</v>
      </c>
    </row>
    <row r="221" spans="1:41">
      <c r="I221" t="s">
        <v>15</v>
      </c>
      <c r="J221">
        <f>sumif(Plan!B:B,"261-000000-139",Plan!j:j)</f>
        <v>0</v>
      </c>
      <c r="K221">
        <f>sumif(Plan!B:B,"261-000000-139",Plan!k:k)</f>
        <v>0</v>
      </c>
      <c r="L221">
        <f>sumif(Plan!B:B,"261-000000-139",Plan!l:l)</f>
        <v>0</v>
      </c>
      <c r="M221">
        <f>sumif(Plan!B:B,"261-000000-139",Plan!m:m)</f>
        <v>0</v>
      </c>
      <c r="N221">
        <f>sumif(Plan!B:B,"261-000000-139",Plan!n:n)</f>
        <v>0</v>
      </c>
      <c r="O221">
        <f>sumif(Plan!B:B,"261-000000-139",Plan!o:o)</f>
        <v>0</v>
      </c>
      <c r="P221">
        <f>sumif(Plan!B:B,"261-000000-139",Plan!p:p)</f>
        <v>0</v>
      </c>
      <c r="Q221">
        <f>sumif(Plan!B:B,"261-000000-139",Plan!q:q)</f>
        <v>0</v>
      </c>
      <c r="R221">
        <f>sumif(Plan!B:B,"261-000000-139",Plan!r:r)</f>
        <v>0</v>
      </c>
      <c r="S221">
        <f>sumif(Plan!B:B,"261-000000-139",Plan!s:s)</f>
        <v>0</v>
      </c>
      <c r="T221">
        <f>sumif(Plan!B:B,"261-000000-139",Plan!t:t)</f>
        <v>0</v>
      </c>
      <c r="U221">
        <f>sumif(Plan!B:B,"261-000000-139",Plan!u:u)</f>
        <v>0</v>
      </c>
      <c r="V221">
        <f>sumif(Plan!B:B,"261-000000-139",Plan!v:v)</f>
        <v>0</v>
      </c>
      <c r="W221">
        <f>sumif(Plan!B:B,"261-000000-139",Plan!w:w)</f>
        <v>0</v>
      </c>
      <c r="X221">
        <f>sumif(Plan!B:B,"261-000000-139",Plan!x:x)</f>
        <v>0</v>
      </c>
      <c r="Y221">
        <f>sumif(Plan!B:B,"261-000000-139",Plan!y:y)</f>
        <v>0</v>
      </c>
      <c r="Z221">
        <f>sumif(Plan!B:B,"261-000000-139",Plan!z:z)</f>
        <v>0</v>
      </c>
      <c r="AA221">
        <f>sumif(Plan!B:B,"261-000000-139",Plan!aa:aa)</f>
        <v>0</v>
      </c>
      <c r="AB221">
        <f>sumif(Plan!B:B,"261-000000-139",Plan!ab:ab)</f>
        <v>0</v>
      </c>
      <c r="AC221">
        <f>sumif(Plan!B:B,"261-000000-139",Plan!ac:ac)</f>
        <v>0</v>
      </c>
      <c r="AD221">
        <f>sumif(Plan!B:B,"261-000000-139",Plan!ad:ad)</f>
        <v>0</v>
      </c>
      <c r="AE221">
        <f>sumif(Plan!B:B,"261-000000-139",Plan!ae:ae)</f>
        <v>0</v>
      </c>
      <c r="AF221">
        <f>sumif(Plan!B:B,"261-000000-139",Plan!af:af)</f>
        <v>0</v>
      </c>
      <c r="AG221">
        <f>sumif(Plan!B:B,"261-000000-139",Plan!ag:ag)</f>
        <v>0</v>
      </c>
      <c r="AH221">
        <f>sumif(Plan!B:B,"261-000000-139",Plan!ah:ah)</f>
        <v>0</v>
      </c>
      <c r="AI221">
        <f>sumif(Plan!B:B,"261-000000-139",Plan!ai:ai)</f>
        <v>0</v>
      </c>
      <c r="AJ221">
        <f>sumif(Plan!B:B,"261-000000-139",Plan!aj:aj)</f>
        <v>0</v>
      </c>
      <c r="AK221">
        <f>sumif(Plan!B:B,"261-000000-139",Plan!ak:ak)</f>
        <v>0</v>
      </c>
      <c r="AL221">
        <f>sumif(Plan!B:B,"261-000000-139",Plan!al:al)</f>
        <v>0</v>
      </c>
      <c r="AM221">
        <f>sumif(Plan!B:B,"261-000000-139",Plan!am:am)</f>
        <v>0</v>
      </c>
      <c r="AN221">
        <f>sumif(Plan!B:B,"261-000000-139",Plan!an:an)</f>
        <v>0</v>
      </c>
      <c r="AO221">
        <f>sumif(Plan!B:B,"261-000000-139",Plan!ao:ao)</f>
        <v>0</v>
      </c>
    </row>
    <row r="222" spans="1:41">
      <c r="A222" t="s">
        <v>22</v>
      </c>
      <c r="B222" t="s">
        <v>169</v>
      </c>
      <c r="C222" t="s">
        <v>170</v>
      </c>
      <c r="E222">
        <v>2</v>
      </c>
      <c r="F222" t="s">
        <v>13</v>
      </c>
      <c r="H222" t="s">
        <v>16</v>
      </c>
      <c r="J222">
        <f>indirect(address(222,9))+indirect(address(220,10))-indirect(address(221,10))</f>
        <v>0</v>
      </c>
      <c r="K222">
        <f>indirect(address(222,10))+indirect(address(220,11))-indirect(address(221,11))</f>
        <v>0</v>
      </c>
      <c r="L222">
        <f>indirect(address(222,11))+indirect(address(220,12))-indirect(address(221,12))</f>
        <v>0</v>
      </c>
      <c r="M222">
        <f>indirect(address(222,12))+indirect(address(220,13))-indirect(address(221,13))</f>
        <v>0</v>
      </c>
      <c r="N222">
        <f>indirect(address(222,13))+indirect(address(220,14))-indirect(address(221,14))</f>
        <v>0</v>
      </c>
      <c r="O222">
        <f>indirect(address(222,14))+indirect(address(220,15))-indirect(address(221,15))</f>
        <v>0</v>
      </c>
      <c r="P222">
        <f>indirect(address(222,15))+indirect(address(220,16))-indirect(address(221,16))</f>
        <v>0</v>
      </c>
      <c r="Q222">
        <f>indirect(address(222,16))+indirect(address(220,17))-indirect(address(221,17))</f>
        <v>0</v>
      </c>
      <c r="R222">
        <f>indirect(address(222,17))+indirect(address(220,18))-indirect(address(221,18))</f>
        <v>0</v>
      </c>
      <c r="S222">
        <f>indirect(address(222,18))+indirect(address(220,19))-indirect(address(221,19))</f>
        <v>0</v>
      </c>
      <c r="T222">
        <f>indirect(address(222,19))+indirect(address(220,20))-indirect(address(221,20))</f>
        <v>0</v>
      </c>
      <c r="U222">
        <f>indirect(address(222,20))+indirect(address(220,21))-indirect(address(221,21))</f>
        <v>0</v>
      </c>
      <c r="V222">
        <f>indirect(address(222,21))+indirect(address(220,22))-indirect(address(221,22))</f>
        <v>0</v>
      </c>
      <c r="W222">
        <f>indirect(address(222,22))+indirect(address(220,23))-indirect(address(221,23))</f>
        <v>0</v>
      </c>
      <c r="X222">
        <f>indirect(address(222,23))+indirect(address(220,24))-indirect(address(221,24))</f>
        <v>0</v>
      </c>
      <c r="Y222">
        <f>indirect(address(222,24))+indirect(address(220,25))-indirect(address(221,25))</f>
        <v>0</v>
      </c>
      <c r="Z222">
        <f>indirect(address(222,25))+indirect(address(220,26))-indirect(address(221,26))</f>
        <v>0</v>
      </c>
      <c r="AA222">
        <f>indirect(address(222,26))+indirect(address(220,27))-indirect(address(221,27))</f>
        <v>0</v>
      </c>
      <c r="AB222">
        <f>indirect(address(222,27))+indirect(address(220,28))-indirect(address(221,28))</f>
        <v>0</v>
      </c>
      <c r="AC222">
        <f>indirect(address(222,28))+indirect(address(220,29))-indirect(address(221,29))</f>
        <v>0</v>
      </c>
      <c r="AD222">
        <f>indirect(address(222,29))+indirect(address(220,30))-indirect(address(221,30))</f>
        <v>0</v>
      </c>
      <c r="AE222">
        <f>indirect(address(222,30))+indirect(address(220,31))-indirect(address(221,31))</f>
        <v>0</v>
      </c>
      <c r="AF222">
        <f>indirect(address(222,31))+indirect(address(220,32))-indirect(address(221,32))</f>
        <v>0</v>
      </c>
      <c r="AG222">
        <f>indirect(address(222,32))+indirect(address(220,33))-indirect(address(221,33))</f>
        <v>0</v>
      </c>
      <c r="AH222">
        <f>indirect(address(222,33))+indirect(address(220,34))-indirect(address(221,34))</f>
        <v>0</v>
      </c>
      <c r="AI222">
        <f>indirect(address(222,34))+indirect(address(220,35))-indirect(address(221,35))</f>
        <v>0</v>
      </c>
      <c r="AJ222">
        <f>indirect(address(222,35))+indirect(address(220,36))-indirect(address(221,36))</f>
        <v>0</v>
      </c>
      <c r="AK222">
        <f>indirect(address(222,36))+indirect(address(220,37))-indirect(address(221,37))</f>
        <v>0</v>
      </c>
      <c r="AL222">
        <f>indirect(address(222,37))+indirect(address(220,38))-indirect(address(221,38))</f>
        <v>0</v>
      </c>
      <c r="AM222">
        <f>indirect(address(222,38))+indirect(address(220,39))-indirect(address(221,39))</f>
        <v>0</v>
      </c>
      <c r="AN222">
        <f>indirect(address(222,39))+indirect(address(220,40))-indirect(address(221,40))</f>
        <v>0</v>
      </c>
      <c r="AO222">
        <f>indirect(address(222,40))+indirect(address(220,41))-indirect(address(221,41))</f>
        <v>0</v>
      </c>
    </row>
    <row r="223" spans="1:41">
      <c r="I223" t="s">
        <v>14</v>
      </c>
      <c r="AO223">
        <f>sum(j223:an223)</f>
        <v>0</v>
      </c>
    </row>
    <row r="224" spans="1:41">
      <c r="I224" t="s">
        <v>15</v>
      </c>
      <c r="J224">
        <f>sumif(Plan!B:B,"261-000000-140",Plan!j:j)</f>
        <v>0</v>
      </c>
      <c r="K224">
        <f>sumif(Plan!B:B,"261-000000-140",Plan!k:k)</f>
        <v>0</v>
      </c>
      <c r="L224">
        <f>sumif(Plan!B:B,"261-000000-140",Plan!l:l)</f>
        <v>0</v>
      </c>
      <c r="M224">
        <f>sumif(Plan!B:B,"261-000000-140",Plan!m:m)</f>
        <v>0</v>
      </c>
      <c r="N224">
        <f>sumif(Plan!B:B,"261-000000-140",Plan!n:n)</f>
        <v>0</v>
      </c>
      <c r="O224">
        <f>sumif(Plan!B:B,"261-000000-140",Plan!o:o)</f>
        <v>0</v>
      </c>
      <c r="P224">
        <f>sumif(Plan!B:B,"261-000000-140",Plan!p:p)</f>
        <v>0</v>
      </c>
      <c r="Q224">
        <f>sumif(Plan!B:B,"261-000000-140",Plan!q:q)</f>
        <v>0</v>
      </c>
      <c r="R224">
        <f>sumif(Plan!B:B,"261-000000-140",Plan!r:r)</f>
        <v>0</v>
      </c>
      <c r="S224">
        <f>sumif(Plan!B:B,"261-000000-140",Plan!s:s)</f>
        <v>0</v>
      </c>
      <c r="T224">
        <f>sumif(Plan!B:B,"261-000000-140",Plan!t:t)</f>
        <v>0</v>
      </c>
      <c r="U224">
        <f>sumif(Plan!B:B,"261-000000-140",Plan!u:u)</f>
        <v>0</v>
      </c>
      <c r="V224">
        <f>sumif(Plan!B:B,"261-000000-140",Plan!v:v)</f>
        <v>0</v>
      </c>
      <c r="W224">
        <f>sumif(Plan!B:B,"261-000000-140",Plan!w:w)</f>
        <v>0</v>
      </c>
      <c r="X224">
        <f>sumif(Plan!B:B,"261-000000-140",Plan!x:x)</f>
        <v>0</v>
      </c>
      <c r="Y224">
        <f>sumif(Plan!B:B,"261-000000-140",Plan!y:y)</f>
        <v>0</v>
      </c>
      <c r="Z224">
        <f>sumif(Plan!B:B,"261-000000-140",Plan!z:z)</f>
        <v>0</v>
      </c>
      <c r="AA224">
        <f>sumif(Plan!B:B,"261-000000-140",Plan!aa:aa)</f>
        <v>0</v>
      </c>
      <c r="AB224">
        <f>sumif(Plan!B:B,"261-000000-140",Plan!ab:ab)</f>
        <v>0</v>
      </c>
      <c r="AC224">
        <f>sumif(Plan!B:B,"261-000000-140",Plan!ac:ac)</f>
        <v>0</v>
      </c>
      <c r="AD224">
        <f>sumif(Plan!B:B,"261-000000-140",Plan!ad:ad)</f>
        <v>0</v>
      </c>
      <c r="AE224">
        <f>sumif(Plan!B:B,"261-000000-140",Plan!ae:ae)</f>
        <v>0</v>
      </c>
      <c r="AF224">
        <f>sumif(Plan!B:B,"261-000000-140",Plan!af:af)</f>
        <v>0</v>
      </c>
      <c r="AG224">
        <f>sumif(Plan!B:B,"261-000000-140",Plan!ag:ag)</f>
        <v>0</v>
      </c>
      <c r="AH224">
        <f>sumif(Plan!B:B,"261-000000-140",Plan!ah:ah)</f>
        <v>0</v>
      </c>
      <c r="AI224">
        <f>sumif(Plan!B:B,"261-000000-140",Plan!ai:ai)</f>
        <v>0</v>
      </c>
      <c r="AJ224">
        <f>sumif(Plan!B:B,"261-000000-140",Plan!aj:aj)</f>
        <v>0</v>
      </c>
      <c r="AK224">
        <f>sumif(Plan!B:B,"261-000000-140",Plan!ak:ak)</f>
        <v>0</v>
      </c>
      <c r="AL224">
        <f>sumif(Plan!B:B,"261-000000-140",Plan!al:al)</f>
        <v>0</v>
      </c>
      <c r="AM224">
        <f>sumif(Plan!B:B,"261-000000-140",Plan!am:am)</f>
        <v>0</v>
      </c>
      <c r="AN224">
        <f>sumif(Plan!B:B,"261-000000-140",Plan!an:an)</f>
        <v>0</v>
      </c>
      <c r="AO224">
        <f>sumif(Plan!B:B,"261-000000-140",Plan!ao:ao)</f>
        <v>0</v>
      </c>
    </row>
    <row r="225" spans="1:41">
      <c r="A225" t="s">
        <v>22</v>
      </c>
      <c r="B225" t="s">
        <v>171</v>
      </c>
      <c r="C225" t="s">
        <v>172</v>
      </c>
      <c r="E225">
        <v>1</v>
      </c>
      <c r="F225" t="s">
        <v>13</v>
      </c>
      <c r="H225" t="s">
        <v>16</v>
      </c>
      <c r="J225">
        <f>indirect(address(225,9))+indirect(address(223,10))-indirect(address(224,10))</f>
        <v>0</v>
      </c>
      <c r="K225">
        <f>indirect(address(225,10))+indirect(address(223,11))-indirect(address(224,11))</f>
        <v>0</v>
      </c>
      <c r="L225">
        <f>indirect(address(225,11))+indirect(address(223,12))-indirect(address(224,12))</f>
        <v>0</v>
      </c>
      <c r="M225">
        <f>indirect(address(225,12))+indirect(address(223,13))-indirect(address(224,13))</f>
        <v>0</v>
      </c>
      <c r="N225">
        <f>indirect(address(225,13))+indirect(address(223,14))-indirect(address(224,14))</f>
        <v>0</v>
      </c>
      <c r="O225">
        <f>indirect(address(225,14))+indirect(address(223,15))-indirect(address(224,15))</f>
        <v>0</v>
      </c>
      <c r="P225">
        <f>indirect(address(225,15))+indirect(address(223,16))-indirect(address(224,16))</f>
        <v>0</v>
      </c>
      <c r="Q225">
        <f>indirect(address(225,16))+indirect(address(223,17))-indirect(address(224,17))</f>
        <v>0</v>
      </c>
      <c r="R225">
        <f>indirect(address(225,17))+indirect(address(223,18))-indirect(address(224,18))</f>
        <v>0</v>
      </c>
      <c r="S225">
        <f>indirect(address(225,18))+indirect(address(223,19))-indirect(address(224,19))</f>
        <v>0</v>
      </c>
      <c r="T225">
        <f>indirect(address(225,19))+indirect(address(223,20))-indirect(address(224,20))</f>
        <v>0</v>
      </c>
      <c r="U225">
        <f>indirect(address(225,20))+indirect(address(223,21))-indirect(address(224,21))</f>
        <v>0</v>
      </c>
      <c r="V225">
        <f>indirect(address(225,21))+indirect(address(223,22))-indirect(address(224,22))</f>
        <v>0</v>
      </c>
      <c r="W225">
        <f>indirect(address(225,22))+indirect(address(223,23))-indirect(address(224,23))</f>
        <v>0</v>
      </c>
      <c r="X225">
        <f>indirect(address(225,23))+indirect(address(223,24))-indirect(address(224,24))</f>
        <v>0</v>
      </c>
      <c r="Y225">
        <f>indirect(address(225,24))+indirect(address(223,25))-indirect(address(224,25))</f>
        <v>0</v>
      </c>
      <c r="Z225">
        <f>indirect(address(225,25))+indirect(address(223,26))-indirect(address(224,26))</f>
        <v>0</v>
      </c>
      <c r="AA225">
        <f>indirect(address(225,26))+indirect(address(223,27))-indirect(address(224,27))</f>
        <v>0</v>
      </c>
      <c r="AB225">
        <f>indirect(address(225,27))+indirect(address(223,28))-indirect(address(224,28))</f>
        <v>0</v>
      </c>
      <c r="AC225">
        <f>indirect(address(225,28))+indirect(address(223,29))-indirect(address(224,29))</f>
        <v>0</v>
      </c>
      <c r="AD225">
        <f>indirect(address(225,29))+indirect(address(223,30))-indirect(address(224,30))</f>
        <v>0</v>
      </c>
      <c r="AE225">
        <f>indirect(address(225,30))+indirect(address(223,31))-indirect(address(224,31))</f>
        <v>0</v>
      </c>
      <c r="AF225">
        <f>indirect(address(225,31))+indirect(address(223,32))-indirect(address(224,32))</f>
        <v>0</v>
      </c>
      <c r="AG225">
        <f>indirect(address(225,32))+indirect(address(223,33))-indirect(address(224,33))</f>
        <v>0</v>
      </c>
      <c r="AH225">
        <f>indirect(address(225,33))+indirect(address(223,34))-indirect(address(224,34))</f>
        <v>0</v>
      </c>
      <c r="AI225">
        <f>indirect(address(225,34))+indirect(address(223,35))-indirect(address(224,35))</f>
        <v>0</v>
      </c>
      <c r="AJ225">
        <f>indirect(address(225,35))+indirect(address(223,36))-indirect(address(224,36))</f>
        <v>0</v>
      </c>
      <c r="AK225">
        <f>indirect(address(225,36))+indirect(address(223,37))-indirect(address(224,37))</f>
        <v>0</v>
      </c>
      <c r="AL225">
        <f>indirect(address(225,37))+indirect(address(223,38))-indirect(address(224,38))</f>
        <v>0</v>
      </c>
      <c r="AM225">
        <f>indirect(address(225,38))+indirect(address(223,39))-indirect(address(224,39))</f>
        <v>0</v>
      </c>
      <c r="AN225">
        <f>indirect(address(225,39))+indirect(address(223,40))-indirect(address(224,40))</f>
        <v>0</v>
      </c>
      <c r="AO225">
        <f>indirect(address(225,40))+indirect(address(223,41))-indirect(address(224,41))</f>
        <v>0</v>
      </c>
    </row>
    <row r="226" spans="1:41">
      <c r="I226" t="s">
        <v>14</v>
      </c>
      <c r="AO226">
        <f>sum(j226:an226)</f>
        <v>0</v>
      </c>
    </row>
    <row r="227" spans="1:41">
      <c r="I227" t="s">
        <v>15</v>
      </c>
      <c r="J227">
        <f>sumif(Plan!B:B,"261-000000-141",Plan!j:j)</f>
        <v>0</v>
      </c>
      <c r="K227">
        <f>sumif(Plan!B:B,"261-000000-141",Plan!k:k)</f>
        <v>0</v>
      </c>
      <c r="L227">
        <f>sumif(Plan!B:B,"261-000000-141",Plan!l:l)</f>
        <v>0</v>
      </c>
      <c r="M227">
        <f>sumif(Plan!B:B,"261-000000-141",Plan!m:m)</f>
        <v>0</v>
      </c>
      <c r="N227">
        <f>sumif(Plan!B:B,"261-000000-141",Plan!n:n)</f>
        <v>0</v>
      </c>
      <c r="O227">
        <f>sumif(Plan!B:B,"261-000000-141",Plan!o:o)</f>
        <v>0</v>
      </c>
      <c r="P227">
        <f>sumif(Plan!B:B,"261-000000-141",Plan!p:p)</f>
        <v>0</v>
      </c>
      <c r="Q227">
        <f>sumif(Plan!B:B,"261-000000-141",Plan!q:q)</f>
        <v>0</v>
      </c>
      <c r="R227">
        <f>sumif(Plan!B:B,"261-000000-141",Plan!r:r)</f>
        <v>0</v>
      </c>
      <c r="S227">
        <f>sumif(Plan!B:B,"261-000000-141",Plan!s:s)</f>
        <v>0</v>
      </c>
      <c r="T227">
        <f>sumif(Plan!B:B,"261-000000-141",Plan!t:t)</f>
        <v>0</v>
      </c>
      <c r="U227">
        <f>sumif(Plan!B:B,"261-000000-141",Plan!u:u)</f>
        <v>0</v>
      </c>
      <c r="V227">
        <f>sumif(Plan!B:B,"261-000000-141",Plan!v:v)</f>
        <v>0</v>
      </c>
      <c r="W227">
        <f>sumif(Plan!B:B,"261-000000-141",Plan!w:w)</f>
        <v>0</v>
      </c>
      <c r="X227">
        <f>sumif(Plan!B:B,"261-000000-141",Plan!x:x)</f>
        <v>0</v>
      </c>
      <c r="Y227">
        <f>sumif(Plan!B:B,"261-000000-141",Plan!y:y)</f>
        <v>0</v>
      </c>
      <c r="Z227">
        <f>sumif(Plan!B:B,"261-000000-141",Plan!z:z)</f>
        <v>0</v>
      </c>
      <c r="AA227">
        <f>sumif(Plan!B:B,"261-000000-141",Plan!aa:aa)</f>
        <v>0</v>
      </c>
      <c r="AB227">
        <f>sumif(Plan!B:B,"261-000000-141",Plan!ab:ab)</f>
        <v>0</v>
      </c>
      <c r="AC227">
        <f>sumif(Plan!B:B,"261-000000-141",Plan!ac:ac)</f>
        <v>0</v>
      </c>
      <c r="AD227">
        <f>sumif(Plan!B:B,"261-000000-141",Plan!ad:ad)</f>
        <v>0</v>
      </c>
      <c r="AE227">
        <f>sumif(Plan!B:B,"261-000000-141",Plan!ae:ae)</f>
        <v>0</v>
      </c>
      <c r="AF227">
        <f>sumif(Plan!B:B,"261-000000-141",Plan!af:af)</f>
        <v>0</v>
      </c>
      <c r="AG227">
        <f>sumif(Plan!B:B,"261-000000-141",Plan!ag:ag)</f>
        <v>0</v>
      </c>
      <c r="AH227">
        <f>sumif(Plan!B:B,"261-000000-141",Plan!ah:ah)</f>
        <v>0</v>
      </c>
      <c r="AI227">
        <f>sumif(Plan!B:B,"261-000000-141",Plan!ai:ai)</f>
        <v>0</v>
      </c>
      <c r="AJ227">
        <f>sumif(Plan!B:B,"261-000000-141",Plan!aj:aj)</f>
        <v>0</v>
      </c>
      <c r="AK227">
        <f>sumif(Plan!B:B,"261-000000-141",Plan!ak:ak)</f>
        <v>0</v>
      </c>
      <c r="AL227">
        <f>sumif(Plan!B:B,"261-000000-141",Plan!al:al)</f>
        <v>0</v>
      </c>
      <c r="AM227">
        <f>sumif(Plan!B:B,"261-000000-141",Plan!am:am)</f>
        <v>0</v>
      </c>
      <c r="AN227">
        <f>sumif(Plan!B:B,"261-000000-141",Plan!an:an)</f>
        <v>0</v>
      </c>
      <c r="AO227">
        <f>sumif(Plan!B:B,"261-000000-141",Plan!ao:ao)</f>
        <v>0</v>
      </c>
    </row>
    <row r="228" spans="1:41">
      <c r="A228" t="s">
        <v>22</v>
      </c>
      <c r="B228" t="s">
        <v>173</v>
      </c>
      <c r="C228" t="s">
        <v>174</v>
      </c>
      <c r="E228">
        <v>1</v>
      </c>
      <c r="F228" t="s">
        <v>13</v>
      </c>
      <c r="H228" t="s">
        <v>16</v>
      </c>
      <c r="J228">
        <f>indirect(address(228,9))+indirect(address(226,10))-indirect(address(227,10))</f>
        <v>0</v>
      </c>
      <c r="K228">
        <f>indirect(address(228,10))+indirect(address(226,11))-indirect(address(227,11))</f>
        <v>0</v>
      </c>
      <c r="L228">
        <f>indirect(address(228,11))+indirect(address(226,12))-indirect(address(227,12))</f>
        <v>0</v>
      </c>
      <c r="M228">
        <f>indirect(address(228,12))+indirect(address(226,13))-indirect(address(227,13))</f>
        <v>0</v>
      </c>
      <c r="N228">
        <f>indirect(address(228,13))+indirect(address(226,14))-indirect(address(227,14))</f>
        <v>0</v>
      </c>
      <c r="O228">
        <f>indirect(address(228,14))+indirect(address(226,15))-indirect(address(227,15))</f>
        <v>0</v>
      </c>
      <c r="P228">
        <f>indirect(address(228,15))+indirect(address(226,16))-indirect(address(227,16))</f>
        <v>0</v>
      </c>
      <c r="Q228">
        <f>indirect(address(228,16))+indirect(address(226,17))-indirect(address(227,17))</f>
        <v>0</v>
      </c>
      <c r="R228">
        <f>indirect(address(228,17))+indirect(address(226,18))-indirect(address(227,18))</f>
        <v>0</v>
      </c>
      <c r="S228">
        <f>indirect(address(228,18))+indirect(address(226,19))-indirect(address(227,19))</f>
        <v>0</v>
      </c>
      <c r="T228">
        <f>indirect(address(228,19))+indirect(address(226,20))-indirect(address(227,20))</f>
        <v>0</v>
      </c>
      <c r="U228">
        <f>indirect(address(228,20))+indirect(address(226,21))-indirect(address(227,21))</f>
        <v>0</v>
      </c>
      <c r="V228">
        <f>indirect(address(228,21))+indirect(address(226,22))-indirect(address(227,22))</f>
        <v>0</v>
      </c>
      <c r="W228">
        <f>indirect(address(228,22))+indirect(address(226,23))-indirect(address(227,23))</f>
        <v>0</v>
      </c>
      <c r="X228">
        <f>indirect(address(228,23))+indirect(address(226,24))-indirect(address(227,24))</f>
        <v>0</v>
      </c>
      <c r="Y228">
        <f>indirect(address(228,24))+indirect(address(226,25))-indirect(address(227,25))</f>
        <v>0</v>
      </c>
      <c r="Z228">
        <f>indirect(address(228,25))+indirect(address(226,26))-indirect(address(227,26))</f>
        <v>0</v>
      </c>
      <c r="AA228">
        <f>indirect(address(228,26))+indirect(address(226,27))-indirect(address(227,27))</f>
        <v>0</v>
      </c>
      <c r="AB228">
        <f>indirect(address(228,27))+indirect(address(226,28))-indirect(address(227,28))</f>
        <v>0</v>
      </c>
      <c r="AC228">
        <f>indirect(address(228,28))+indirect(address(226,29))-indirect(address(227,29))</f>
        <v>0</v>
      </c>
      <c r="AD228">
        <f>indirect(address(228,29))+indirect(address(226,30))-indirect(address(227,30))</f>
        <v>0</v>
      </c>
      <c r="AE228">
        <f>indirect(address(228,30))+indirect(address(226,31))-indirect(address(227,31))</f>
        <v>0</v>
      </c>
      <c r="AF228">
        <f>indirect(address(228,31))+indirect(address(226,32))-indirect(address(227,32))</f>
        <v>0</v>
      </c>
      <c r="AG228">
        <f>indirect(address(228,32))+indirect(address(226,33))-indirect(address(227,33))</f>
        <v>0</v>
      </c>
      <c r="AH228">
        <f>indirect(address(228,33))+indirect(address(226,34))-indirect(address(227,34))</f>
        <v>0</v>
      </c>
      <c r="AI228">
        <f>indirect(address(228,34))+indirect(address(226,35))-indirect(address(227,35))</f>
        <v>0</v>
      </c>
      <c r="AJ228">
        <f>indirect(address(228,35))+indirect(address(226,36))-indirect(address(227,36))</f>
        <v>0</v>
      </c>
      <c r="AK228">
        <f>indirect(address(228,36))+indirect(address(226,37))-indirect(address(227,37))</f>
        <v>0</v>
      </c>
      <c r="AL228">
        <f>indirect(address(228,37))+indirect(address(226,38))-indirect(address(227,38))</f>
        <v>0</v>
      </c>
      <c r="AM228">
        <f>indirect(address(228,38))+indirect(address(226,39))-indirect(address(227,39))</f>
        <v>0</v>
      </c>
      <c r="AN228">
        <f>indirect(address(228,39))+indirect(address(226,40))-indirect(address(227,40))</f>
        <v>0</v>
      </c>
      <c r="AO228">
        <f>indirect(address(228,40))+indirect(address(226,41))-indirect(address(227,41))</f>
        <v>0</v>
      </c>
    </row>
    <row r="229" spans="1:41">
      <c r="I229" t="s">
        <v>14</v>
      </c>
      <c r="AO229">
        <f>sum(j229:an229)</f>
        <v>0</v>
      </c>
    </row>
    <row r="230" spans="1:41">
      <c r="I230" t="s">
        <v>15</v>
      </c>
      <c r="J230">
        <f>sumif(Plan!B:B,"824-718897-200",Plan!j:j)</f>
        <v>0</v>
      </c>
      <c r="K230">
        <f>sumif(Plan!B:B,"824-718897-200",Plan!k:k)</f>
        <v>0</v>
      </c>
      <c r="L230">
        <f>sumif(Plan!B:B,"824-718897-200",Plan!l:l)</f>
        <v>0</v>
      </c>
      <c r="M230">
        <f>sumif(Plan!B:B,"824-718897-200",Plan!m:m)</f>
        <v>0</v>
      </c>
      <c r="N230">
        <f>sumif(Plan!B:B,"824-718897-200",Plan!n:n)</f>
        <v>0</v>
      </c>
      <c r="O230">
        <f>sumif(Plan!B:B,"824-718897-200",Plan!o:o)</f>
        <v>0</v>
      </c>
      <c r="P230">
        <f>sumif(Plan!B:B,"824-718897-200",Plan!p:p)</f>
        <v>0</v>
      </c>
      <c r="Q230">
        <f>sumif(Plan!B:B,"824-718897-200",Plan!q:q)</f>
        <v>0</v>
      </c>
      <c r="R230">
        <f>sumif(Plan!B:B,"824-718897-200",Plan!r:r)</f>
        <v>0</v>
      </c>
      <c r="S230">
        <f>sumif(Plan!B:B,"824-718897-200",Plan!s:s)</f>
        <v>0</v>
      </c>
      <c r="T230">
        <f>sumif(Plan!B:B,"824-718897-200",Plan!t:t)</f>
        <v>0</v>
      </c>
      <c r="U230">
        <f>sumif(Plan!B:B,"824-718897-200",Plan!u:u)</f>
        <v>0</v>
      </c>
      <c r="V230">
        <f>sumif(Plan!B:B,"824-718897-200",Plan!v:v)</f>
        <v>0</v>
      </c>
      <c r="W230">
        <f>sumif(Plan!B:B,"824-718897-200",Plan!w:w)</f>
        <v>0</v>
      </c>
      <c r="X230">
        <f>sumif(Plan!B:B,"824-718897-200",Plan!x:x)</f>
        <v>0</v>
      </c>
      <c r="Y230">
        <f>sumif(Plan!B:B,"824-718897-200",Plan!y:y)</f>
        <v>0</v>
      </c>
      <c r="Z230">
        <f>sumif(Plan!B:B,"824-718897-200",Plan!z:z)</f>
        <v>0</v>
      </c>
      <c r="AA230">
        <f>sumif(Plan!B:B,"824-718897-200",Plan!aa:aa)</f>
        <v>0</v>
      </c>
      <c r="AB230">
        <f>sumif(Plan!B:B,"824-718897-200",Plan!ab:ab)</f>
        <v>0</v>
      </c>
      <c r="AC230">
        <f>sumif(Plan!B:B,"824-718897-200",Plan!ac:ac)</f>
        <v>0</v>
      </c>
      <c r="AD230">
        <f>sumif(Plan!B:B,"824-718897-200",Plan!ad:ad)</f>
        <v>0</v>
      </c>
      <c r="AE230">
        <f>sumif(Plan!B:B,"824-718897-200",Plan!ae:ae)</f>
        <v>0</v>
      </c>
      <c r="AF230">
        <f>sumif(Plan!B:B,"824-718897-200",Plan!af:af)</f>
        <v>0</v>
      </c>
      <c r="AG230">
        <f>sumif(Plan!B:B,"824-718897-200",Plan!ag:ag)</f>
        <v>0</v>
      </c>
      <c r="AH230">
        <f>sumif(Plan!B:B,"824-718897-200",Plan!ah:ah)</f>
        <v>0</v>
      </c>
      <c r="AI230">
        <f>sumif(Plan!B:B,"824-718897-200",Plan!ai:ai)</f>
        <v>0</v>
      </c>
      <c r="AJ230">
        <f>sumif(Plan!B:B,"824-718897-200",Plan!aj:aj)</f>
        <v>0</v>
      </c>
      <c r="AK230">
        <f>sumif(Plan!B:B,"824-718897-200",Plan!ak:ak)</f>
        <v>0</v>
      </c>
      <c r="AL230">
        <f>sumif(Plan!B:B,"824-718897-200",Plan!al:al)</f>
        <v>0</v>
      </c>
      <c r="AM230">
        <f>sumif(Plan!B:B,"824-718897-200",Plan!am:am)</f>
        <v>0</v>
      </c>
      <c r="AN230">
        <f>sumif(Plan!B:B,"824-718897-200",Plan!an:an)</f>
        <v>0</v>
      </c>
      <c r="AO230">
        <f>sumif(Plan!B:B,"824-718897-200",Plan!ao:ao)</f>
        <v>0</v>
      </c>
    </row>
    <row r="231" spans="1:41">
      <c r="A231" t="s">
        <v>17</v>
      </c>
      <c r="B231" t="s">
        <v>177</v>
      </c>
      <c r="C231" t="s">
        <v>178</v>
      </c>
      <c r="E231">
        <v>1</v>
      </c>
      <c r="H231" t="s">
        <v>16</v>
      </c>
      <c r="J231">
        <f>indirect(address(231,9))+indirect(address(229,10))-indirect(address(230,10))</f>
        <v>0</v>
      </c>
      <c r="K231">
        <f>indirect(address(231,10))+indirect(address(229,11))-indirect(address(230,11))</f>
        <v>0</v>
      </c>
      <c r="L231">
        <f>indirect(address(231,11))+indirect(address(229,12))-indirect(address(230,12))</f>
        <v>0</v>
      </c>
      <c r="M231">
        <f>indirect(address(231,12))+indirect(address(229,13))-indirect(address(230,13))</f>
        <v>0</v>
      </c>
      <c r="N231">
        <f>indirect(address(231,13))+indirect(address(229,14))-indirect(address(230,14))</f>
        <v>0</v>
      </c>
      <c r="O231">
        <f>indirect(address(231,14))+indirect(address(229,15))-indirect(address(230,15))</f>
        <v>0</v>
      </c>
      <c r="P231">
        <f>indirect(address(231,15))+indirect(address(229,16))-indirect(address(230,16))</f>
        <v>0</v>
      </c>
      <c r="Q231">
        <f>indirect(address(231,16))+indirect(address(229,17))-indirect(address(230,17))</f>
        <v>0</v>
      </c>
      <c r="R231">
        <f>indirect(address(231,17))+indirect(address(229,18))-indirect(address(230,18))</f>
        <v>0</v>
      </c>
      <c r="S231">
        <f>indirect(address(231,18))+indirect(address(229,19))-indirect(address(230,19))</f>
        <v>0</v>
      </c>
      <c r="T231">
        <f>indirect(address(231,19))+indirect(address(229,20))-indirect(address(230,20))</f>
        <v>0</v>
      </c>
      <c r="U231">
        <f>indirect(address(231,20))+indirect(address(229,21))-indirect(address(230,21))</f>
        <v>0</v>
      </c>
      <c r="V231">
        <f>indirect(address(231,21))+indirect(address(229,22))-indirect(address(230,22))</f>
        <v>0</v>
      </c>
      <c r="W231">
        <f>indirect(address(231,22))+indirect(address(229,23))-indirect(address(230,23))</f>
        <v>0</v>
      </c>
      <c r="X231">
        <f>indirect(address(231,23))+indirect(address(229,24))-indirect(address(230,24))</f>
        <v>0</v>
      </c>
      <c r="Y231">
        <f>indirect(address(231,24))+indirect(address(229,25))-indirect(address(230,25))</f>
        <v>0</v>
      </c>
      <c r="Z231">
        <f>indirect(address(231,25))+indirect(address(229,26))-indirect(address(230,26))</f>
        <v>0</v>
      </c>
      <c r="AA231">
        <f>indirect(address(231,26))+indirect(address(229,27))-indirect(address(230,27))</f>
        <v>0</v>
      </c>
      <c r="AB231">
        <f>indirect(address(231,27))+indirect(address(229,28))-indirect(address(230,28))</f>
        <v>0</v>
      </c>
      <c r="AC231">
        <f>indirect(address(231,28))+indirect(address(229,29))-indirect(address(230,29))</f>
        <v>0</v>
      </c>
      <c r="AD231">
        <f>indirect(address(231,29))+indirect(address(229,30))-indirect(address(230,30))</f>
        <v>0</v>
      </c>
      <c r="AE231">
        <f>indirect(address(231,30))+indirect(address(229,31))-indirect(address(230,31))</f>
        <v>0</v>
      </c>
      <c r="AF231">
        <f>indirect(address(231,31))+indirect(address(229,32))-indirect(address(230,32))</f>
        <v>0</v>
      </c>
      <c r="AG231">
        <f>indirect(address(231,32))+indirect(address(229,33))-indirect(address(230,33))</f>
        <v>0</v>
      </c>
      <c r="AH231">
        <f>indirect(address(231,33))+indirect(address(229,34))-indirect(address(230,34))</f>
        <v>0</v>
      </c>
      <c r="AI231">
        <f>indirect(address(231,34))+indirect(address(229,35))-indirect(address(230,35))</f>
        <v>0</v>
      </c>
      <c r="AJ231">
        <f>indirect(address(231,35))+indirect(address(229,36))-indirect(address(230,36))</f>
        <v>0</v>
      </c>
      <c r="AK231">
        <f>indirect(address(231,36))+indirect(address(229,37))-indirect(address(230,37))</f>
        <v>0</v>
      </c>
      <c r="AL231">
        <f>indirect(address(231,37))+indirect(address(229,38))-indirect(address(230,38))</f>
        <v>0</v>
      </c>
      <c r="AM231">
        <f>indirect(address(231,38))+indirect(address(229,39))-indirect(address(230,39))</f>
        <v>0</v>
      </c>
      <c r="AN231">
        <f>indirect(address(231,39))+indirect(address(229,40))-indirect(address(230,40))</f>
        <v>0</v>
      </c>
      <c r="AO231">
        <f>indirect(address(231,40))+indirect(address(229,41))-indirect(address(230,41))</f>
        <v>0</v>
      </c>
    </row>
    <row r="232" spans="1:41">
      <c r="I232" t="s">
        <v>14</v>
      </c>
      <c r="AO232">
        <f>sum(j232:an232)</f>
        <v>0</v>
      </c>
    </row>
    <row r="233" spans="1:41">
      <c r="I233" t="s">
        <v>15</v>
      </c>
      <c r="J233">
        <f>sumif(Plan!B:B,"263-000000-004",Plan!j:j)</f>
        <v>0</v>
      </c>
      <c r="K233">
        <f>sumif(Plan!B:B,"263-000000-004",Plan!k:k)</f>
        <v>0</v>
      </c>
      <c r="L233">
        <f>sumif(Plan!B:B,"263-000000-004",Plan!l:l)</f>
        <v>0</v>
      </c>
      <c r="M233">
        <f>sumif(Plan!B:B,"263-000000-004",Plan!m:m)</f>
        <v>0</v>
      </c>
      <c r="N233">
        <f>sumif(Plan!B:B,"263-000000-004",Plan!n:n)</f>
        <v>0</v>
      </c>
      <c r="O233">
        <f>sumif(Plan!B:B,"263-000000-004",Plan!o:o)</f>
        <v>0</v>
      </c>
      <c r="P233">
        <f>sumif(Plan!B:B,"263-000000-004",Plan!p:p)</f>
        <v>0</v>
      </c>
      <c r="Q233">
        <f>sumif(Plan!B:B,"263-000000-004",Plan!q:q)</f>
        <v>0</v>
      </c>
      <c r="R233">
        <f>sumif(Plan!B:B,"263-000000-004",Plan!r:r)</f>
        <v>0</v>
      </c>
      <c r="S233">
        <f>sumif(Plan!B:B,"263-000000-004",Plan!s:s)</f>
        <v>0</v>
      </c>
      <c r="T233">
        <f>sumif(Plan!B:B,"263-000000-004",Plan!t:t)</f>
        <v>0</v>
      </c>
      <c r="U233">
        <f>sumif(Plan!B:B,"263-000000-004",Plan!u:u)</f>
        <v>0</v>
      </c>
      <c r="V233">
        <f>sumif(Plan!B:B,"263-000000-004",Plan!v:v)</f>
        <v>0</v>
      </c>
      <c r="W233">
        <f>sumif(Plan!B:B,"263-000000-004",Plan!w:w)</f>
        <v>0</v>
      </c>
      <c r="X233">
        <f>sumif(Plan!B:B,"263-000000-004",Plan!x:x)</f>
        <v>0</v>
      </c>
      <c r="Y233">
        <f>sumif(Plan!B:B,"263-000000-004",Plan!y:y)</f>
        <v>0</v>
      </c>
      <c r="Z233">
        <f>sumif(Plan!B:B,"263-000000-004",Plan!z:z)</f>
        <v>0</v>
      </c>
      <c r="AA233">
        <f>sumif(Plan!B:B,"263-000000-004",Plan!aa:aa)</f>
        <v>0</v>
      </c>
      <c r="AB233">
        <f>sumif(Plan!B:B,"263-000000-004",Plan!ab:ab)</f>
        <v>0</v>
      </c>
      <c r="AC233">
        <f>sumif(Plan!B:B,"263-000000-004",Plan!ac:ac)</f>
        <v>0</v>
      </c>
      <c r="AD233">
        <f>sumif(Plan!B:B,"263-000000-004",Plan!ad:ad)</f>
        <v>0</v>
      </c>
      <c r="AE233">
        <f>sumif(Plan!B:B,"263-000000-004",Plan!ae:ae)</f>
        <v>0</v>
      </c>
      <c r="AF233">
        <f>sumif(Plan!B:B,"263-000000-004",Plan!af:af)</f>
        <v>0</v>
      </c>
      <c r="AG233">
        <f>sumif(Plan!B:B,"263-000000-004",Plan!ag:ag)</f>
        <v>0</v>
      </c>
      <c r="AH233">
        <f>sumif(Plan!B:B,"263-000000-004",Plan!ah:ah)</f>
        <v>0</v>
      </c>
      <c r="AI233">
        <f>sumif(Plan!B:B,"263-000000-004",Plan!ai:ai)</f>
        <v>0</v>
      </c>
      <c r="AJ233">
        <f>sumif(Plan!B:B,"263-000000-004",Plan!aj:aj)</f>
        <v>0</v>
      </c>
      <c r="AK233">
        <f>sumif(Plan!B:B,"263-000000-004",Plan!ak:ak)</f>
        <v>0</v>
      </c>
      <c r="AL233">
        <f>sumif(Plan!B:B,"263-000000-004",Plan!al:al)</f>
        <v>0</v>
      </c>
      <c r="AM233">
        <f>sumif(Plan!B:B,"263-000000-004",Plan!am:am)</f>
        <v>0</v>
      </c>
      <c r="AN233">
        <f>sumif(Plan!B:B,"263-000000-004",Plan!an:an)</f>
        <v>0</v>
      </c>
      <c r="AO233">
        <f>sumif(Plan!B:B,"263-000000-004",Plan!ao:ao)</f>
        <v>0</v>
      </c>
    </row>
    <row r="234" spans="1:41">
      <c r="A234" t="s">
        <v>22</v>
      </c>
      <c r="B234" t="s">
        <v>165</v>
      </c>
      <c r="C234" t="s">
        <v>166</v>
      </c>
      <c r="E234">
        <v>1</v>
      </c>
      <c r="H234" t="s">
        <v>16</v>
      </c>
      <c r="J234">
        <f>indirect(address(234,9))+indirect(address(232,10))-indirect(address(233,10))</f>
        <v>0</v>
      </c>
      <c r="K234">
        <f>indirect(address(234,10))+indirect(address(232,11))-indirect(address(233,11))</f>
        <v>0</v>
      </c>
      <c r="L234">
        <f>indirect(address(234,11))+indirect(address(232,12))-indirect(address(233,12))</f>
        <v>0</v>
      </c>
      <c r="M234">
        <f>indirect(address(234,12))+indirect(address(232,13))-indirect(address(233,13))</f>
        <v>0</v>
      </c>
      <c r="N234">
        <f>indirect(address(234,13))+indirect(address(232,14))-indirect(address(233,14))</f>
        <v>0</v>
      </c>
      <c r="O234">
        <f>indirect(address(234,14))+indirect(address(232,15))-indirect(address(233,15))</f>
        <v>0</v>
      </c>
      <c r="P234">
        <f>indirect(address(234,15))+indirect(address(232,16))-indirect(address(233,16))</f>
        <v>0</v>
      </c>
      <c r="Q234">
        <f>indirect(address(234,16))+indirect(address(232,17))-indirect(address(233,17))</f>
        <v>0</v>
      </c>
      <c r="R234">
        <f>indirect(address(234,17))+indirect(address(232,18))-indirect(address(233,18))</f>
        <v>0</v>
      </c>
      <c r="S234">
        <f>indirect(address(234,18))+indirect(address(232,19))-indirect(address(233,19))</f>
        <v>0</v>
      </c>
      <c r="T234">
        <f>indirect(address(234,19))+indirect(address(232,20))-indirect(address(233,20))</f>
        <v>0</v>
      </c>
      <c r="U234">
        <f>indirect(address(234,20))+indirect(address(232,21))-indirect(address(233,21))</f>
        <v>0</v>
      </c>
      <c r="V234">
        <f>indirect(address(234,21))+indirect(address(232,22))-indirect(address(233,22))</f>
        <v>0</v>
      </c>
      <c r="W234">
        <f>indirect(address(234,22))+indirect(address(232,23))-indirect(address(233,23))</f>
        <v>0</v>
      </c>
      <c r="X234">
        <f>indirect(address(234,23))+indirect(address(232,24))-indirect(address(233,24))</f>
        <v>0</v>
      </c>
      <c r="Y234">
        <f>indirect(address(234,24))+indirect(address(232,25))-indirect(address(233,25))</f>
        <v>0</v>
      </c>
      <c r="Z234">
        <f>indirect(address(234,25))+indirect(address(232,26))-indirect(address(233,26))</f>
        <v>0</v>
      </c>
      <c r="AA234">
        <f>indirect(address(234,26))+indirect(address(232,27))-indirect(address(233,27))</f>
        <v>0</v>
      </c>
      <c r="AB234">
        <f>indirect(address(234,27))+indirect(address(232,28))-indirect(address(233,28))</f>
        <v>0</v>
      </c>
      <c r="AC234">
        <f>indirect(address(234,28))+indirect(address(232,29))-indirect(address(233,29))</f>
        <v>0</v>
      </c>
      <c r="AD234">
        <f>indirect(address(234,29))+indirect(address(232,30))-indirect(address(233,30))</f>
        <v>0</v>
      </c>
      <c r="AE234">
        <f>indirect(address(234,30))+indirect(address(232,31))-indirect(address(233,31))</f>
        <v>0</v>
      </c>
      <c r="AF234">
        <f>indirect(address(234,31))+indirect(address(232,32))-indirect(address(233,32))</f>
        <v>0</v>
      </c>
      <c r="AG234">
        <f>indirect(address(234,32))+indirect(address(232,33))-indirect(address(233,33))</f>
        <v>0</v>
      </c>
      <c r="AH234">
        <f>indirect(address(234,33))+indirect(address(232,34))-indirect(address(233,34))</f>
        <v>0</v>
      </c>
      <c r="AI234">
        <f>indirect(address(234,34))+indirect(address(232,35))-indirect(address(233,35))</f>
        <v>0</v>
      </c>
      <c r="AJ234">
        <f>indirect(address(234,35))+indirect(address(232,36))-indirect(address(233,36))</f>
        <v>0</v>
      </c>
      <c r="AK234">
        <f>indirect(address(234,36))+indirect(address(232,37))-indirect(address(233,37))</f>
        <v>0</v>
      </c>
      <c r="AL234">
        <f>indirect(address(234,37))+indirect(address(232,38))-indirect(address(233,38))</f>
        <v>0</v>
      </c>
      <c r="AM234">
        <f>indirect(address(234,38))+indirect(address(232,39))-indirect(address(233,39))</f>
        <v>0</v>
      </c>
      <c r="AN234">
        <f>indirect(address(234,39))+indirect(address(232,40))-indirect(address(233,40))</f>
        <v>0</v>
      </c>
      <c r="AO234">
        <f>indirect(address(234,40))+indirect(address(232,41))-indirect(address(233,41))</f>
        <v>0</v>
      </c>
    </row>
    <row r="235" spans="1:41">
      <c r="I235" t="s">
        <v>14</v>
      </c>
      <c r="AO235">
        <f>sum(j235:an235)</f>
        <v>0</v>
      </c>
    </row>
    <row r="236" spans="1:41">
      <c r="I236" t="s">
        <v>15</v>
      </c>
      <c r="J236">
        <f>sumif(Plan!B:B,"262-000000-037",Plan!j:j)</f>
        <v>0</v>
      </c>
      <c r="K236">
        <f>sumif(Plan!B:B,"262-000000-037",Plan!k:k)</f>
        <v>0</v>
      </c>
      <c r="L236">
        <f>sumif(Plan!B:B,"262-000000-037",Plan!l:l)</f>
        <v>0</v>
      </c>
      <c r="M236">
        <f>sumif(Plan!B:B,"262-000000-037",Plan!m:m)</f>
        <v>0</v>
      </c>
      <c r="N236">
        <f>sumif(Plan!B:B,"262-000000-037",Plan!n:n)</f>
        <v>0</v>
      </c>
      <c r="O236">
        <f>sumif(Plan!B:B,"262-000000-037",Plan!o:o)</f>
        <v>0</v>
      </c>
      <c r="P236">
        <f>sumif(Plan!B:B,"262-000000-037",Plan!p:p)</f>
        <v>0</v>
      </c>
      <c r="Q236">
        <f>sumif(Plan!B:B,"262-000000-037",Plan!q:q)</f>
        <v>0</v>
      </c>
      <c r="R236">
        <f>sumif(Plan!B:B,"262-000000-037",Plan!r:r)</f>
        <v>0</v>
      </c>
      <c r="S236">
        <f>sumif(Plan!B:B,"262-000000-037",Plan!s:s)</f>
        <v>0</v>
      </c>
      <c r="T236">
        <f>sumif(Plan!B:B,"262-000000-037",Plan!t:t)</f>
        <v>0</v>
      </c>
      <c r="U236">
        <f>sumif(Plan!B:B,"262-000000-037",Plan!u:u)</f>
        <v>0</v>
      </c>
      <c r="V236">
        <f>sumif(Plan!B:B,"262-000000-037",Plan!v:v)</f>
        <v>0</v>
      </c>
      <c r="W236">
        <f>sumif(Plan!B:B,"262-000000-037",Plan!w:w)</f>
        <v>0</v>
      </c>
      <c r="X236">
        <f>sumif(Plan!B:B,"262-000000-037",Plan!x:x)</f>
        <v>0</v>
      </c>
      <c r="Y236">
        <f>sumif(Plan!B:B,"262-000000-037",Plan!y:y)</f>
        <v>0</v>
      </c>
      <c r="Z236">
        <f>sumif(Plan!B:B,"262-000000-037",Plan!z:z)</f>
        <v>0</v>
      </c>
      <c r="AA236">
        <f>sumif(Plan!B:B,"262-000000-037",Plan!aa:aa)</f>
        <v>0</v>
      </c>
      <c r="AB236">
        <f>sumif(Plan!B:B,"262-000000-037",Plan!ab:ab)</f>
        <v>0</v>
      </c>
      <c r="AC236">
        <f>sumif(Plan!B:B,"262-000000-037",Plan!ac:ac)</f>
        <v>0</v>
      </c>
      <c r="AD236">
        <f>sumif(Plan!B:B,"262-000000-037",Plan!ad:ad)</f>
        <v>0</v>
      </c>
      <c r="AE236">
        <f>sumif(Plan!B:B,"262-000000-037",Plan!ae:ae)</f>
        <v>0</v>
      </c>
      <c r="AF236">
        <f>sumif(Plan!B:B,"262-000000-037",Plan!af:af)</f>
        <v>0</v>
      </c>
      <c r="AG236">
        <f>sumif(Plan!B:B,"262-000000-037",Plan!ag:ag)</f>
        <v>0</v>
      </c>
      <c r="AH236">
        <f>sumif(Plan!B:B,"262-000000-037",Plan!ah:ah)</f>
        <v>0</v>
      </c>
      <c r="AI236">
        <f>sumif(Plan!B:B,"262-000000-037",Plan!ai:ai)</f>
        <v>0</v>
      </c>
      <c r="AJ236">
        <f>sumif(Plan!B:B,"262-000000-037",Plan!aj:aj)</f>
        <v>0</v>
      </c>
      <c r="AK236">
        <f>sumif(Plan!B:B,"262-000000-037",Plan!ak:ak)</f>
        <v>0</v>
      </c>
      <c r="AL236">
        <f>sumif(Plan!B:B,"262-000000-037",Plan!al:al)</f>
        <v>0</v>
      </c>
      <c r="AM236">
        <f>sumif(Plan!B:B,"262-000000-037",Plan!am:am)</f>
        <v>0</v>
      </c>
      <c r="AN236">
        <f>sumif(Plan!B:B,"262-000000-037",Plan!an:an)</f>
        <v>0</v>
      </c>
      <c r="AO236">
        <f>sumif(Plan!B:B,"262-000000-037",Plan!ao:ao)</f>
        <v>0</v>
      </c>
    </row>
    <row r="237" spans="1:41">
      <c r="A237" t="s">
        <v>22</v>
      </c>
      <c r="B237" t="s">
        <v>167</v>
      </c>
      <c r="C237" t="s">
        <v>168</v>
      </c>
      <c r="E237">
        <v>1</v>
      </c>
      <c r="H237" t="s">
        <v>16</v>
      </c>
      <c r="J237">
        <f>indirect(address(237,9))+indirect(address(235,10))-indirect(address(236,10))</f>
        <v>0</v>
      </c>
      <c r="K237">
        <f>indirect(address(237,10))+indirect(address(235,11))-indirect(address(236,11))</f>
        <v>0</v>
      </c>
      <c r="L237">
        <f>indirect(address(237,11))+indirect(address(235,12))-indirect(address(236,12))</f>
        <v>0</v>
      </c>
      <c r="M237">
        <f>indirect(address(237,12))+indirect(address(235,13))-indirect(address(236,13))</f>
        <v>0</v>
      </c>
      <c r="N237">
        <f>indirect(address(237,13))+indirect(address(235,14))-indirect(address(236,14))</f>
        <v>0</v>
      </c>
      <c r="O237">
        <f>indirect(address(237,14))+indirect(address(235,15))-indirect(address(236,15))</f>
        <v>0</v>
      </c>
      <c r="P237">
        <f>indirect(address(237,15))+indirect(address(235,16))-indirect(address(236,16))</f>
        <v>0</v>
      </c>
      <c r="Q237">
        <f>indirect(address(237,16))+indirect(address(235,17))-indirect(address(236,17))</f>
        <v>0</v>
      </c>
      <c r="R237">
        <f>indirect(address(237,17))+indirect(address(235,18))-indirect(address(236,18))</f>
        <v>0</v>
      </c>
      <c r="S237">
        <f>indirect(address(237,18))+indirect(address(235,19))-indirect(address(236,19))</f>
        <v>0</v>
      </c>
      <c r="T237">
        <f>indirect(address(237,19))+indirect(address(235,20))-indirect(address(236,20))</f>
        <v>0</v>
      </c>
      <c r="U237">
        <f>indirect(address(237,20))+indirect(address(235,21))-indirect(address(236,21))</f>
        <v>0</v>
      </c>
      <c r="V237">
        <f>indirect(address(237,21))+indirect(address(235,22))-indirect(address(236,22))</f>
        <v>0</v>
      </c>
      <c r="W237">
        <f>indirect(address(237,22))+indirect(address(235,23))-indirect(address(236,23))</f>
        <v>0</v>
      </c>
      <c r="X237">
        <f>indirect(address(237,23))+indirect(address(235,24))-indirect(address(236,24))</f>
        <v>0</v>
      </c>
      <c r="Y237">
        <f>indirect(address(237,24))+indirect(address(235,25))-indirect(address(236,25))</f>
        <v>0</v>
      </c>
      <c r="Z237">
        <f>indirect(address(237,25))+indirect(address(235,26))-indirect(address(236,26))</f>
        <v>0</v>
      </c>
      <c r="AA237">
        <f>indirect(address(237,26))+indirect(address(235,27))-indirect(address(236,27))</f>
        <v>0</v>
      </c>
      <c r="AB237">
        <f>indirect(address(237,27))+indirect(address(235,28))-indirect(address(236,28))</f>
        <v>0</v>
      </c>
      <c r="AC237">
        <f>indirect(address(237,28))+indirect(address(235,29))-indirect(address(236,29))</f>
        <v>0</v>
      </c>
      <c r="AD237">
        <f>indirect(address(237,29))+indirect(address(235,30))-indirect(address(236,30))</f>
        <v>0</v>
      </c>
      <c r="AE237">
        <f>indirect(address(237,30))+indirect(address(235,31))-indirect(address(236,31))</f>
        <v>0</v>
      </c>
      <c r="AF237">
        <f>indirect(address(237,31))+indirect(address(235,32))-indirect(address(236,32))</f>
        <v>0</v>
      </c>
      <c r="AG237">
        <f>indirect(address(237,32))+indirect(address(235,33))-indirect(address(236,33))</f>
        <v>0</v>
      </c>
      <c r="AH237">
        <f>indirect(address(237,33))+indirect(address(235,34))-indirect(address(236,34))</f>
        <v>0</v>
      </c>
      <c r="AI237">
        <f>indirect(address(237,34))+indirect(address(235,35))-indirect(address(236,35))</f>
        <v>0</v>
      </c>
      <c r="AJ237">
        <f>indirect(address(237,35))+indirect(address(235,36))-indirect(address(236,36))</f>
        <v>0</v>
      </c>
      <c r="AK237">
        <f>indirect(address(237,36))+indirect(address(235,37))-indirect(address(236,37))</f>
        <v>0</v>
      </c>
      <c r="AL237">
        <f>indirect(address(237,37))+indirect(address(235,38))-indirect(address(236,38))</f>
        <v>0</v>
      </c>
      <c r="AM237">
        <f>indirect(address(237,38))+indirect(address(235,39))-indirect(address(236,39))</f>
        <v>0</v>
      </c>
      <c r="AN237">
        <f>indirect(address(237,39))+indirect(address(235,40))-indirect(address(236,40))</f>
        <v>0</v>
      </c>
      <c r="AO237">
        <f>indirect(address(237,40))+indirect(address(235,41))-indirect(address(236,41))</f>
        <v>0</v>
      </c>
    </row>
    <row r="238" spans="1:41">
      <c r="I238" t="s">
        <v>14</v>
      </c>
      <c r="AO238">
        <f>sum(j238:an238)</f>
        <v>0</v>
      </c>
    </row>
    <row r="239" spans="1:41">
      <c r="I239" t="s">
        <v>15</v>
      </c>
      <c r="J239">
        <f>sumif(Plan!B:B,"261-000000-139",Plan!j:j)</f>
        <v>0</v>
      </c>
      <c r="K239">
        <f>sumif(Plan!B:B,"261-000000-139",Plan!k:k)</f>
        <v>0</v>
      </c>
      <c r="L239">
        <f>sumif(Plan!B:B,"261-000000-139",Plan!l:l)</f>
        <v>0</v>
      </c>
      <c r="M239">
        <f>sumif(Plan!B:B,"261-000000-139",Plan!m:m)</f>
        <v>0</v>
      </c>
      <c r="N239">
        <f>sumif(Plan!B:B,"261-000000-139",Plan!n:n)</f>
        <v>0</v>
      </c>
      <c r="O239">
        <f>sumif(Plan!B:B,"261-000000-139",Plan!o:o)</f>
        <v>0</v>
      </c>
      <c r="P239">
        <f>sumif(Plan!B:B,"261-000000-139",Plan!p:p)</f>
        <v>0</v>
      </c>
      <c r="Q239">
        <f>sumif(Plan!B:B,"261-000000-139",Plan!q:q)</f>
        <v>0</v>
      </c>
      <c r="R239">
        <f>sumif(Plan!B:B,"261-000000-139",Plan!r:r)</f>
        <v>0</v>
      </c>
      <c r="S239">
        <f>sumif(Plan!B:B,"261-000000-139",Plan!s:s)</f>
        <v>0</v>
      </c>
      <c r="T239">
        <f>sumif(Plan!B:B,"261-000000-139",Plan!t:t)</f>
        <v>0</v>
      </c>
      <c r="U239">
        <f>sumif(Plan!B:B,"261-000000-139",Plan!u:u)</f>
        <v>0</v>
      </c>
      <c r="V239">
        <f>sumif(Plan!B:B,"261-000000-139",Plan!v:v)</f>
        <v>0</v>
      </c>
      <c r="W239">
        <f>sumif(Plan!B:B,"261-000000-139",Plan!w:w)</f>
        <v>0</v>
      </c>
      <c r="X239">
        <f>sumif(Plan!B:B,"261-000000-139",Plan!x:x)</f>
        <v>0</v>
      </c>
      <c r="Y239">
        <f>sumif(Plan!B:B,"261-000000-139",Plan!y:y)</f>
        <v>0</v>
      </c>
      <c r="Z239">
        <f>sumif(Plan!B:B,"261-000000-139",Plan!z:z)</f>
        <v>0</v>
      </c>
      <c r="AA239">
        <f>sumif(Plan!B:B,"261-000000-139",Plan!aa:aa)</f>
        <v>0</v>
      </c>
      <c r="AB239">
        <f>sumif(Plan!B:B,"261-000000-139",Plan!ab:ab)</f>
        <v>0</v>
      </c>
      <c r="AC239">
        <f>sumif(Plan!B:B,"261-000000-139",Plan!ac:ac)</f>
        <v>0</v>
      </c>
      <c r="AD239">
        <f>sumif(Plan!B:B,"261-000000-139",Plan!ad:ad)</f>
        <v>0</v>
      </c>
      <c r="AE239">
        <f>sumif(Plan!B:B,"261-000000-139",Plan!ae:ae)</f>
        <v>0</v>
      </c>
      <c r="AF239">
        <f>sumif(Plan!B:B,"261-000000-139",Plan!af:af)</f>
        <v>0</v>
      </c>
      <c r="AG239">
        <f>sumif(Plan!B:B,"261-000000-139",Plan!ag:ag)</f>
        <v>0</v>
      </c>
      <c r="AH239">
        <f>sumif(Plan!B:B,"261-000000-139",Plan!ah:ah)</f>
        <v>0</v>
      </c>
      <c r="AI239">
        <f>sumif(Plan!B:B,"261-000000-139",Plan!ai:ai)</f>
        <v>0</v>
      </c>
      <c r="AJ239">
        <f>sumif(Plan!B:B,"261-000000-139",Plan!aj:aj)</f>
        <v>0</v>
      </c>
      <c r="AK239">
        <f>sumif(Plan!B:B,"261-000000-139",Plan!ak:ak)</f>
        <v>0</v>
      </c>
      <c r="AL239">
        <f>sumif(Plan!B:B,"261-000000-139",Plan!al:al)</f>
        <v>0</v>
      </c>
      <c r="AM239">
        <f>sumif(Plan!B:B,"261-000000-139",Plan!am:am)</f>
        <v>0</v>
      </c>
      <c r="AN239">
        <f>sumif(Plan!B:B,"261-000000-139",Plan!an:an)</f>
        <v>0</v>
      </c>
      <c r="AO239">
        <f>sumif(Plan!B:B,"261-000000-139",Plan!ao:ao)</f>
        <v>0</v>
      </c>
    </row>
    <row r="240" spans="1:41">
      <c r="A240" t="s">
        <v>22</v>
      </c>
      <c r="B240" t="s">
        <v>169</v>
      </c>
      <c r="C240" t="s">
        <v>170</v>
      </c>
      <c r="E240">
        <v>2</v>
      </c>
      <c r="H240" t="s">
        <v>16</v>
      </c>
      <c r="J240">
        <f>indirect(address(240,9))+indirect(address(238,10))-indirect(address(239,10))</f>
        <v>0</v>
      </c>
      <c r="K240">
        <f>indirect(address(240,10))+indirect(address(238,11))-indirect(address(239,11))</f>
        <v>0</v>
      </c>
      <c r="L240">
        <f>indirect(address(240,11))+indirect(address(238,12))-indirect(address(239,12))</f>
        <v>0</v>
      </c>
      <c r="M240">
        <f>indirect(address(240,12))+indirect(address(238,13))-indirect(address(239,13))</f>
        <v>0</v>
      </c>
      <c r="N240">
        <f>indirect(address(240,13))+indirect(address(238,14))-indirect(address(239,14))</f>
        <v>0</v>
      </c>
      <c r="O240">
        <f>indirect(address(240,14))+indirect(address(238,15))-indirect(address(239,15))</f>
        <v>0</v>
      </c>
      <c r="P240">
        <f>indirect(address(240,15))+indirect(address(238,16))-indirect(address(239,16))</f>
        <v>0</v>
      </c>
      <c r="Q240">
        <f>indirect(address(240,16))+indirect(address(238,17))-indirect(address(239,17))</f>
        <v>0</v>
      </c>
      <c r="R240">
        <f>indirect(address(240,17))+indirect(address(238,18))-indirect(address(239,18))</f>
        <v>0</v>
      </c>
      <c r="S240">
        <f>indirect(address(240,18))+indirect(address(238,19))-indirect(address(239,19))</f>
        <v>0</v>
      </c>
      <c r="T240">
        <f>indirect(address(240,19))+indirect(address(238,20))-indirect(address(239,20))</f>
        <v>0</v>
      </c>
      <c r="U240">
        <f>indirect(address(240,20))+indirect(address(238,21))-indirect(address(239,21))</f>
        <v>0</v>
      </c>
      <c r="V240">
        <f>indirect(address(240,21))+indirect(address(238,22))-indirect(address(239,22))</f>
        <v>0</v>
      </c>
      <c r="W240">
        <f>indirect(address(240,22))+indirect(address(238,23))-indirect(address(239,23))</f>
        <v>0</v>
      </c>
      <c r="X240">
        <f>indirect(address(240,23))+indirect(address(238,24))-indirect(address(239,24))</f>
        <v>0</v>
      </c>
      <c r="Y240">
        <f>indirect(address(240,24))+indirect(address(238,25))-indirect(address(239,25))</f>
        <v>0</v>
      </c>
      <c r="Z240">
        <f>indirect(address(240,25))+indirect(address(238,26))-indirect(address(239,26))</f>
        <v>0</v>
      </c>
      <c r="AA240">
        <f>indirect(address(240,26))+indirect(address(238,27))-indirect(address(239,27))</f>
        <v>0</v>
      </c>
      <c r="AB240">
        <f>indirect(address(240,27))+indirect(address(238,28))-indirect(address(239,28))</f>
        <v>0</v>
      </c>
      <c r="AC240">
        <f>indirect(address(240,28))+indirect(address(238,29))-indirect(address(239,29))</f>
        <v>0</v>
      </c>
      <c r="AD240">
        <f>indirect(address(240,29))+indirect(address(238,30))-indirect(address(239,30))</f>
        <v>0</v>
      </c>
      <c r="AE240">
        <f>indirect(address(240,30))+indirect(address(238,31))-indirect(address(239,31))</f>
        <v>0</v>
      </c>
      <c r="AF240">
        <f>indirect(address(240,31))+indirect(address(238,32))-indirect(address(239,32))</f>
        <v>0</v>
      </c>
      <c r="AG240">
        <f>indirect(address(240,32))+indirect(address(238,33))-indirect(address(239,33))</f>
        <v>0</v>
      </c>
      <c r="AH240">
        <f>indirect(address(240,33))+indirect(address(238,34))-indirect(address(239,34))</f>
        <v>0</v>
      </c>
      <c r="AI240">
        <f>indirect(address(240,34))+indirect(address(238,35))-indirect(address(239,35))</f>
        <v>0</v>
      </c>
      <c r="AJ240">
        <f>indirect(address(240,35))+indirect(address(238,36))-indirect(address(239,36))</f>
        <v>0</v>
      </c>
      <c r="AK240">
        <f>indirect(address(240,36))+indirect(address(238,37))-indirect(address(239,37))</f>
        <v>0</v>
      </c>
      <c r="AL240">
        <f>indirect(address(240,37))+indirect(address(238,38))-indirect(address(239,38))</f>
        <v>0</v>
      </c>
      <c r="AM240">
        <f>indirect(address(240,38))+indirect(address(238,39))-indirect(address(239,39))</f>
        <v>0</v>
      </c>
      <c r="AN240">
        <f>indirect(address(240,39))+indirect(address(238,40))-indirect(address(239,40))</f>
        <v>0</v>
      </c>
      <c r="AO240">
        <f>indirect(address(240,40))+indirect(address(238,41))-indirect(address(239,41))</f>
        <v>0</v>
      </c>
    </row>
    <row r="241" spans="1:41">
      <c r="I241" t="s">
        <v>14</v>
      </c>
      <c r="AO241">
        <f>sum(j241:an241)</f>
        <v>0</v>
      </c>
    </row>
    <row r="242" spans="1:41">
      <c r="I242" t="s">
        <v>15</v>
      </c>
      <c r="J242">
        <f>sumif(Plan!B:B,"261-000000-140",Plan!j:j)</f>
        <v>0</v>
      </c>
      <c r="K242">
        <f>sumif(Plan!B:B,"261-000000-140",Plan!k:k)</f>
        <v>0</v>
      </c>
      <c r="L242">
        <f>sumif(Plan!B:B,"261-000000-140",Plan!l:l)</f>
        <v>0</v>
      </c>
      <c r="M242">
        <f>sumif(Plan!B:B,"261-000000-140",Plan!m:m)</f>
        <v>0</v>
      </c>
      <c r="N242">
        <f>sumif(Plan!B:B,"261-000000-140",Plan!n:n)</f>
        <v>0</v>
      </c>
      <c r="O242">
        <f>sumif(Plan!B:B,"261-000000-140",Plan!o:o)</f>
        <v>0</v>
      </c>
      <c r="P242">
        <f>sumif(Plan!B:B,"261-000000-140",Plan!p:p)</f>
        <v>0</v>
      </c>
      <c r="Q242">
        <f>sumif(Plan!B:B,"261-000000-140",Plan!q:q)</f>
        <v>0</v>
      </c>
      <c r="R242">
        <f>sumif(Plan!B:B,"261-000000-140",Plan!r:r)</f>
        <v>0</v>
      </c>
      <c r="S242">
        <f>sumif(Plan!B:B,"261-000000-140",Plan!s:s)</f>
        <v>0</v>
      </c>
      <c r="T242">
        <f>sumif(Plan!B:B,"261-000000-140",Plan!t:t)</f>
        <v>0</v>
      </c>
      <c r="U242">
        <f>sumif(Plan!B:B,"261-000000-140",Plan!u:u)</f>
        <v>0</v>
      </c>
      <c r="V242">
        <f>sumif(Plan!B:B,"261-000000-140",Plan!v:v)</f>
        <v>0</v>
      </c>
      <c r="W242">
        <f>sumif(Plan!B:B,"261-000000-140",Plan!w:w)</f>
        <v>0</v>
      </c>
      <c r="X242">
        <f>sumif(Plan!B:B,"261-000000-140",Plan!x:x)</f>
        <v>0</v>
      </c>
      <c r="Y242">
        <f>sumif(Plan!B:B,"261-000000-140",Plan!y:y)</f>
        <v>0</v>
      </c>
      <c r="Z242">
        <f>sumif(Plan!B:B,"261-000000-140",Plan!z:z)</f>
        <v>0</v>
      </c>
      <c r="AA242">
        <f>sumif(Plan!B:B,"261-000000-140",Plan!aa:aa)</f>
        <v>0</v>
      </c>
      <c r="AB242">
        <f>sumif(Plan!B:B,"261-000000-140",Plan!ab:ab)</f>
        <v>0</v>
      </c>
      <c r="AC242">
        <f>sumif(Plan!B:B,"261-000000-140",Plan!ac:ac)</f>
        <v>0</v>
      </c>
      <c r="AD242">
        <f>sumif(Plan!B:B,"261-000000-140",Plan!ad:ad)</f>
        <v>0</v>
      </c>
      <c r="AE242">
        <f>sumif(Plan!B:B,"261-000000-140",Plan!ae:ae)</f>
        <v>0</v>
      </c>
      <c r="AF242">
        <f>sumif(Plan!B:B,"261-000000-140",Plan!af:af)</f>
        <v>0</v>
      </c>
      <c r="AG242">
        <f>sumif(Plan!B:B,"261-000000-140",Plan!ag:ag)</f>
        <v>0</v>
      </c>
      <c r="AH242">
        <f>sumif(Plan!B:B,"261-000000-140",Plan!ah:ah)</f>
        <v>0</v>
      </c>
      <c r="AI242">
        <f>sumif(Plan!B:B,"261-000000-140",Plan!ai:ai)</f>
        <v>0</v>
      </c>
      <c r="AJ242">
        <f>sumif(Plan!B:B,"261-000000-140",Plan!aj:aj)</f>
        <v>0</v>
      </c>
      <c r="AK242">
        <f>sumif(Plan!B:B,"261-000000-140",Plan!ak:ak)</f>
        <v>0</v>
      </c>
      <c r="AL242">
        <f>sumif(Plan!B:B,"261-000000-140",Plan!al:al)</f>
        <v>0</v>
      </c>
      <c r="AM242">
        <f>sumif(Plan!B:B,"261-000000-140",Plan!am:am)</f>
        <v>0</v>
      </c>
      <c r="AN242">
        <f>sumif(Plan!B:B,"261-000000-140",Plan!an:an)</f>
        <v>0</v>
      </c>
      <c r="AO242">
        <f>sumif(Plan!B:B,"261-000000-140",Plan!ao:ao)</f>
        <v>0</v>
      </c>
    </row>
    <row r="243" spans="1:41">
      <c r="A243" t="s">
        <v>22</v>
      </c>
      <c r="B243" t="s">
        <v>171</v>
      </c>
      <c r="C243" t="s">
        <v>172</v>
      </c>
      <c r="E243">
        <v>1</v>
      </c>
      <c r="H243" t="s">
        <v>16</v>
      </c>
      <c r="J243">
        <f>indirect(address(243,9))+indirect(address(241,10))-indirect(address(242,10))</f>
        <v>0</v>
      </c>
      <c r="K243">
        <f>indirect(address(243,10))+indirect(address(241,11))-indirect(address(242,11))</f>
        <v>0</v>
      </c>
      <c r="L243">
        <f>indirect(address(243,11))+indirect(address(241,12))-indirect(address(242,12))</f>
        <v>0</v>
      </c>
      <c r="M243">
        <f>indirect(address(243,12))+indirect(address(241,13))-indirect(address(242,13))</f>
        <v>0</v>
      </c>
      <c r="N243">
        <f>indirect(address(243,13))+indirect(address(241,14))-indirect(address(242,14))</f>
        <v>0</v>
      </c>
      <c r="O243">
        <f>indirect(address(243,14))+indirect(address(241,15))-indirect(address(242,15))</f>
        <v>0</v>
      </c>
      <c r="P243">
        <f>indirect(address(243,15))+indirect(address(241,16))-indirect(address(242,16))</f>
        <v>0</v>
      </c>
      <c r="Q243">
        <f>indirect(address(243,16))+indirect(address(241,17))-indirect(address(242,17))</f>
        <v>0</v>
      </c>
      <c r="R243">
        <f>indirect(address(243,17))+indirect(address(241,18))-indirect(address(242,18))</f>
        <v>0</v>
      </c>
      <c r="S243">
        <f>indirect(address(243,18))+indirect(address(241,19))-indirect(address(242,19))</f>
        <v>0</v>
      </c>
      <c r="T243">
        <f>indirect(address(243,19))+indirect(address(241,20))-indirect(address(242,20))</f>
        <v>0</v>
      </c>
      <c r="U243">
        <f>indirect(address(243,20))+indirect(address(241,21))-indirect(address(242,21))</f>
        <v>0</v>
      </c>
      <c r="V243">
        <f>indirect(address(243,21))+indirect(address(241,22))-indirect(address(242,22))</f>
        <v>0</v>
      </c>
      <c r="W243">
        <f>indirect(address(243,22))+indirect(address(241,23))-indirect(address(242,23))</f>
        <v>0</v>
      </c>
      <c r="X243">
        <f>indirect(address(243,23))+indirect(address(241,24))-indirect(address(242,24))</f>
        <v>0</v>
      </c>
      <c r="Y243">
        <f>indirect(address(243,24))+indirect(address(241,25))-indirect(address(242,25))</f>
        <v>0</v>
      </c>
      <c r="Z243">
        <f>indirect(address(243,25))+indirect(address(241,26))-indirect(address(242,26))</f>
        <v>0</v>
      </c>
      <c r="AA243">
        <f>indirect(address(243,26))+indirect(address(241,27))-indirect(address(242,27))</f>
        <v>0</v>
      </c>
      <c r="AB243">
        <f>indirect(address(243,27))+indirect(address(241,28))-indirect(address(242,28))</f>
        <v>0</v>
      </c>
      <c r="AC243">
        <f>indirect(address(243,28))+indirect(address(241,29))-indirect(address(242,29))</f>
        <v>0</v>
      </c>
      <c r="AD243">
        <f>indirect(address(243,29))+indirect(address(241,30))-indirect(address(242,30))</f>
        <v>0</v>
      </c>
      <c r="AE243">
        <f>indirect(address(243,30))+indirect(address(241,31))-indirect(address(242,31))</f>
        <v>0</v>
      </c>
      <c r="AF243">
        <f>indirect(address(243,31))+indirect(address(241,32))-indirect(address(242,32))</f>
        <v>0</v>
      </c>
      <c r="AG243">
        <f>indirect(address(243,32))+indirect(address(241,33))-indirect(address(242,33))</f>
        <v>0</v>
      </c>
      <c r="AH243">
        <f>indirect(address(243,33))+indirect(address(241,34))-indirect(address(242,34))</f>
        <v>0</v>
      </c>
      <c r="AI243">
        <f>indirect(address(243,34))+indirect(address(241,35))-indirect(address(242,35))</f>
        <v>0</v>
      </c>
      <c r="AJ243">
        <f>indirect(address(243,35))+indirect(address(241,36))-indirect(address(242,36))</f>
        <v>0</v>
      </c>
      <c r="AK243">
        <f>indirect(address(243,36))+indirect(address(241,37))-indirect(address(242,37))</f>
        <v>0</v>
      </c>
      <c r="AL243">
        <f>indirect(address(243,37))+indirect(address(241,38))-indirect(address(242,38))</f>
        <v>0</v>
      </c>
      <c r="AM243">
        <f>indirect(address(243,38))+indirect(address(241,39))-indirect(address(242,39))</f>
        <v>0</v>
      </c>
      <c r="AN243">
        <f>indirect(address(243,39))+indirect(address(241,40))-indirect(address(242,40))</f>
        <v>0</v>
      </c>
      <c r="AO243">
        <f>indirect(address(243,40))+indirect(address(241,41))-indirect(address(242,41))</f>
        <v>0</v>
      </c>
    </row>
    <row r="244" spans="1:41">
      <c r="I244" t="s">
        <v>14</v>
      </c>
      <c r="AO244">
        <f>sum(j244:an244)</f>
        <v>0</v>
      </c>
    </row>
    <row r="245" spans="1:41">
      <c r="I245" t="s">
        <v>15</v>
      </c>
      <c r="J245">
        <f>sumif(Plan!B:B,"261-000000-141",Plan!j:j)</f>
        <v>0</v>
      </c>
      <c r="K245">
        <f>sumif(Plan!B:B,"261-000000-141",Plan!k:k)</f>
        <v>0</v>
      </c>
      <c r="L245">
        <f>sumif(Plan!B:B,"261-000000-141",Plan!l:l)</f>
        <v>0</v>
      </c>
      <c r="M245">
        <f>sumif(Plan!B:B,"261-000000-141",Plan!m:m)</f>
        <v>0</v>
      </c>
      <c r="N245">
        <f>sumif(Plan!B:B,"261-000000-141",Plan!n:n)</f>
        <v>0</v>
      </c>
      <c r="O245">
        <f>sumif(Plan!B:B,"261-000000-141",Plan!o:o)</f>
        <v>0</v>
      </c>
      <c r="P245">
        <f>sumif(Plan!B:B,"261-000000-141",Plan!p:p)</f>
        <v>0</v>
      </c>
      <c r="Q245">
        <f>sumif(Plan!B:B,"261-000000-141",Plan!q:q)</f>
        <v>0</v>
      </c>
      <c r="R245">
        <f>sumif(Plan!B:B,"261-000000-141",Plan!r:r)</f>
        <v>0</v>
      </c>
      <c r="S245">
        <f>sumif(Plan!B:B,"261-000000-141",Plan!s:s)</f>
        <v>0</v>
      </c>
      <c r="T245">
        <f>sumif(Plan!B:B,"261-000000-141",Plan!t:t)</f>
        <v>0</v>
      </c>
      <c r="U245">
        <f>sumif(Plan!B:B,"261-000000-141",Plan!u:u)</f>
        <v>0</v>
      </c>
      <c r="V245">
        <f>sumif(Plan!B:B,"261-000000-141",Plan!v:v)</f>
        <v>0</v>
      </c>
      <c r="W245">
        <f>sumif(Plan!B:B,"261-000000-141",Plan!w:w)</f>
        <v>0</v>
      </c>
      <c r="X245">
        <f>sumif(Plan!B:B,"261-000000-141",Plan!x:x)</f>
        <v>0</v>
      </c>
      <c r="Y245">
        <f>sumif(Plan!B:B,"261-000000-141",Plan!y:y)</f>
        <v>0</v>
      </c>
      <c r="Z245">
        <f>sumif(Plan!B:B,"261-000000-141",Plan!z:z)</f>
        <v>0</v>
      </c>
      <c r="AA245">
        <f>sumif(Plan!B:B,"261-000000-141",Plan!aa:aa)</f>
        <v>0</v>
      </c>
      <c r="AB245">
        <f>sumif(Plan!B:B,"261-000000-141",Plan!ab:ab)</f>
        <v>0</v>
      </c>
      <c r="AC245">
        <f>sumif(Plan!B:B,"261-000000-141",Plan!ac:ac)</f>
        <v>0</v>
      </c>
      <c r="AD245">
        <f>sumif(Plan!B:B,"261-000000-141",Plan!ad:ad)</f>
        <v>0</v>
      </c>
      <c r="AE245">
        <f>sumif(Plan!B:B,"261-000000-141",Plan!ae:ae)</f>
        <v>0</v>
      </c>
      <c r="AF245">
        <f>sumif(Plan!B:B,"261-000000-141",Plan!af:af)</f>
        <v>0</v>
      </c>
      <c r="AG245">
        <f>sumif(Plan!B:B,"261-000000-141",Plan!ag:ag)</f>
        <v>0</v>
      </c>
      <c r="AH245">
        <f>sumif(Plan!B:B,"261-000000-141",Plan!ah:ah)</f>
        <v>0</v>
      </c>
      <c r="AI245">
        <f>sumif(Plan!B:B,"261-000000-141",Plan!ai:ai)</f>
        <v>0</v>
      </c>
      <c r="AJ245">
        <f>sumif(Plan!B:B,"261-000000-141",Plan!aj:aj)</f>
        <v>0</v>
      </c>
      <c r="AK245">
        <f>sumif(Plan!B:B,"261-000000-141",Plan!ak:ak)</f>
        <v>0</v>
      </c>
      <c r="AL245">
        <f>sumif(Plan!B:B,"261-000000-141",Plan!al:al)</f>
        <v>0</v>
      </c>
      <c r="AM245">
        <f>sumif(Plan!B:B,"261-000000-141",Plan!am:am)</f>
        <v>0</v>
      </c>
      <c r="AN245">
        <f>sumif(Plan!B:B,"261-000000-141",Plan!an:an)</f>
        <v>0</v>
      </c>
      <c r="AO245">
        <f>sumif(Plan!B:B,"261-000000-141",Plan!ao:ao)</f>
        <v>0</v>
      </c>
    </row>
    <row r="246" spans="1:41">
      <c r="A246" t="s">
        <v>22</v>
      </c>
      <c r="B246" t="s">
        <v>173</v>
      </c>
      <c r="C246" t="s">
        <v>174</v>
      </c>
      <c r="E246">
        <v>1</v>
      </c>
      <c r="H246" t="s">
        <v>16</v>
      </c>
      <c r="J246">
        <f>indirect(address(246,9))+indirect(address(244,10))-indirect(address(245,10))</f>
        <v>0</v>
      </c>
      <c r="K246">
        <f>indirect(address(246,10))+indirect(address(244,11))-indirect(address(245,11))</f>
        <v>0</v>
      </c>
      <c r="L246">
        <f>indirect(address(246,11))+indirect(address(244,12))-indirect(address(245,12))</f>
        <v>0</v>
      </c>
      <c r="M246">
        <f>indirect(address(246,12))+indirect(address(244,13))-indirect(address(245,13))</f>
        <v>0</v>
      </c>
      <c r="N246">
        <f>indirect(address(246,13))+indirect(address(244,14))-indirect(address(245,14))</f>
        <v>0</v>
      </c>
      <c r="O246">
        <f>indirect(address(246,14))+indirect(address(244,15))-indirect(address(245,15))</f>
        <v>0</v>
      </c>
      <c r="P246">
        <f>indirect(address(246,15))+indirect(address(244,16))-indirect(address(245,16))</f>
        <v>0</v>
      </c>
      <c r="Q246">
        <f>indirect(address(246,16))+indirect(address(244,17))-indirect(address(245,17))</f>
        <v>0</v>
      </c>
      <c r="R246">
        <f>indirect(address(246,17))+indirect(address(244,18))-indirect(address(245,18))</f>
        <v>0</v>
      </c>
      <c r="S246">
        <f>indirect(address(246,18))+indirect(address(244,19))-indirect(address(245,19))</f>
        <v>0</v>
      </c>
      <c r="T246">
        <f>indirect(address(246,19))+indirect(address(244,20))-indirect(address(245,20))</f>
        <v>0</v>
      </c>
      <c r="U246">
        <f>indirect(address(246,20))+indirect(address(244,21))-indirect(address(245,21))</f>
        <v>0</v>
      </c>
      <c r="V246">
        <f>indirect(address(246,21))+indirect(address(244,22))-indirect(address(245,22))</f>
        <v>0</v>
      </c>
      <c r="W246">
        <f>indirect(address(246,22))+indirect(address(244,23))-indirect(address(245,23))</f>
        <v>0</v>
      </c>
      <c r="X246">
        <f>indirect(address(246,23))+indirect(address(244,24))-indirect(address(245,24))</f>
        <v>0</v>
      </c>
      <c r="Y246">
        <f>indirect(address(246,24))+indirect(address(244,25))-indirect(address(245,25))</f>
        <v>0</v>
      </c>
      <c r="Z246">
        <f>indirect(address(246,25))+indirect(address(244,26))-indirect(address(245,26))</f>
        <v>0</v>
      </c>
      <c r="AA246">
        <f>indirect(address(246,26))+indirect(address(244,27))-indirect(address(245,27))</f>
        <v>0</v>
      </c>
      <c r="AB246">
        <f>indirect(address(246,27))+indirect(address(244,28))-indirect(address(245,28))</f>
        <v>0</v>
      </c>
      <c r="AC246">
        <f>indirect(address(246,28))+indirect(address(244,29))-indirect(address(245,29))</f>
        <v>0</v>
      </c>
      <c r="AD246">
        <f>indirect(address(246,29))+indirect(address(244,30))-indirect(address(245,30))</f>
        <v>0</v>
      </c>
      <c r="AE246">
        <f>indirect(address(246,30))+indirect(address(244,31))-indirect(address(245,31))</f>
        <v>0</v>
      </c>
      <c r="AF246">
        <f>indirect(address(246,31))+indirect(address(244,32))-indirect(address(245,32))</f>
        <v>0</v>
      </c>
      <c r="AG246">
        <f>indirect(address(246,32))+indirect(address(244,33))-indirect(address(245,33))</f>
        <v>0</v>
      </c>
      <c r="AH246">
        <f>indirect(address(246,33))+indirect(address(244,34))-indirect(address(245,34))</f>
        <v>0</v>
      </c>
      <c r="AI246">
        <f>indirect(address(246,34))+indirect(address(244,35))-indirect(address(245,35))</f>
        <v>0</v>
      </c>
      <c r="AJ246">
        <f>indirect(address(246,35))+indirect(address(244,36))-indirect(address(245,36))</f>
        <v>0</v>
      </c>
      <c r="AK246">
        <f>indirect(address(246,36))+indirect(address(244,37))-indirect(address(245,37))</f>
        <v>0</v>
      </c>
      <c r="AL246">
        <f>indirect(address(246,37))+indirect(address(244,38))-indirect(address(245,38))</f>
        <v>0</v>
      </c>
      <c r="AM246">
        <f>indirect(address(246,38))+indirect(address(244,39))-indirect(address(245,39))</f>
        <v>0</v>
      </c>
      <c r="AN246">
        <f>indirect(address(246,39))+indirect(address(244,40))-indirect(address(245,40))</f>
        <v>0</v>
      </c>
      <c r="AO246">
        <f>indirect(address(246,40))+indirect(address(244,41))-indirect(address(245,41))</f>
        <v>0</v>
      </c>
    </row>
    <row r="247" spans="1:41">
      <c r="I247" t="s">
        <v>14</v>
      </c>
      <c r="AO247">
        <f>sum(j247:an247)</f>
        <v>0</v>
      </c>
    </row>
    <row r="248" spans="1:41">
      <c r="I248" t="s">
        <v>15</v>
      </c>
      <c r="J248">
        <f>sumif(Plan!B:B,"824-718057-100",Plan!j:j)</f>
        <v>0</v>
      </c>
      <c r="K248">
        <f>sumif(Plan!B:B,"824-718057-100",Plan!k:k)</f>
        <v>0</v>
      </c>
      <c r="L248">
        <f>sumif(Plan!B:B,"824-718057-100",Plan!l:l)</f>
        <v>0</v>
      </c>
      <c r="M248">
        <f>sumif(Plan!B:B,"824-718057-100",Plan!m:m)</f>
        <v>0</v>
      </c>
      <c r="N248">
        <f>sumif(Plan!B:B,"824-718057-100",Plan!n:n)</f>
        <v>0</v>
      </c>
      <c r="O248">
        <f>sumif(Plan!B:B,"824-718057-100",Plan!o:o)</f>
        <v>0</v>
      </c>
      <c r="P248">
        <f>sumif(Plan!B:B,"824-718057-100",Plan!p:p)</f>
        <v>0</v>
      </c>
      <c r="Q248">
        <f>sumif(Plan!B:B,"824-718057-100",Plan!q:q)</f>
        <v>0</v>
      </c>
      <c r="R248">
        <f>sumif(Plan!B:B,"824-718057-100",Plan!r:r)</f>
        <v>0</v>
      </c>
      <c r="S248">
        <f>sumif(Plan!B:B,"824-718057-100",Plan!s:s)</f>
        <v>0</v>
      </c>
      <c r="T248">
        <f>sumif(Plan!B:B,"824-718057-100",Plan!t:t)</f>
        <v>0</v>
      </c>
      <c r="U248">
        <f>sumif(Plan!B:B,"824-718057-100",Plan!u:u)</f>
        <v>0</v>
      </c>
      <c r="V248">
        <f>sumif(Plan!B:B,"824-718057-100",Plan!v:v)</f>
        <v>0</v>
      </c>
      <c r="W248">
        <f>sumif(Plan!B:B,"824-718057-100",Plan!w:w)</f>
        <v>0</v>
      </c>
      <c r="X248">
        <f>sumif(Plan!B:B,"824-718057-100",Plan!x:x)</f>
        <v>0</v>
      </c>
      <c r="Y248">
        <f>sumif(Plan!B:B,"824-718057-100",Plan!y:y)</f>
        <v>0</v>
      </c>
      <c r="Z248">
        <f>sumif(Plan!B:B,"824-718057-100",Plan!z:z)</f>
        <v>0</v>
      </c>
      <c r="AA248">
        <f>sumif(Plan!B:B,"824-718057-100",Plan!aa:aa)</f>
        <v>0</v>
      </c>
      <c r="AB248">
        <f>sumif(Plan!B:B,"824-718057-100",Plan!ab:ab)</f>
        <v>0</v>
      </c>
      <c r="AC248">
        <f>sumif(Plan!B:B,"824-718057-100",Plan!ac:ac)</f>
        <v>0</v>
      </c>
      <c r="AD248">
        <f>sumif(Plan!B:B,"824-718057-100",Plan!ad:ad)</f>
        <v>0</v>
      </c>
      <c r="AE248">
        <f>sumif(Plan!B:B,"824-718057-100",Plan!ae:ae)</f>
        <v>0</v>
      </c>
      <c r="AF248">
        <f>sumif(Plan!B:B,"824-718057-100",Plan!af:af)</f>
        <v>0</v>
      </c>
      <c r="AG248">
        <f>sumif(Plan!B:B,"824-718057-100",Plan!ag:ag)</f>
        <v>0</v>
      </c>
      <c r="AH248">
        <f>sumif(Plan!B:B,"824-718057-100",Plan!ah:ah)</f>
        <v>0</v>
      </c>
      <c r="AI248">
        <f>sumif(Plan!B:B,"824-718057-100",Plan!ai:ai)</f>
        <v>0</v>
      </c>
      <c r="AJ248">
        <f>sumif(Plan!B:B,"824-718057-100",Plan!aj:aj)</f>
        <v>0</v>
      </c>
      <c r="AK248">
        <f>sumif(Plan!B:B,"824-718057-100",Plan!ak:ak)</f>
        <v>0</v>
      </c>
      <c r="AL248">
        <f>sumif(Plan!B:B,"824-718057-100",Plan!al:al)</f>
        <v>0</v>
      </c>
      <c r="AM248">
        <f>sumif(Plan!B:B,"824-718057-100",Plan!am:am)</f>
        <v>0</v>
      </c>
      <c r="AN248">
        <f>sumif(Plan!B:B,"824-718057-100",Plan!an:an)</f>
        <v>0</v>
      </c>
      <c r="AO248">
        <f>sumif(Plan!B:B,"824-718057-100",Plan!ao:ao)</f>
        <v>0</v>
      </c>
    </row>
    <row r="249" spans="1:41">
      <c r="A249" t="s">
        <v>17</v>
      </c>
      <c r="B249" t="s">
        <v>180</v>
      </c>
      <c r="C249" t="s">
        <v>164</v>
      </c>
      <c r="E249">
        <v>1</v>
      </c>
      <c r="H249" t="s">
        <v>16</v>
      </c>
      <c r="J249">
        <f>indirect(address(249,9))+indirect(address(247,10))-indirect(address(248,10))</f>
        <v>0</v>
      </c>
      <c r="K249">
        <f>indirect(address(249,10))+indirect(address(247,11))-indirect(address(248,11))</f>
        <v>0</v>
      </c>
      <c r="L249">
        <f>indirect(address(249,11))+indirect(address(247,12))-indirect(address(248,12))</f>
        <v>0</v>
      </c>
      <c r="M249">
        <f>indirect(address(249,12))+indirect(address(247,13))-indirect(address(248,13))</f>
        <v>0</v>
      </c>
      <c r="N249">
        <f>indirect(address(249,13))+indirect(address(247,14))-indirect(address(248,14))</f>
        <v>0</v>
      </c>
      <c r="O249">
        <f>indirect(address(249,14))+indirect(address(247,15))-indirect(address(248,15))</f>
        <v>0</v>
      </c>
      <c r="P249">
        <f>indirect(address(249,15))+indirect(address(247,16))-indirect(address(248,16))</f>
        <v>0</v>
      </c>
      <c r="Q249">
        <f>indirect(address(249,16))+indirect(address(247,17))-indirect(address(248,17))</f>
        <v>0</v>
      </c>
      <c r="R249">
        <f>indirect(address(249,17))+indirect(address(247,18))-indirect(address(248,18))</f>
        <v>0</v>
      </c>
      <c r="S249">
        <f>indirect(address(249,18))+indirect(address(247,19))-indirect(address(248,19))</f>
        <v>0</v>
      </c>
      <c r="T249">
        <f>indirect(address(249,19))+indirect(address(247,20))-indirect(address(248,20))</f>
        <v>0</v>
      </c>
      <c r="U249">
        <f>indirect(address(249,20))+indirect(address(247,21))-indirect(address(248,21))</f>
        <v>0</v>
      </c>
      <c r="V249">
        <f>indirect(address(249,21))+indirect(address(247,22))-indirect(address(248,22))</f>
        <v>0</v>
      </c>
      <c r="W249">
        <f>indirect(address(249,22))+indirect(address(247,23))-indirect(address(248,23))</f>
        <v>0</v>
      </c>
      <c r="X249">
        <f>indirect(address(249,23))+indirect(address(247,24))-indirect(address(248,24))</f>
        <v>0</v>
      </c>
      <c r="Y249">
        <f>indirect(address(249,24))+indirect(address(247,25))-indirect(address(248,25))</f>
        <v>0</v>
      </c>
      <c r="Z249">
        <f>indirect(address(249,25))+indirect(address(247,26))-indirect(address(248,26))</f>
        <v>0</v>
      </c>
      <c r="AA249">
        <f>indirect(address(249,26))+indirect(address(247,27))-indirect(address(248,27))</f>
        <v>0</v>
      </c>
      <c r="AB249">
        <f>indirect(address(249,27))+indirect(address(247,28))-indirect(address(248,28))</f>
        <v>0</v>
      </c>
      <c r="AC249">
        <f>indirect(address(249,28))+indirect(address(247,29))-indirect(address(248,29))</f>
        <v>0</v>
      </c>
      <c r="AD249">
        <f>indirect(address(249,29))+indirect(address(247,30))-indirect(address(248,30))</f>
        <v>0</v>
      </c>
      <c r="AE249">
        <f>indirect(address(249,30))+indirect(address(247,31))-indirect(address(248,31))</f>
        <v>0</v>
      </c>
      <c r="AF249">
        <f>indirect(address(249,31))+indirect(address(247,32))-indirect(address(248,32))</f>
        <v>0</v>
      </c>
      <c r="AG249">
        <f>indirect(address(249,32))+indirect(address(247,33))-indirect(address(248,33))</f>
        <v>0</v>
      </c>
      <c r="AH249">
        <f>indirect(address(249,33))+indirect(address(247,34))-indirect(address(248,34))</f>
        <v>0</v>
      </c>
      <c r="AI249">
        <f>indirect(address(249,34))+indirect(address(247,35))-indirect(address(248,35))</f>
        <v>0</v>
      </c>
      <c r="AJ249">
        <f>indirect(address(249,35))+indirect(address(247,36))-indirect(address(248,36))</f>
        <v>0</v>
      </c>
      <c r="AK249">
        <f>indirect(address(249,36))+indirect(address(247,37))-indirect(address(248,37))</f>
        <v>0</v>
      </c>
      <c r="AL249">
        <f>indirect(address(249,37))+indirect(address(247,38))-indirect(address(248,38))</f>
        <v>0</v>
      </c>
      <c r="AM249">
        <f>indirect(address(249,38))+indirect(address(247,39))-indirect(address(248,39))</f>
        <v>0</v>
      </c>
      <c r="AN249">
        <f>indirect(address(249,39))+indirect(address(247,40))-indirect(address(248,40))</f>
        <v>0</v>
      </c>
      <c r="AO249">
        <f>indirect(address(249,40))+indirect(address(247,41))-indirect(address(248,41))</f>
        <v>0</v>
      </c>
    </row>
    <row r="250" spans="1:41">
      <c r="I250" t="s">
        <v>14</v>
      </c>
      <c r="AO250">
        <f>sum(j250:an250)</f>
        <v>0</v>
      </c>
    </row>
    <row r="251" spans="1:41">
      <c r="I251" t="s">
        <v>15</v>
      </c>
      <c r="J251">
        <f>sumif(Plan!B:B,"262-000000-114",Plan!j:j)</f>
        <v>0</v>
      </c>
      <c r="K251">
        <f>sumif(Plan!B:B,"262-000000-114",Plan!k:k)</f>
        <v>0</v>
      </c>
      <c r="L251">
        <f>sumif(Plan!B:B,"262-000000-114",Plan!l:l)</f>
        <v>0</v>
      </c>
      <c r="M251">
        <f>sumif(Plan!B:B,"262-000000-114",Plan!m:m)</f>
        <v>0</v>
      </c>
      <c r="N251">
        <f>sumif(Plan!B:B,"262-000000-114",Plan!n:n)</f>
        <v>0</v>
      </c>
      <c r="O251">
        <f>sumif(Plan!B:B,"262-000000-114",Plan!o:o)</f>
        <v>0</v>
      </c>
      <c r="P251">
        <f>sumif(Plan!B:B,"262-000000-114",Plan!p:p)</f>
        <v>0</v>
      </c>
      <c r="Q251">
        <f>sumif(Plan!B:B,"262-000000-114",Plan!q:q)</f>
        <v>0</v>
      </c>
      <c r="R251">
        <f>sumif(Plan!B:B,"262-000000-114",Plan!r:r)</f>
        <v>0</v>
      </c>
      <c r="S251">
        <f>sumif(Plan!B:B,"262-000000-114",Plan!s:s)</f>
        <v>0</v>
      </c>
      <c r="T251">
        <f>sumif(Plan!B:B,"262-000000-114",Plan!t:t)</f>
        <v>0</v>
      </c>
      <c r="U251">
        <f>sumif(Plan!B:B,"262-000000-114",Plan!u:u)</f>
        <v>0</v>
      </c>
      <c r="V251">
        <f>sumif(Plan!B:B,"262-000000-114",Plan!v:v)</f>
        <v>0</v>
      </c>
      <c r="W251">
        <f>sumif(Plan!B:B,"262-000000-114",Plan!w:w)</f>
        <v>0</v>
      </c>
      <c r="X251">
        <f>sumif(Plan!B:B,"262-000000-114",Plan!x:x)</f>
        <v>0</v>
      </c>
      <c r="Y251">
        <f>sumif(Plan!B:B,"262-000000-114",Plan!y:y)</f>
        <v>0</v>
      </c>
      <c r="Z251">
        <f>sumif(Plan!B:B,"262-000000-114",Plan!z:z)</f>
        <v>0</v>
      </c>
      <c r="AA251">
        <f>sumif(Plan!B:B,"262-000000-114",Plan!aa:aa)</f>
        <v>0</v>
      </c>
      <c r="AB251">
        <f>sumif(Plan!B:B,"262-000000-114",Plan!ab:ab)</f>
        <v>0</v>
      </c>
      <c r="AC251">
        <f>sumif(Plan!B:B,"262-000000-114",Plan!ac:ac)</f>
        <v>0</v>
      </c>
      <c r="AD251">
        <f>sumif(Plan!B:B,"262-000000-114",Plan!ad:ad)</f>
        <v>0</v>
      </c>
      <c r="AE251">
        <f>sumif(Plan!B:B,"262-000000-114",Plan!ae:ae)</f>
        <v>0</v>
      </c>
      <c r="AF251">
        <f>sumif(Plan!B:B,"262-000000-114",Plan!af:af)</f>
        <v>0</v>
      </c>
      <c r="AG251">
        <f>sumif(Plan!B:B,"262-000000-114",Plan!ag:ag)</f>
        <v>0</v>
      </c>
      <c r="AH251">
        <f>sumif(Plan!B:B,"262-000000-114",Plan!ah:ah)</f>
        <v>0</v>
      </c>
      <c r="AI251">
        <f>sumif(Plan!B:B,"262-000000-114",Plan!ai:ai)</f>
        <v>0</v>
      </c>
      <c r="AJ251">
        <f>sumif(Plan!B:B,"262-000000-114",Plan!aj:aj)</f>
        <v>0</v>
      </c>
      <c r="AK251">
        <f>sumif(Plan!B:B,"262-000000-114",Plan!ak:ak)</f>
        <v>0</v>
      </c>
      <c r="AL251">
        <f>sumif(Plan!B:B,"262-000000-114",Plan!al:al)</f>
        <v>0</v>
      </c>
      <c r="AM251">
        <f>sumif(Plan!B:B,"262-000000-114",Plan!am:am)</f>
        <v>0</v>
      </c>
      <c r="AN251">
        <f>sumif(Plan!B:B,"262-000000-114",Plan!an:an)</f>
        <v>0</v>
      </c>
      <c r="AO251">
        <f>sumif(Plan!B:B,"262-000000-114",Plan!ao:ao)</f>
        <v>0</v>
      </c>
    </row>
    <row r="252" spans="1:41">
      <c r="A252" t="s">
        <v>22</v>
      </c>
      <c r="B252" t="s">
        <v>181</v>
      </c>
      <c r="C252" t="s">
        <v>182</v>
      </c>
      <c r="E252">
        <v>1</v>
      </c>
      <c r="H252" t="s">
        <v>16</v>
      </c>
      <c r="J252">
        <f>indirect(address(252,9))+indirect(address(250,10))-indirect(address(251,10))</f>
        <v>0</v>
      </c>
      <c r="K252">
        <f>indirect(address(252,10))+indirect(address(250,11))-indirect(address(251,11))</f>
        <v>0</v>
      </c>
      <c r="L252">
        <f>indirect(address(252,11))+indirect(address(250,12))-indirect(address(251,12))</f>
        <v>0</v>
      </c>
      <c r="M252">
        <f>indirect(address(252,12))+indirect(address(250,13))-indirect(address(251,13))</f>
        <v>0</v>
      </c>
      <c r="N252">
        <f>indirect(address(252,13))+indirect(address(250,14))-indirect(address(251,14))</f>
        <v>0</v>
      </c>
      <c r="O252">
        <f>indirect(address(252,14))+indirect(address(250,15))-indirect(address(251,15))</f>
        <v>0</v>
      </c>
      <c r="P252">
        <f>indirect(address(252,15))+indirect(address(250,16))-indirect(address(251,16))</f>
        <v>0</v>
      </c>
      <c r="Q252">
        <f>indirect(address(252,16))+indirect(address(250,17))-indirect(address(251,17))</f>
        <v>0</v>
      </c>
      <c r="R252">
        <f>indirect(address(252,17))+indirect(address(250,18))-indirect(address(251,18))</f>
        <v>0</v>
      </c>
      <c r="S252">
        <f>indirect(address(252,18))+indirect(address(250,19))-indirect(address(251,19))</f>
        <v>0</v>
      </c>
      <c r="T252">
        <f>indirect(address(252,19))+indirect(address(250,20))-indirect(address(251,20))</f>
        <v>0</v>
      </c>
      <c r="U252">
        <f>indirect(address(252,20))+indirect(address(250,21))-indirect(address(251,21))</f>
        <v>0</v>
      </c>
      <c r="V252">
        <f>indirect(address(252,21))+indirect(address(250,22))-indirect(address(251,22))</f>
        <v>0</v>
      </c>
      <c r="W252">
        <f>indirect(address(252,22))+indirect(address(250,23))-indirect(address(251,23))</f>
        <v>0</v>
      </c>
      <c r="X252">
        <f>indirect(address(252,23))+indirect(address(250,24))-indirect(address(251,24))</f>
        <v>0</v>
      </c>
      <c r="Y252">
        <f>indirect(address(252,24))+indirect(address(250,25))-indirect(address(251,25))</f>
        <v>0</v>
      </c>
      <c r="Z252">
        <f>indirect(address(252,25))+indirect(address(250,26))-indirect(address(251,26))</f>
        <v>0</v>
      </c>
      <c r="AA252">
        <f>indirect(address(252,26))+indirect(address(250,27))-indirect(address(251,27))</f>
        <v>0</v>
      </c>
      <c r="AB252">
        <f>indirect(address(252,27))+indirect(address(250,28))-indirect(address(251,28))</f>
        <v>0</v>
      </c>
      <c r="AC252">
        <f>indirect(address(252,28))+indirect(address(250,29))-indirect(address(251,29))</f>
        <v>0</v>
      </c>
      <c r="AD252">
        <f>indirect(address(252,29))+indirect(address(250,30))-indirect(address(251,30))</f>
        <v>0</v>
      </c>
      <c r="AE252">
        <f>indirect(address(252,30))+indirect(address(250,31))-indirect(address(251,31))</f>
        <v>0</v>
      </c>
      <c r="AF252">
        <f>indirect(address(252,31))+indirect(address(250,32))-indirect(address(251,32))</f>
        <v>0</v>
      </c>
      <c r="AG252">
        <f>indirect(address(252,32))+indirect(address(250,33))-indirect(address(251,33))</f>
        <v>0</v>
      </c>
      <c r="AH252">
        <f>indirect(address(252,33))+indirect(address(250,34))-indirect(address(251,34))</f>
        <v>0</v>
      </c>
      <c r="AI252">
        <f>indirect(address(252,34))+indirect(address(250,35))-indirect(address(251,35))</f>
        <v>0</v>
      </c>
      <c r="AJ252">
        <f>indirect(address(252,35))+indirect(address(250,36))-indirect(address(251,36))</f>
        <v>0</v>
      </c>
      <c r="AK252">
        <f>indirect(address(252,36))+indirect(address(250,37))-indirect(address(251,37))</f>
        <v>0</v>
      </c>
      <c r="AL252">
        <f>indirect(address(252,37))+indirect(address(250,38))-indirect(address(251,38))</f>
        <v>0</v>
      </c>
      <c r="AM252">
        <f>indirect(address(252,38))+indirect(address(250,39))-indirect(address(251,39))</f>
        <v>0</v>
      </c>
      <c r="AN252">
        <f>indirect(address(252,39))+indirect(address(250,40))-indirect(address(251,40))</f>
        <v>0</v>
      </c>
      <c r="AO252">
        <f>indirect(address(252,40))+indirect(address(250,41))-indirect(address(251,41))</f>
        <v>0</v>
      </c>
    </row>
    <row r="253" spans="1:41">
      <c r="I253" t="s">
        <v>14</v>
      </c>
      <c r="AO253">
        <f>sum(j253:an253)</f>
        <v>0</v>
      </c>
    </row>
    <row r="254" spans="1:41">
      <c r="I254" t="s">
        <v>15</v>
      </c>
      <c r="J254">
        <f>sumif(Plan!B:B,"824-718057-200",Plan!j:j)</f>
        <v>0</v>
      </c>
      <c r="K254">
        <f>sumif(Plan!B:B,"824-718057-200",Plan!k:k)</f>
        <v>0</v>
      </c>
      <c r="L254">
        <f>sumif(Plan!B:B,"824-718057-200",Plan!l:l)</f>
        <v>0</v>
      </c>
      <c r="M254">
        <f>sumif(Plan!B:B,"824-718057-200",Plan!m:m)</f>
        <v>0</v>
      </c>
      <c r="N254">
        <f>sumif(Plan!B:B,"824-718057-200",Plan!n:n)</f>
        <v>0</v>
      </c>
      <c r="O254">
        <f>sumif(Plan!B:B,"824-718057-200",Plan!o:o)</f>
        <v>0</v>
      </c>
      <c r="P254">
        <f>sumif(Plan!B:B,"824-718057-200",Plan!p:p)</f>
        <v>0</v>
      </c>
      <c r="Q254">
        <f>sumif(Plan!B:B,"824-718057-200",Plan!q:q)</f>
        <v>0</v>
      </c>
      <c r="R254">
        <f>sumif(Plan!B:B,"824-718057-200",Plan!r:r)</f>
        <v>0</v>
      </c>
      <c r="S254">
        <f>sumif(Plan!B:B,"824-718057-200",Plan!s:s)</f>
        <v>0</v>
      </c>
      <c r="T254">
        <f>sumif(Plan!B:B,"824-718057-200",Plan!t:t)</f>
        <v>0</v>
      </c>
      <c r="U254">
        <f>sumif(Plan!B:B,"824-718057-200",Plan!u:u)</f>
        <v>0</v>
      </c>
      <c r="V254">
        <f>sumif(Plan!B:B,"824-718057-200",Plan!v:v)</f>
        <v>0</v>
      </c>
      <c r="W254">
        <f>sumif(Plan!B:B,"824-718057-200",Plan!w:w)</f>
        <v>0</v>
      </c>
      <c r="X254">
        <f>sumif(Plan!B:B,"824-718057-200",Plan!x:x)</f>
        <v>0</v>
      </c>
      <c r="Y254">
        <f>sumif(Plan!B:B,"824-718057-200",Plan!y:y)</f>
        <v>0</v>
      </c>
      <c r="Z254">
        <f>sumif(Plan!B:B,"824-718057-200",Plan!z:z)</f>
        <v>0</v>
      </c>
      <c r="AA254">
        <f>sumif(Plan!B:B,"824-718057-200",Plan!aa:aa)</f>
        <v>0</v>
      </c>
      <c r="AB254">
        <f>sumif(Plan!B:B,"824-718057-200",Plan!ab:ab)</f>
        <v>0</v>
      </c>
      <c r="AC254">
        <f>sumif(Plan!B:B,"824-718057-200",Plan!ac:ac)</f>
        <v>0</v>
      </c>
      <c r="AD254">
        <f>sumif(Plan!B:B,"824-718057-200",Plan!ad:ad)</f>
        <v>0</v>
      </c>
      <c r="AE254">
        <f>sumif(Plan!B:B,"824-718057-200",Plan!ae:ae)</f>
        <v>0</v>
      </c>
      <c r="AF254">
        <f>sumif(Plan!B:B,"824-718057-200",Plan!af:af)</f>
        <v>0</v>
      </c>
      <c r="AG254">
        <f>sumif(Plan!B:B,"824-718057-200",Plan!ag:ag)</f>
        <v>0</v>
      </c>
      <c r="AH254">
        <f>sumif(Plan!B:B,"824-718057-200",Plan!ah:ah)</f>
        <v>0</v>
      </c>
      <c r="AI254">
        <f>sumif(Plan!B:B,"824-718057-200",Plan!ai:ai)</f>
        <v>0</v>
      </c>
      <c r="AJ254">
        <f>sumif(Plan!B:B,"824-718057-200",Plan!aj:aj)</f>
        <v>0</v>
      </c>
      <c r="AK254">
        <f>sumif(Plan!B:B,"824-718057-200",Plan!ak:ak)</f>
        <v>0</v>
      </c>
      <c r="AL254">
        <f>sumif(Plan!B:B,"824-718057-200",Plan!al:al)</f>
        <v>0</v>
      </c>
      <c r="AM254">
        <f>sumif(Plan!B:B,"824-718057-200",Plan!am:am)</f>
        <v>0</v>
      </c>
      <c r="AN254">
        <f>sumif(Plan!B:B,"824-718057-200",Plan!an:an)</f>
        <v>0</v>
      </c>
      <c r="AO254">
        <f>sumif(Plan!B:B,"824-718057-200",Plan!ao:ao)</f>
        <v>0</v>
      </c>
    </row>
    <row r="255" spans="1:41">
      <c r="A255" t="s">
        <v>17</v>
      </c>
      <c r="B255" t="s">
        <v>184</v>
      </c>
      <c r="C255" t="s">
        <v>178</v>
      </c>
      <c r="E255">
        <v>1</v>
      </c>
      <c r="H255" t="s">
        <v>16</v>
      </c>
      <c r="J255">
        <f>indirect(address(255,9))+indirect(address(253,10))-indirect(address(254,10))</f>
        <v>0</v>
      </c>
      <c r="K255">
        <f>indirect(address(255,10))+indirect(address(253,11))-indirect(address(254,11))</f>
        <v>0</v>
      </c>
      <c r="L255">
        <f>indirect(address(255,11))+indirect(address(253,12))-indirect(address(254,12))</f>
        <v>0</v>
      </c>
      <c r="M255">
        <f>indirect(address(255,12))+indirect(address(253,13))-indirect(address(254,13))</f>
        <v>0</v>
      </c>
      <c r="N255">
        <f>indirect(address(255,13))+indirect(address(253,14))-indirect(address(254,14))</f>
        <v>0</v>
      </c>
      <c r="O255">
        <f>indirect(address(255,14))+indirect(address(253,15))-indirect(address(254,15))</f>
        <v>0</v>
      </c>
      <c r="P255">
        <f>indirect(address(255,15))+indirect(address(253,16))-indirect(address(254,16))</f>
        <v>0</v>
      </c>
      <c r="Q255">
        <f>indirect(address(255,16))+indirect(address(253,17))-indirect(address(254,17))</f>
        <v>0</v>
      </c>
      <c r="R255">
        <f>indirect(address(255,17))+indirect(address(253,18))-indirect(address(254,18))</f>
        <v>0</v>
      </c>
      <c r="S255">
        <f>indirect(address(255,18))+indirect(address(253,19))-indirect(address(254,19))</f>
        <v>0</v>
      </c>
      <c r="T255">
        <f>indirect(address(255,19))+indirect(address(253,20))-indirect(address(254,20))</f>
        <v>0</v>
      </c>
      <c r="U255">
        <f>indirect(address(255,20))+indirect(address(253,21))-indirect(address(254,21))</f>
        <v>0</v>
      </c>
      <c r="V255">
        <f>indirect(address(255,21))+indirect(address(253,22))-indirect(address(254,22))</f>
        <v>0</v>
      </c>
      <c r="W255">
        <f>indirect(address(255,22))+indirect(address(253,23))-indirect(address(254,23))</f>
        <v>0</v>
      </c>
      <c r="X255">
        <f>indirect(address(255,23))+indirect(address(253,24))-indirect(address(254,24))</f>
        <v>0</v>
      </c>
      <c r="Y255">
        <f>indirect(address(255,24))+indirect(address(253,25))-indirect(address(254,25))</f>
        <v>0</v>
      </c>
      <c r="Z255">
        <f>indirect(address(255,25))+indirect(address(253,26))-indirect(address(254,26))</f>
        <v>0</v>
      </c>
      <c r="AA255">
        <f>indirect(address(255,26))+indirect(address(253,27))-indirect(address(254,27))</f>
        <v>0</v>
      </c>
      <c r="AB255">
        <f>indirect(address(255,27))+indirect(address(253,28))-indirect(address(254,28))</f>
        <v>0</v>
      </c>
      <c r="AC255">
        <f>indirect(address(255,28))+indirect(address(253,29))-indirect(address(254,29))</f>
        <v>0</v>
      </c>
      <c r="AD255">
        <f>indirect(address(255,29))+indirect(address(253,30))-indirect(address(254,30))</f>
        <v>0</v>
      </c>
      <c r="AE255">
        <f>indirect(address(255,30))+indirect(address(253,31))-indirect(address(254,31))</f>
        <v>0</v>
      </c>
      <c r="AF255">
        <f>indirect(address(255,31))+indirect(address(253,32))-indirect(address(254,32))</f>
        <v>0</v>
      </c>
      <c r="AG255">
        <f>indirect(address(255,32))+indirect(address(253,33))-indirect(address(254,33))</f>
        <v>0</v>
      </c>
      <c r="AH255">
        <f>indirect(address(255,33))+indirect(address(253,34))-indirect(address(254,34))</f>
        <v>0</v>
      </c>
      <c r="AI255">
        <f>indirect(address(255,34))+indirect(address(253,35))-indirect(address(254,35))</f>
        <v>0</v>
      </c>
      <c r="AJ255">
        <f>indirect(address(255,35))+indirect(address(253,36))-indirect(address(254,36))</f>
        <v>0</v>
      </c>
      <c r="AK255">
        <f>indirect(address(255,36))+indirect(address(253,37))-indirect(address(254,37))</f>
        <v>0</v>
      </c>
      <c r="AL255">
        <f>indirect(address(255,37))+indirect(address(253,38))-indirect(address(254,38))</f>
        <v>0</v>
      </c>
      <c r="AM255">
        <f>indirect(address(255,38))+indirect(address(253,39))-indirect(address(254,39))</f>
        <v>0</v>
      </c>
      <c r="AN255">
        <f>indirect(address(255,39))+indirect(address(253,40))-indirect(address(254,40))</f>
        <v>0</v>
      </c>
      <c r="AO255">
        <f>indirect(address(255,40))+indirect(address(253,41))-indirect(address(254,41))</f>
        <v>0</v>
      </c>
    </row>
    <row r="256" spans="1:41">
      <c r="I256" t="s">
        <v>14</v>
      </c>
      <c r="AO256">
        <f>sum(j256:an256)</f>
        <v>0</v>
      </c>
    </row>
    <row r="257" spans="1:41">
      <c r="I257" t="s">
        <v>15</v>
      </c>
      <c r="J257">
        <f>sumif(Plan!B:B,"824-700000-200",Plan!j:j)</f>
        <v>0</v>
      </c>
      <c r="K257">
        <f>sumif(Plan!B:B,"824-700000-200",Plan!k:k)</f>
        <v>0</v>
      </c>
      <c r="L257">
        <f>sumif(Plan!B:B,"824-700000-200",Plan!l:l)</f>
        <v>0</v>
      </c>
      <c r="M257">
        <f>sumif(Plan!B:B,"824-700000-200",Plan!m:m)</f>
        <v>0</v>
      </c>
      <c r="N257">
        <f>sumif(Plan!B:B,"824-700000-200",Plan!n:n)</f>
        <v>0</v>
      </c>
      <c r="O257">
        <f>sumif(Plan!B:B,"824-700000-200",Plan!o:o)</f>
        <v>0</v>
      </c>
      <c r="P257">
        <f>sumif(Plan!B:B,"824-700000-200",Plan!p:p)</f>
        <v>0</v>
      </c>
      <c r="Q257">
        <f>sumif(Plan!B:B,"824-700000-200",Plan!q:q)</f>
        <v>0</v>
      </c>
      <c r="R257">
        <f>sumif(Plan!B:B,"824-700000-200",Plan!r:r)</f>
        <v>0</v>
      </c>
      <c r="S257">
        <f>sumif(Plan!B:B,"824-700000-200",Plan!s:s)</f>
        <v>0</v>
      </c>
      <c r="T257">
        <f>sumif(Plan!B:B,"824-700000-200",Plan!t:t)</f>
        <v>0</v>
      </c>
      <c r="U257">
        <f>sumif(Plan!B:B,"824-700000-200",Plan!u:u)</f>
        <v>0</v>
      </c>
      <c r="V257">
        <f>sumif(Plan!B:B,"824-700000-200",Plan!v:v)</f>
        <v>0</v>
      </c>
      <c r="W257">
        <f>sumif(Plan!B:B,"824-700000-200",Plan!w:w)</f>
        <v>0</v>
      </c>
      <c r="X257">
        <f>sumif(Plan!B:B,"824-700000-200",Plan!x:x)</f>
        <v>0</v>
      </c>
      <c r="Y257">
        <f>sumif(Plan!B:B,"824-700000-200",Plan!y:y)</f>
        <v>0</v>
      </c>
      <c r="Z257">
        <f>sumif(Plan!B:B,"824-700000-200",Plan!z:z)</f>
        <v>0</v>
      </c>
      <c r="AA257">
        <f>sumif(Plan!B:B,"824-700000-200",Plan!aa:aa)</f>
        <v>0</v>
      </c>
      <c r="AB257">
        <f>sumif(Plan!B:B,"824-700000-200",Plan!ab:ab)</f>
        <v>0</v>
      </c>
      <c r="AC257">
        <f>sumif(Plan!B:B,"824-700000-200",Plan!ac:ac)</f>
        <v>0</v>
      </c>
      <c r="AD257">
        <f>sumif(Plan!B:B,"824-700000-200",Plan!ad:ad)</f>
        <v>0</v>
      </c>
      <c r="AE257">
        <f>sumif(Plan!B:B,"824-700000-200",Plan!ae:ae)</f>
        <v>0</v>
      </c>
      <c r="AF257">
        <f>sumif(Plan!B:B,"824-700000-200",Plan!af:af)</f>
        <v>0</v>
      </c>
      <c r="AG257">
        <f>sumif(Plan!B:B,"824-700000-200",Plan!ag:ag)</f>
        <v>0</v>
      </c>
      <c r="AH257">
        <f>sumif(Plan!B:B,"824-700000-200",Plan!ah:ah)</f>
        <v>0</v>
      </c>
      <c r="AI257">
        <f>sumif(Plan!B:B,"824-700000-200",Plan!ai:ai)</f>
        <v>0</v>
      </c>
      <c r="AJ257">
        <f>sumif(Plan!B:B,"824-700000-200",Plan!aj:aj)</f>
        <v>0</v>
      </c>
      <c r="AK257">
        <f>sumif(Plan!B:B,"824-700000-200",Plan!ak:ak)</f>
        <v>0</v>
      </c>
      <c r="AL257">
        <f>sumif(Plan!B:B,"824-700000-200",Plan!al:al)</f>
        <v>0</v>
      </c>
      <c r="AM257">
        <f>sumif(Plan!B:B,"824-700000-200",Plan!am:am)</f>
        <v>0</v>
      </c>
      <c r="AN257">
        <f>sumif(Plan!B:B,"824-700000-200",Plan!an:an)</f>
        <v>0</v>
      </c>
      <c r="AO257">
        <f>sumif(Plan!B:B,"824-700000-200",Plan!ao:ao)</f>
        <v>0</v>
      </c>
    </row>
    <row r="258" spans="1:41">
      <c r="A258" t="s">
        <v>17</v>
      </c>
      <c r="B258" t="s">
        <v>187</v>
      </c>
      <c r="C258" t="s">
        <v>188</v>
      </c>
      <c r="E258">
        <v>1</v>
      </c>
      <c r="H258" t="s">
        <v>16</v>
      </c>
      <c r="J258">
        <f>indirect(address(258,9))+indirect(address(256,10))-indirect(address(257,10))</f>
        <v>0</v>
      </c>
      <c r="K258">
        <f>indirect(address(258,10))+indirect(address(256,11))-indirect(address(257,11))</f>
        <v>0</v>
      </c>
      <c r="L258">
        <f>indirect(address(258,11))+indirect(address(256,12))-indirect(address(257,12))</f>
        <v>0</v>
      </c>
      <c r="M258">
        <f>indirect(address(258,12))+indirect(address(256,13))-indirect(address(257,13))</f>
        <v>0</v>
      </c>
      <c r="N258">
        <f>indirect(address(258,13))+indirect(address(256,14))-indirect(address(257,14))</f>
        <v>0</v>
      </c>
      <c r="O258">
        <f>indirect(address(258,14))+indirect(address(256,15))-indirect(address(257,15))</f>
        <v>0</v>
      </c>
      <c r="P258">
        <f>indirect(address(258,15))+indirect(address(256,16))-indirect(address(257,16))</f>
        <v>0</v>
      </c>
      <c r="Q258">
        <f>indirect(address(258,16))+indirect(address(256,17))-indirect(address(257,17))</f>
        <v>0</v>
      </c>
      <c r="R258">
        <f>indirect(address(258,17))+indirect(address(256,18))-indirect(address(257,18))</f>
        <v>0</v>
      </c>
      <c r="S258">
        <f>indirect(address(258,18))+indirect(address(256,19))-indirect(address(257,19))</f>
        <v>0</v>
      </c>
      <c r="T258">
        <f>indirect(address(258,19))+indirect(address(256,20))-indirect(address(257,20))</f>
        <v>0</v>
      </c>
      <c r="U258">
        <f>indirect(address(258,20))+indirect(address(256,21))-indirect(address(257,21))</f>
        <v>0</v>
      </c>
      <c r="V258">
        <f>indirect(address(258,21))+indirect(address(256,22))-indirect(address(257,22))</f>
        <v>0</v>
      </c>
      <c r="W258">
        <f>indirect(address(258,22))+indirect(address(256,23))-indirect(address(257,23))</f>
        <v>0</v>
      </c>
      <c r="X258">
        <f>indirect(address(258,23))+indirect(address(256,24))-indirect(address(257,24))</f>
        <v>0</v>
      </c>
      <c r="Y258">
        <f>indirect(address(258,24))+indirect(address(256,25))-indirect(address(257,25))</f>
        <v>0</v>
      </c>
      <c r="Z258">
        <f>indirect(address(258,25))+indirect(address(256,26))-indirect(address(257,26))</f>
        <v>0</v>
      </c>
      <c r="AA258">
        <f>indirect(address(258,26))+indirect(address(256,27))-indirect(address(257,27))</f>
        <v>0</v>
      </c>
      <c r="AB258">
        <f>indirect(address(258,27))+indirect(address(256,28))-indirect(address(257,28))</f>
        <v>0</v>
      </c>
      <c r="AC258">
        <f>indirect(address(258,28))+indirect(address(256,29))-indirect(address(257,29))</f>
        <v>0</v>
      </c>
      <c r="AD258">
        <f>indirect(address(258,29))+indirect(address(256,30))-indirect(address(257,30))</f>
        <v>0</v>
      </c>
      <c r="AE258">
        <f>indirect(address(258,30))+indirect(address(256,31))-indirect(address(257,31))</f>
        <v>0</v>
      </c>
      <c r="AF258">
        <f>indirect(address(258,31))+indirect(address(256,32))-indirect(address(257,32))</f>
        <v>0</v>
      </c>
      <c r="AG258">
        <f>indirect(address(258,32))+indirect(address(256,33))-indirect(address(257,33))</f>
        <v>0</v>
      </c>
      <c r="AH258">
        <f>indirect(address(258,33))+indirect(address(256,34))-indirect(address(257,34))</f>
        <v>0</v>
      </c>
      <c r="AI258">
        <f>indirect(address(258,34))+indirect(address(256,35))-indirect(address(257,35))</f>
        <v>0</v>
      </c>
      <c r="AJ258">
        <f>indirect(address(258,35))+indirect(address(256,36))-indirect(address(257,36))</f>
        <v>0</v>
      </c>
      <c r="AK258">
        <f>indirect(address(258,36))+indirect(address(256,37))-indirect(address(257,37))</f>
        <v>0</v>
      </c>
      <c r="AL258">
        <f>indirect(address(258,37))+indirect(address(256,38))-indirect(address(257,38))</f>
        <v>0</v>
      </c>
      <c r="AM258">
        <f>indirect(address(258,38))+indirect(address(256,39))-indirect(address(257,39))</f>
        <v>0</v>
      </c>
      <c r="AN258">
        <f>indirect(address(258,39))+indirect(address(256,40))-indirect(address(257,40))</f>
        <v>0</v>
      </c>
      <c r="AO258">
        <f>indirect(address(258,40))+indirect(address(256,41))-indirect(address(257,41))</f>
        <v>0</v>
      </c>
    </row>
    <row r="259" spans="1:41">
      <c r="I259" t="s">
        <v>14</v>
      </c>
      <c r="AO259">
        <f>sum(j259:an259)</f>
        <v>0</v>
      </c>
    </row>
    <row r="260" spans="1:41">
      <c r="I260" t="s">
        <v>15</v>
      </c>
      <c r="J260">
        <f>sumif(Plan!B:B,"824-707000-200",Plan!j:j)</f>
        <v>0</v>
      </c>
      <c r="K260">
        <f>sumif(Plan!B:B,"824-707000-200",Plan!k:k)</f>
        <v>0</v>
      </c>
      <c r="L260">
        <f>sumif(Plan!B:B,"824-707000-200",Plan!l:l)</f>
        <v>0</v>
      </c>
      <c r="M260">
        <f>sumif(Plan!B:B,"824-707000-200",Plan!m:m)</f>
        <v>0</v>
      </c>
      <c r="N260">
        <f>sumif(Plan!B:B,"824-707000-200",Plan!n:n)</f>
        <v>0</v>
      </c>
      <c r="O260">
        <f>sumif(Plan!B:B,"824-707000-200",Plan!o:o)</f>
        <v>0</v>
      </c>
      <c r="P260">
        <f>sumif(Plan!B:B,"824-707000-200",Plan!p:p)</f>
        <v>0</v>
      </c>
      <c r="Q260">
        <f>sumif(Plan!B:B,"824-707000-200",Plan!q:q)</f>
        <v>0</v>
      </c>
      <c r="R260">
        <f>sumif(Plan!B:B,"824-707000-200",Plan!r:r)</f>
        <v>0</v>
      </c>
      <c r="S260">
        <f>sumif(Plan!B:B,"824-707000-200",Plan!s:s)</f>
        <v>0</v>
      </c>
      <c r="T260">
        <f>sumif(Plan!B:B,"824-707000-200",Plan!t:t)</f>
        <v>0</v>
      </c>
      <c r="U260">
        <f>sumif(Plan!B:B,"824-707000-200",Plan!u:u)</f>
        <v>0</v>
      </c>
      <c r="V260">
        <f>sumif(Plan!B:B,"824-707000-200",Plan!v:v)</f>
        <v>0</v>
      </c>
      <c r="W260">
        <f>sumif(Plan!B:B,"824-707000-200",Plan!w:w)</f>
        <v>0</v>
      </c>
      <c r="X260">
        <f>sumif(Plan!B:B,"824-707000-200",Plan!x:x)</f>
        <v>0</v>
      </c>
      <c r="Y260">
        <f>sumif(Plan!B:B,"824-707000-200",Plan!y:y)</f>
        <v>0</v>
      </c>
      <c r="Z260">
        <f>sumif(Plan!B:B,"824-707000-200",Plan!z:z)</f>
        <v>0</v>
      </c>
      <c r="AA260">
        <f>sumif(Plan!B:B,"824-707000-200",Plan!aa:aa)</f>
        <v>0</v>
      </c>
      <c r="AB260">
        <f>sumif(Plan!B:B,"824-707000-200",Plan!ab:ab)</f>
        <v>0</v>
      </c>
      <c r="AC260">
        <f>sumif(Plan!B:B,"824-707000-200",Plan!ac:ac)</f>
        <v>0</v>
      </c>
      <c r="AD260">
        <f>sumif(Plan!B:B,"824-707000-200",Plan!ad:ad)</f>
        <v>0</v>
      </c>
      <c r="AE260">
        <f>sumif(Plan!B:B,"824-707000-200",Plan!ae:ae)</f>
        <v>0</v>
      </c>
      <c r="AF260">
        <f>sumif(Plan!B:B,"824-707000-200",Plan!af:af)</f>
        <v>0</v>
      </c>
      <c r="AG260">
        <f>sumif(Plan!B:B,"824-707000-200",Plan!ag:ag)</f>
        <v>0</v>
      </c>
      <c r="AH260">
        <f>sumif(Plan!B:B,"824-707000-200",Plan!ah:ah)</f>
        <v>0</v>
      </c>
      <c r="AI260">
        <f>sumif(Plan!B:B,"824-707000-200",Plan!ai:ai)</f>
        <v>0</v>
      </c>
      <c r="AJ260">
        <f>sumif(Plan!B:B,"824-707000-200",Plan!aj:aj)</f>
        <v>0</v>
      </c>
      <c r="AK260">
        <f>sumif(Plan!B:B,"824-707000-200",Plan!ak:ak)</f>
        <v>0</v>
      </c>
      <c r="AL260">
        <f>sumif(Plan!B:B,"824-707000-200",Plan!al:al)</f>
        <v>0</v>
      </c>
      <c r="AM260">
        <f>sumif(Plan!B:B,"824-707000-200",Plan!am:am)</f>
        <v>0</v>
      </c>
      <c r="AN260">
        <f>sumif(Plan!B:B,"824-707000-200",Plan!an:an)</f>
        <v>0</v>
      </c>
      <c r="AO260">
        <f>sumif(Plan!B:B,"824-707000-200",Plan!ao:ao)</f>
        <v>0</v>
      </c>
    </row>
    <row r="261" spans="1:41">
      <c r="A261" t="s">
        <v>17</v>
      </c>
      <c r="B261" t="s">
        <v>189</v>
      </c>
      <c r="C261" t="s">
        <v>190</v>
      </c>
      <c r="E261">
        <v>1</v>
      </c>
      <c r="H261" t="s">
        <v>16</v>
      </c>
      <c r="J261">
        <f>indirect(address(261,9))+indirect(address(259,10))-indirect(address(260,10))</f>
        <v>0</v>
      </c>
      <c r="K261">
        <f>indirect(address(261,10))+indirect(address(259,11))-indirect(address(260,11))</f>
        <v>0</v>
      </c>
      <c r="L261">
        <f>indirect(address(261,11))+indirect(address(259,12))-indirect(address(260,12))</f>
        <v>0</v>
      </c>
      <c r="M261">
        <f>indirect(address(261,12))+indirect(address(259,13))-indirect(address(260,13))</f>
        <v>0</v>
      </c>
      <c r="N261">
        <f>indirect(address(261,13))+indirect(address(259,14))-indirect(address(260,14))</f>
        <v>0</v>
      </c>
      <c r="O261">
        <f>indirect(address(261,14))+indirect(address(259,15))-indirect(address(260,15))</f>
        <v>0</v>
      </c>
      <c r="P261">
        <f>indirect(address(261,15))+indirect(address(259,16))-indirect(address(260,16))</f>
        <v>0</v>
      </c>
      <c r="Q261">
        <f>indirect(address(261,16))+indirect(address(259,17))-indirect(address(260,17))</f>
        <v>0</v>
      </c>
      <c r="R261">
        <f>indirect(address(261,17))+indirect(address(259,18))-indirect(address(260,18))</f>
        <v>0</v>
      </c>
      <c r="S261">
        <f>indirect(address(261,18))+indirect(address(259,19))-indirect(address(260,19))</f>
        <v>0</v>
      </c>
      <c r="T261">
        <f>indirect(address(261,19))+indirect(address(259,20))-indirect(address(260,20))</f>
        <v>0</v>
      </c>
      <c r="U261">
        <f>indirect(address(261,20))+indirect(address(259,21))-indirect(address(260,21))</f>
        <v>0</v>
      </c>
      <c r="V261">
        <f>indirect(address(261,21))+indirect(address(259,22))-indirect(address(260,22))</f>
        <v>0</v>
      </c>
      <c r="W261">
        <f>indirect(address(261,22))+indirect(address(259,23))-indirect(address(260,23))</f>
        <v>0</v>
      </c>
      <c r="X261">
        <f>indirect(address(261,23))+indirect(address(259,24))-indirect(address(260,24))</f>
        <v>0</v>
      </c>
      <c r="Y261">
        <f>indirect(address(261,24))+indirect(address(259,25))-indirect(address(260,25))</f>
        <v>0</v>
      </c>
      <c r="Z261">
        <f>indirect(address(261,25))+indirect(address(259,26))-indirect(address(260,26))</f>
        <v>0</v>
      </c>
      <c r="AA261">
        <f>indirect(address(261,26))+indirect(address(259,27))-indirect(address(260,27))</f>
        <v>0</v>
      </c>
      <c r="AB261">
        <f>indirect(address(261,27))+indirect(address(259,28))-indirect(address(260,28))</f>
        <v>0</v>
      </c>
      <c r="AC261">
        <f>indirect(address(261,28))+indirect(address(259,29))-indirect(address(260,29))</f>
        <v>0</v>
      </c>
      <c r="AD261">
        <f>indirect(address(261,29))+indirect(address(259,30))-indirect(address(260,30))</f>
        <v>0</v>
      </c>
      <c r="AE261">
        <f>indirect(address(261,30))+indirect(address(259,31))-indirect(address(260,31))</f>
        <v>0</v>
      </c>
      <c r="AF261">
        <f>indirect(address(261,31))+indirect(address(259,32))-indirect(address(260,32))</f>
        <v>0</v>
      </c>
      <c r="AG261">
        <f>indirect(address(261,32))+indirect(address(259,33))-indirect(address(260,33))</f>
        <v>0</v>
      </c>
      <c r="AH261">
        <f>indirect(address(261,33))+indirect(address(259,34))-indirect(address(260,34))</f>
        <v>0</v>
      </c>
      <c r="AI261">
        <f>indirect(address(261,34))+indirect(address(259,35))-indirect(address(260,35))</f>
        <v>0</v>
      </c>
      <c r="AJ261">
        <f>indirect(address(261,35))+indirect(address(259,36))-indirect(address(260,36))</f>
        <v>0</v>
      </c>
      <c r="AK261">
        <f>indirect(address(261,36))+indirect(address(259,37))-indirect(address(260,37))</f>
        <v>0</v>
      </c>
      <c r="AL261">
        <f>indirect(address(261,37))+indirect(address(259,38))-indirect(address(260,38))</f>
        <v>0</v>
      </c>
      <c r="AM261">
        <f>indirect(address(261,38))+indirect(address(259,39))-indirect(address(260,39))</f>
        <v>0</v>
      </c>
      <c r="AN261">
        <f>indirect(address(261,39))+indirect(address(259,40))-indirect(address(260,40))</f>
        <v>0</v>
      </c>
      <c r="AO261">
        <f>indirect(address(261,40))+indirect(address(259,41))-indirect(address(260,41))</f>
        <v>0</v>
      </c>
    </row>
    <row r="262" spans="1:41">
      <c r="I262" t="s">
        <v>14</v>
      </c>
      <c r="AO262">
        <f>sum(j262:an262)</f>
        <v>0</v>
      </c>
    </row>
    <row r="263" spans="1:41">
      <c r="I263" t="s">
        <v>15</v>
      </c>
      <c r="J263">
        <f>sumif(Plan!B:B,"263-000000-015",Plan!j:j)</f>
        <v>0</v>
      </c>
      <c r="K263">
        <f>sumif(Plan!B:B,"263-000000-015",Plan!k:k)</f>
        <v>0</v>
      </c>
      <c r="L263">
        <f>sumif(Plan!B:B,"263-000000-015",Plan!l:l)</f>
        <v>0</v>
      </c>
      <c r="M263">
        <f>sumif(Plan!B:B,"263-000000-015",Plan!m:m)</f>
        <v>0</v>
      </c>
      <c r="N263">
        <f>sumif(Plan!B:B,"263-000000-015",Plan!n:n)</f>
        <v>0</v>
      </c>
      <c r="O263">
        <f>sumif(Plan!B:B,"263-000000-015",Plan!o:o)</f>
        <v>0</v>
      </c>
      <c r="P263">
        <f>sumif(Plan!B:B,"263-000000-015",Plan!p:p)</f>
        <v>0</v>
      </c>
      <c r="Q263">
        <f>sumif(Plan!B:B,"263-000000-015",Plan!q:q)</f>
        <v>0</v>
      </c>
      <c r="R263">
        <f>sumif(Plan!B:B,"263-000000-015",Plan!r:r)</f>
        <v>0</v>
      </c>
      <c r="S263">
        <f>sumif(Plan!B:B,"263-000000-015",Plan!s:s)</f>
        <v>0</v>
      </c>
      <c r="T263">
        <f>sumif(Plan!B:B,"263-000000-015",Plan!t:t)</f>
        <v>0</v>
      </c>
      <c r="U263">
        <f>sumif(Plan!B:B,"263-000000-015",Plan!u:u)</f>
        <v>0</v>
      </c>
      <c r="V263">
        <f>sumif(Plan!B:B,"263-000000-015",Plan!v:v)</f>
        <v>0</v>
      </c>
      <c r="W263">
        <f>sumif(Plan!B:B,"263-000000-015",Plan!w:w)</f>
        <v>0</v>
      </c>
      <c r="X263">
        <f>sumif(Plan!B:B,"263-000000-015",Plan!x:x)</f>
        <v>0</v>
      </c>
      <c r="Y263">
        <f>sumif(Plan!B:B,"263-000000-015",Plan!y:y)</f>
        <v>0</v>
      </c>
      <c r="Z263">
        <f>sumif(Plan!B:B,"263-000000-015",Plan!z:z)</f>
        <v>0</v>
      </c>
      <c r="AA263">
        <f>sumif(Plan!B:B,"263-000000-015",Plan!aa:aa)</f>
        <v>0</v>
      </c>
      <c r="AB263">
        <f>sumif(Plan!B:B,"263-000000-015",Plan!ab:ab)</f>
        <v>0</v>
      </c>
      <c r="AC263">
        <f>sumif(Plan!B:B,"263-000000-015",Plan!ac:ac)</f>
        <v>0</v>
      </c>
      <c r="AD263">
        <f>sumif(Plan!B:B,"263-000000-015",Plan!ad:ad)</f>
        <v>0</v>
      </c>
      <c r="AE263">
        <f>sumif(Plan!B:B,"263-000000-015",Plan!ae:ae)</f>
        <v>0</v>
      </c>
      <c r="AF263">
        <f>sumif(Plan!B:B,"263-000000-015",Plan!af:af)</f>
        <v>0</v>
      </c>
      <c r="AG263">
        <f>sumif(Plan!B:B,"263-000000-015",Plan!ag:ag)</f>
        <v>0</v>
      </c>
      <c r="AH263">
        <f>sumif(Plan!B:B,"263-000000-015",Plan!ah:ah)</f>
        <v>0</v>
      </c>
      <c r="AI263">
        <f>sumif(Plan!B:B,"263-000000-015",Plan!ai:ai)</f>
        <v>0</v>
      </c>
      <c r="AJ263">
        <f>sumif(Plan!B:B,"263-000000-015",Plan!aj:aj)</f>
        <v>0</v>
      </c>
      <c r="AK263">
        <f>sumif(Plan!B:B,"263-000000-015",Plan!ak:ak)</f>
        <v>0</v>
      </c>
      <c r="AL263">
        <f>sumif(Plan!B:B,"263-000000-015",Plan!al:al)</f>
        <v>0</v>
      </c>
      <c r="AM263">
        <f>sumif(Plan!B:B,"263-000000-015",Plan!am:am)</f>
        <v>0</v>
      </c>
      <c r="AN263">
        <f>sumif(Plan!B:B,"263-000000-015",Plan!an:an)</f>
        <v>0</v>
      </c>
      <c r="AO263">
        <f>sumif(Plan!B:B,"263-000000-015",Plan!ao:ao)</f>
        <v>0</v>
      </c>
    </row>
    <row r="264" spans="1:41">
      <c r="A264" t="s">
        <v>22</v>
      </c>
      <c r="B264" t="s">
        <v>191</v>
      </c>
      <c r="C264" t="s">
        <v>192</v>
      </c>
      <c r="E264">
        <v>2</v>
      </c>
      <c r="H264" t="s">
        <v>16</v>
      </c>
      <c r="J264">
        <f>indirect(address(264,9))+indirect(address(262,10))-indirect(address(263,10))</f>
        <v>0</v>
      </c>
      <c r="K264">
        <f>indirect(address(264,10))+indirect(address(262,11))-indirect(address(263,11))</f>
        <v>0</v>
      </c>
      <c r="L264">
        <f>indirect(address(264,11))+indirect(address(262,12))-indirect(address(263,12))</f>
        <v>0</v>
      </c>
      <c r="M264">
        <f>indirect(address(264,12))+indirect(address(262,13))-indirect(address(263,13))</f>
        <v>0</v>
      </c>
      <c r="N264">
        <f>indirect(address(264,13))+indirect(address(262,14))-indirect(address(263,14))</f>
        <v>0</v>
      </c>
      <c r="O264">
        <f>indirect(address(264,14))+indirect(address(262,15))-indirect(address(263,15))</f>
        <v>0</v>
      </c>
      <c r="P264">
        <f>indirect(address(264,15))+indirect(address(262,16))-indirect(address(263,16))</f>
        <v>0</v>
      </c>
      <c r="Q264">
        <f>indirect(address(264,16))+indirect(address(262,17))-indirect(address(263,17))</f>
        <v>0</v>
      </c>
      <c r="R264">
        <f>indirect(address(264,17))+indirect(address(262,18))-indirect(address(263,18))</f>
        <v>0</v>
      </c>
      <c r="S264">
        <f>indirect(address(264,18))+indirect(address(262,19))-indirect(address(263,19))</f>
        <v>0</v>
      </c>
      <c r="T264">
        <f>indirect(address(264,19))+indirect(address(262,20))-indirect(address(263,20))</f>
        <v>0</v>
      </c>
      <c r="U264">
        <f>indirect(address(264,20))+indirect(address(262,21))-indirect(address(263,21))</f>
        <v>0</v>
      </c>
      <c r="V264">
        <f>indirect(address(264,21))+indirect(address(262,22))-indirect(address(263,22))</f>
        <v>0</v>
      </c>
      <c r="W264">
        <f>indirect(address(264,22))+indirect(address(262,23))-indirect(address(263,23))</f>
        <v>0</v>
      </c>
      <c r="X264">
        <f>indirect(address(264,23))+indirect(address(262,24))-indirect(address(263,24))</f>
        <v>0</v>
      </c>
      <c r="Y264">
        <f>indirect(address(264,24))+indirect(address(262,25))-indirect(address(263,25))</f>
        <v>0</v>
      </c>
      <c r="Z264">
        <f>indirect(address(264,25))+indirect(address(262,26))-indirect(address(263,26))</f>
        <v>0</v>
      </c>
      <c r="AA264">
        <f>indirect(address(264,26))+indirect(address(262,27))-indirect(address(263,27))</f>
        <v>0</v>
      </c>
      <c r="AB264">
        <f>indirect(address(264,27))+indirect(address(262,28))-indirect(address(263,28))</f>
        <v>0</v>
      </c>
      <c r="AC264">
        <f>indirect(address(264,28))+indirect(address(262,29))-indirect(address(263,29))</f>
        <v>0</v>
      </c>
      <c r="AD264">
        <f>indirect(address(264,29))+indirect(address(262,30))-indirect(address(263,30))</f>
        <v>0</v>
      </c>
      <c r="AE264">
        <f>indirect(address(264,30))+indirect(address(262,31))-indirect(address(263,31))</f>
        <v>0</v>
      </c>
      <c r="AF264">
        <f>indirect(address(264,31))+indirect(address(262,32))-indirect(address(263,32))</f>
        <v>0</v>
      </c>
      <c r="AG264">
        <f>indirect(address(264,32))+indirect(address(262,33))-indirect(address(263,33))</f>
        <v>0</v>
      </c>
      <c r="AH264">
        <f>indirect(address(264,33))+indirect(address(262,34))-indirect(address(263,34))</f>
        <v>0</v>
      </c>
      <c r="AI264">
        <f>indirect(address(264,34))+indirect(address(262,35))-indirect(address(263,35))</f>
        <v>0</v>
      </c>
      <c r="AJ264">
        <f>indirect(address(264,35))+indirect(address(262,36))-indirect(address(263,36))</f>
        <v>0</v>
      </c>
      <c r="AK264">
        <f>indirect(address(264,36))+indirect(address(262,37))-indirect(address(263,37))</f>
        <v>0</v>
      </c>
      <c r="AL264">
        <f>indirect(address(264,37))+indirect(address(262,38))-indirect(address(263,38))</f>
        <v>0</v>
      </c>
      <c r="AM264">
        <f>indirect(address(264,38))+indirect(address(262,39))-indirect(address(263,39))</f>
        <v>0</v>
      </c>
      <c r="AN264">
        <f>indirect(address(264,39))+indirect(address(262,40))-indirect(address(263,40))</f>
        <v>0</v>
      </c>
      <c r="AO264">
        <f>indirect(address(264,40))+indirect(address(262,41))-indirect(address(263,41))</f>
        <v>0</v>
      </c>
    </row>
    <row r="265" spans="1:41">
      <c r="I265" t="s">
        <v>14</v>
      </c>
      <c r="AO265">
        <f>sum(j265:an265)</f>
        <v>0</v>
      </c>
    </row>
    <row r="266" spans="1:41">
      <c r="I266" t="s">
        <v>15</v>
      </c>
      <c r="J266">
        <f>sumif(Plan!B:B,"262-000000-034",Plan!j:j)</f>
        <v>0</v>
      </c>
      <c r="K266">
        <f>sumif(Plan!B:B,"262-000000-034",Plan!k:k)</f>
        <v>0</v>
      </c>
      <c r="L266">
        <f>sumif(Plan!B:B,"262-000000-034",Plan!l:l)</f>
        <v>0</v>
      </c>
      <c r="M266">
        <f>sumif(Plan!B:B,"262-000000-034",Plan!m:m)</f>
        <v>0</v>
      </c>
      <c r="N266">
        <f>sumif(Plan!B:B,"262-000000-034",Plan!n:n)</f>
        <v>0</v>
      </c>
      <c r="O266">
        <f>sumif(Plan!B:B,"262-000000-034",Plan!o:o)</f>
        <v>0</v>
      </c>
      <c r="P266">
        <f>sumif(Plan!B:B,"262-000000-034",Plan!p:p)</f>
        <v>0</v>
      </c>
      <c r="Q266">
        <f>sumif(Plan!B:B,"262-000000-034",Plan!q:q)</f>
        <v>0</v>
      </c>
      <c r="R266">
        <f>sumif(Plan!B:B,"262-000000-034",Plan!r:r)</f>
        <v>0</v>
      </c>
      <c r="S266">
        <f>sumif(Plan!B:B,"262-000000-034",Plan!s:s)</f>
        <v>0</v>
      </c>
      <c r="T266">
        <f>sumif(Plan!B:B,"262-000000-034",Plan!t:t)</f>
        <v>0</v>
      </c>
      <c r="U266">
        <f>sumif(Plan!B:B,"262-000000-034",Plan!u:u)</f>
        <v>0</v>
      </c>
      <c r="V266">
        <f>sumif(Plan!B:B,"262-000000-034",Plan!v:v)</f>
        <v>0</v>
      </c>
      <c r="W266">
        <f>sumif(Plan!B:B,"262-000000-034",Plan!w:w)</f>
        <v>0</v>
      </c>
      <c r="X266">
        <f>sumif(Plan!B:B,"262-000000-034",Plan!x:x)</f>
        <v>0</v>
      </c>
      <c r="Y266">
        <f>sumif(Plan!B:B,"262-000000-034",Plan!y:y)</f>
        <v>0</v>
      </c>
      <c r="Z266">
        <f>sumif(Plan!B:B,"262-000000-034",Plan!z:z)</f>
        <v>0</v>
      </c>
      <c r="AA266">
        <f>sumif(Plan!B:B,"262-000000-034",Plan!aa:aa)</f>
        <v>0</v>
      </c>
      <c r="AB266">
        <f>sumif(Plan!B:B,"262-000000-034",Plan!ab:ab)</f>
        <v>0</v>
      </c>
      <c r="AC266">
        <f>sumif(Plan!B:B,"262-000000-034",Plan!ac:ac)</f>
        <v>0</v>
      </c>
      <c r="AD266">
        <f>sumif(Plan!B:B,"262-000000-034",Plan!ad:ad)</f>
        <v>0</v>
      </c>
      <c r="AE266">
        <f>sumif(Plan!B:B,"262-000000-034",Plan!ae:ae)</f>
        <v>0</v>
      </c>
      <c r="AF266">
        <f>sumif(Plan!B:B,"262-000000-034",Plan!af:af)</f>
        <v>0</v>
      </c>
      <c r="AG266">
        <f>sumif(Plan!B:B,"262-000000-034",Plan!ag:ag)</f>
        <v>0</v>
      </c>
      <c r="AH266">
        <f>sumif(Plan!B:B,"262-000000-034",Plan!ah:ah)</f>
        <v>0</v>
      </c>
      <c r="AI266">
        <f>sumif(Plan!B:B,"262-000000-034",Plan!ai:ai)</f>
        <v>0</v>
      </c>
      <c r="AJ266">
        <f>sumif(Plan!B:B,"262-000000-034",Plan!aj:aj)</f>
        <v>0</v>
      </c>
      <c r="AK266">
        <f>sumif(Plan!B:B,"262-000000-034",Plan!ak:ak)</f>
        <v>0</v>
      </c>
      <c r="AL266">
        <f>sumif(Plan!B:B,"262-000000-034",Plan!al:al)</f>
        <v>0</v>
      </c>
      <c r="AM266">
        <f>sumif(Plan!B:B,"262-000000-034",Plan!am:am)</f>
        <v>0</v>
      </c>
      <c r="AN266">
        <f>sumif(Plan!B:B,"262-000000-034",Plan!an:an)</f>
        <v>0</v>
      </c>
      <c r="AO266">
        <f>sumif(Plan!B:B,"262-000000-034",Plan!ao:ao)</f>
        <v>0</v>
      </c>
    </row>
    <row r="267" spans="1:41">
      <c r="A267" t="s">
        <v>22</v>
      </c>
      <c r="B267" t="s">
        <v>193</v>
      </c>
      <c r="C267" t="s">
        <v>194</v>
      </c>
      <c r="E267">
        <v>3</v>
      </c>
      <c r="H267" t="s">
        <v>16</v>
      </c>
      <c r="J267">
        <f>indirect(address(267,9))+indirect(address(265,10))-indirect(address(266,10))</f>
        <v>0</v>
      </c>
      <c r="K267">
        <f>indirect(address(267,10))+indirect(address(265,11))-indirect(address(266,11))</f>
        <v>0</v>
      </c>
      <c r="L267">
        <f>indirect(address(267,11))+indirect(address(265,12))-indirect(address(266,12))</f>
        <v>0</v>
      </c>
      <c r="M267">
        <f>indirect(address(267,12))+indirect(address(265,13))-indirect(address(266,13))</f>
        <v>0</v>
      </c>
      <c r="N267">
        <f>indirect(address(267,13))+indirect(address(265,14))-indirect(address(266,14))</f>
        <v>0</v>
      </c>
      <c r="O267">
        <f>indirect(address(267,14))+indirect(address(265,15))-indirect(address(266,15))</f>
        <v>0</v>
      </c>
      <c r="P267">
        <f>indirect(address(267,15))+indirect(address(265,16))-indirect(address(266,16))</f>
        <v>0</v>
      </c>
      <c r="Q267">
        <f>indirect(address(267,16))+indirect(address(265,17))-indirect(address(266,17))</f>
        <v>0</v>
      </c>
      <c r="R267">
        <f>indirect(address(267,17))+indirect(address(265,18))-indirect(address(266,18))</f>
        <v>0</v>
      </c>
      <c r="S267">
        <f>indirect(address(267,18))+indirect(address(265,19))-indirect(address(266,19))</f>
        <v>0</v>
      </c>
      <c r="T267">
        <f>indirect(address(267,19))+indirect(address(265,20))-indirect(address(266,20))</f>
        <v>0</v>
      </c>
      <c r="U267">
        <f>indirect(address(267,20))+indirect(address(265,21))-indirect(address(266,21))</f>
        <v>0</v>
      </c>
      <c r="V267">
        <f>indirect(address(267,21))+indirect(address(265,22))-indirect(address(266,22))</f>
        <v>0</v>
      </c>
      <c r="W267">
        <f>indirect(address(267,22))+indirect(address(265,23))-indirect(address(266,23))</f>
        <v>0</v>
      </c>
      <c r="X267">
        <f>indirect(address(267,23))+indirect(address(265,24))-indirect(address(266,24))</f>
        <v>0</v>
      </c>
      <c r="Y267">
        <f>indirect(address(267,24))+indirect(address(265,25))-indirect(address(266,25))</f>
        <v>0</v>
      </c>
      <c r="Z267">
        <f>indirect(address(267,25))+indirect(address(265,26))-indirect(address(266,26))</f>
        <v>0</v>
      </c>
      <c r="AA267">
        <f>indirect(address(267,26))+indirect(address(265,27))-indirect(address(266,27))</f>
        <v>0</v>
      </c>
      <c r="AB267">
        <f>indirect(address(267,27))+indirect(address(265,28))-indirect(address(266,28))</f>
        <v>0</v>
      </c>
      <c r="AC267">
        <f>indirect(address(267,28))+indirect(address(265,29))-indirect(address(266,29))</f>
        <v>0</v>
      </c>
      <c r="AD267">
        <f>indirect(address(267,29))+indirect(address(265,30))-indirect(address(266,30))</f>
        <v>0</v>
      </c>
      <c r="AE267">
        <f>indirect(address(267,30))+indirect(address(265,31))-indirect(address(266,31))</f>
        <v>0</v>
      </c>
      <c r="AF267">
        <f>indirect(address(267,31))+indirect(address(265,32))-indirect(address(266,32))</f>
        <v>0</v>
      </c>
      <c r="AG267">
        <f>indirect(address(267,32))+indirect(address(265,33))-indirect(address(266,33))</f>
        <v>0</v>
      </c>
      <c r="AH267">
        <f>indirect(address(267,33))+indirect(address(265,34))-indirect(address(266,34))</f>
        <v>0</v>
      </c>
      <c r="AI267">
        <f>indirect(address(267,34))+indirect(address(265,35))-indirect(address(266,35))</f>
        <v>0</v>
      </c>
      <c r="AJ267">
        <f>indirect(address(267,35))+indirect(address(265,36))-indirect(address(266,36))</f>
        <v>0</v>
      </c>
      <c r="AK267">
        <f>indirect(address(267,36))+indirect(address(265,37))-indirect(address(266,37))</f>
        <v>0</v>
      </c>
      <c r="AL267">
        <f>indirect(address(267,37))+indirect(address(265,38))-indirect(address(266,38))</f>
        <v>0</v>
      </c>
      <c r="AM267">
        <f>indirect(address(267,38))+indirect(address(265,39))-indirect(address(266,39))</f>
        <v>0</v>
      </c>
      <c r="AN267">
        <f>indirect(address(267,39))+indirect(address(265,40))-indirect(address(266,40))</f>
        <v>0</v>
      </c>
      <c r="AO267">
        <f>indirect(address(267,40))+indirect(address(265,41))-indirect(address(266,41))</f>
        <v>0</v>
      </c>
    </row>
    <row r="268" spans="1:41">
      <c r="I268" t="s">
        <v>14</v>
      </c>
      <c r="AO268">
        <f>sum(j268:an268)</f>
        <v>0</v>
      </c>
    </row>
    <row r="269" spans="1:41">
      <c r="I269" t="s">
        <v>15</v>
      </c>
      <c r="J269">
        <f>sumif(Plan!B:B,"262-000000-017",Plan!j:j)</f>
        <v>0</v>
      </c>
      <c r="K269">
        <f>sumif(Plan!B:B,"262-000000-017",Plan!k:k)</f>
        <v>0</v>
      </c>
      <c r="L269">
        <f>sumif(Plan!B:B,"262-000000-017",Plan!l:l)</f>
        <v>0</v>
      </c>
      <c r="M269">
        <f>sumif(Plan!B:B,"262-000000-017",Plan!m:m)</f>
        <v>0</v>
      </c>
      <c r="N269">
        <f>sumif(Plan!B:B,"262-000000-017",Plan!n:n)</f>
        <v>0</v>
      </c>
      <c r="O269">
        <f>sumif(Plan!B:B,"262-000000-017",Plan!o:o)</f>
        <v>0</v>
      </c>
      <c r="P269">
        <f>sumif(Plan!B:B,"262-000000-017",Plan!p:p)</f>
        <v>0</v>
      </c>
      <c r="Q269">
        <f>sumif(Plan!B:B,"262-000000-017",Plan!q:q)</f>
        <v>0</v>
      </c>
      <c r="R269">
        <f>sumif(Plan!B:B,"262-000000-017",Plan!r:r)</f>
        <v>0</v>
      </c>
      <c r="S269">
        <f>sumif(Plan!B:B,"262-000000-017",Plan!s:s)</f>
        <v>0</v>
      </c>
      <c r="T269">
        <f>sumif(Plan!B:B,"262-000000-017",Plan!t:t)</f>
        <v>0</v>
      </c>
      <c r="U269">
        <f>sumif(Plan!B:B,"262-000000-017",Plan!u:u)</f>
        <v>0</v>
      </c>
      <c r="V269">
        <f>sumif(Plan!B:B,"262-000000-017",Plan!v:v)</f>
        <v>0</v>
      </c>
      <c r="W269">
        <f>sumif(Plan!B:B,"262-000000-017",Plan!w:w)</f>
        <v>0</v>
      </c>
      <c r="X269">
        <f>sumif(Plan!B:B,"262-000000-017",Plan!x:x)</f>
        <v>0</v>
      </c>
      <c r="Y269">
        <f>sumif(Plan!B:B,"262-000000-017",Plan!y:y)</f>
        <v>0</v>
      </c>
      <c r="Z269">
        <f>sumif(Plan!B:B,"262-000000-017",Plan!z:z)</f>
        <v>0</v>
      </c>
      <c r="AA269">
        <f>sumif(Plan!B:B,"262-000000-017",Plan!aa:aa)</f>
        <v>0</v>
      </c>
      <c r="AB269">
        <f>sumif(Plan!B:B,"262-000000-017",Plan!ab:ab)</f>
        <v>0</v>
      </c>
      <c r="AC269">
        <f>sumif(Plan!B:B,"262-000000-017",Plan!ac:ac)</f>
        <v>0</v>
      </c>
      <c r="AD269">
        <f>sumif(Plan!B:B,"262-000000-017",Plan!ad:ad)</f>
        <v>0</v>
      </c>
      <c r="AE269">
        <f>sumif(Plan!B:B,"262-000000-017",Plan!ae:ae)</f>
        <v>0</v>
      </c>
      <c r="AF269">
        <f>sumif(Plan!B:B,"262-000000-017",Plan!af:af)</f>
        <v>0</v>
      </c>
      <c r="AG269">
        <f>sumif(Plan!B:B,"262-000000-017",Plan!ag:ag)</f>
        <v>0</v>
      </c>
      <c r="AH269">
        <f>sumif(Plan!B:B,"262-000000-017",Plan!ah:ah)</f>
        <v>0</v>
      </c>
      <c r="AI269">
        <f>sumif(Plan!B:B,"262-000000-017",Plan!ai:ai)</f>
        <v>0</v>
      </c>
      <c r="AJ269">
        <f>sumif(Plan!B:B,"262-000000-017",Plan!aj:aj)</f>
        <v>0</v>
      </c>
      <c r="AK269">
        <f>sumif(Plan!B:B,"262-000000-017",Plan!ak:ak)</f>
        <v>0</v>
      </c>
      <c r="AL269">
        <f>sumif(Plan!B:B,"262-000000-017",Plan!al:al)</f>
        <v>0</v>
      </c>
      <c r="AM269">
        <f>sumif(Plan!B:B,"262-000000-017",Plan!am:am)</f>
        <v>0</v>
      </c>
      <c r="AN269">
        <f>sumif(Plan!B:B,"262-000000-017",Plan!an:an)</f>
        <v>0</v>
      </c>
      <c r="AO269">
        <f>sumif(Plan!B:B,"262-000000-017",Plan!ao:ao)</f>
        <v>0</v>
      </c>
    </row>
    <row r="270" spans="1:41">
      <c r="A270" t="s">
        <v>22</v>
      </c>
      <c r="B270" t="s">
        <v>195</v>
      </c>
      <c r="C270" t="s">
        <v>196</v>
      </c>
      <c r="E270">
        <v>1</v>
      </c>
      <c r="H270" t="s">
        <v>16</v>
      </c>
      <c r="J270">
        <f>indirect(address(270,9))+indirect(address(268,10))-indirect(address(269,10))</f>
        <v>0</v>
      </c>
      <c r="K270">
        <f>indirect(address(270,10))+indirect(address(268,11))-indirect(address(269,11))</f>
        <v>0</v>
      </c>
      <c r="L270">
        <f>indirect(address(270,11))+indirect(address(268,12))-indirect(address(269,12))</f>
        <v>0</v>
      </c>
      <c r="M270">
        <f>indirect(address(270,12))+indirect(address(268,13))-indirect(address(269,13))</f>
        <v>0</v>
      </c>
      <c r="N270">
        <f>indirect(address(270,13))+indirect(address(268,14))-indirect(address(269,14))</f>
        <v>0</v>
      </c>
      <c r="O270">
        <f>indirect(address(270,14))+indirect(address(268,15))-indirect(address(269,15))</f>
        <v>0</v>
      </c>
      <c r="P270">
        <f>indirect(address(270,15))+indirect(address(268,16))-indirect(address(269,16))</f>
        <v>0</v>
      </c>
      <c r="Q270">
        <f>indirect(address(270,16))+indirect(address(268,17))-indirect(address(269,17))</f>
        <v>0</v>
      </c>
      <c r="R270">
        <f>indirect(address(270,17))+indirect(address(268,18))-indirect(address(269,18))</f>
        <v>0</v>
      </c>
      <c r="S270">
        <f>indirect(address(270,18))+indirect(address(268,19))-indirect(address(269,19))</f>
        <v>0</v>
      </c>
      <c r="T270">
        <f>indirect(address(270,19))+indirect(address(268,20))-indirect(address(269,20))</f>
        <v>0</v>
      </c>
      <c r="U270">
        <f>indirect(address(270,20))+indirect(address(268,21))-indirect(address(269,21))</f>
        <v>0</v>
      </c>
      <c r="V270">
        <f>indirect(address(270,21))+indirect(address(268,22))-indirect(address(269,22))</f>
        <v>0</v>
      </c>
      <c r="W270">
        <f>indirect(address(270,22))+indirect(address(268,23))-indirect(address(269,23))</f>
        <v>0</v>
      </c>
      <c r="X270">
        <f>indirect(address(270,23))+indirect(address(268,24))-indirect(address(269,24))</f>
        <v>0</v>
      </c>
      <c r="Y270">
        <f>indirect(address(270,24))+indirect(address(268,25))-indirect(address(269,25))</f>
        <v>0</v>
      </c>
      <c r="Z270">
        <f>indirect(address(270,25))+indirect(address(268,26))-indirect(address(269,26))</f>
        <v>0</v>
      </c>
      <c r="AA270">
        <f>indirect(address(270,26))+indirect(address(268,27))-indirect(address(269,27))</f>
        <v>0</v>
      </c>
      <c r="AB270">
        <f>indirect(address(270,27))+indirect(address(268,28))-indirect(address(269,28))</f>
        <v>0</v>
      </c>
      <c r="AC270">
        <f>indirect(address(270,28))+indirect(address(268,29))-indirect(address(269,29))</f>
        <v>0</v>
      </c>
      <c r="AD270">
        <f>indirect(address(270,29))+indirect(address(268,30))-indirect(address(269,30))</f>
        <v>0</v>
      </c>
      <c r="AE270">
        <f>indirect(address(270,30))+indirect(address(268,31))-indirect(address(269,31))</f>
        <v>0</v>
      </c>
      <c r="AF270">
        <f>indirect(address(270,31))+indirect(address(268,32))-indirect(address(269,32))</f>
        <v>0</v>
      </c>
      <c r="AG270">
        <f>indirect(address(270,32))+indirect(address(268,33))-indirect(address(269,33))</f>
        <v>0</v>
      </c>
      <c r="AH270">
        <f>indirect(address(270,33))+indirect(address(268,34))-indirect(address(269,34))</f>
        <v>0</v>
      </c>
      <c r="AI270">
        <f>indirect(address(270,34))+indirect(address(268,35))-indirect(address(269,35))</f>
        <v>0</v>
      </c>
      <c r="AJ270">
        <f>indirect(address(270,35))+indirect(address(268,36))-indirect(address(269,36))</f>
        <v>0</v>
      </c>
      <c r="AK270">
        <f>indirect(address(270,36))+indirect(address(268,37))-indirect(address(269,37))</f>
        <v>0</v>
      </c>
      <c r="AL270">
        <f>indirect(address(270,37))+indirect(address(268,38))-indirect(address(269,38))</f>
        <v>0</v>
      </c>
      <c r="AM270">
        <f>indirect(address(270,38))+indirect(address(268,39))-indirect(address(269,39))</f>
        <v>0</v>
      </c>
      <c r="AN270">
        <f>indirect(address(270,39))+indirect(address(268,40))-indirect(address(269,40))</f>
        <v>0</v>
      </c>
      <c r="AO270">
        <f>indirect(address(270,40))+indirect(address(268,41))-indirect(address(269,41))</f>
        <v>0</v>
      </c>
    </row>
    <row r="271" spans="1:41">
      <c r="I271" t="s">
        <v>14</v>
      </c>
      <c r="AO271">
        <f>sum(j271:an271)</f>
        <v>0</v>
      </c>
    </row>
    <row r="272" spans="1:41">
      <c r="I272" t="s">
        <v>15</v>
      </c>
      <c r="J272">
        <f>sumif(Plan!B:B,"263-000000-016",Plan!j:j)</f>
        <v>0</v>
      </c>
      <c r="K272">
        <f>sumif(Plan!B:B,"263-000000-016",Plan!k:k)</f>
        <v>0</v>
      </c>
      <c r="L272">
        <f>sumif(Plan!B:B,"263-000000-016",Plan!l:l)</f>
        <v>0</v>
      </c>
      <c r="M272">
        <f>sumif(Plan!B:B,"263-000000-016",Plan!m:m)</f>
        <v>0</v>
      </c>
      <c r="N272">
        <f>sumif(Plan!B:B,"263-000000-016",Plan!n:n)</f>
        <v>0</v>
      </c>
      <c r="O272">
        <f>sumif(Plan!B:B,"263-000000-016",Plan!o:o)</f>
        <v>0</v>
      </c>
      <c r="P272">
        <f>sumif(Plan!B:B,"263-000000-016",Plan!p:p)</f>
        <v>0</v>
      </c>
      <c r="Q272">
        <f>sumif(Plan!B:B,"263-000000-016",Plan!q:q)</f>
        <v>0</v>
      </c>
      <c r="R272">
        <f>sumif(Plan!B:B,"263-000000-016",Plan!r:r)</f>
        <v>0</v>
      </c>
      <c r="S272">
        <f>sumif(Plan!B:B,"263-000000-016",Plan!s:s)</f>
        <v>0</v>
      </c>
      <c r="T272">
        <f>sumif(Plan!B:B,"263-000000-016",Plan!t:t)</f>
        <v>0</v>
      </c>
      <c r="U272">
        <f>sumif(Plan!B:B,"263-000000-016",Plan!u:u)</f>
        <v>0</v>
      </c>
      <c r="V272">
        <f>sumif(Plan!B:B,"263-000000-016",Plan!v:v)</f>
        <v>0</v>
      </c>
      <c r="W272">
        <f>sumif(Plan!B:B,"263-000000-016",Plan!w:w)</f>
        <v>0</v>
      </c>
      <c r="X272">
        <f>sumif(Plan!B:B,"263-000000-016",Plan!x:x)</f>
        <v>0</v>
      </c>
      <c r="Y272">
        <f>sumif(Plan!B:B,"263-000000-016",Plan!y:y)</f>
        <v>0</v>
      </c>
      <c r="Z272">
        <f>sumif(Plan!B:B,"263-000000-016",Plan!z:z)</f>
        <v>0</v>
      </c>
      <c r="AA272">
        <f>sumif(Plan!B:B,"263-000000-016",Plan!aa:aa)</f>
        <v>0</v>
      </c>
      <c r="AB272">
        <f>sumif(Plan!B:B,"263-000000-016",Plan!ab:ab)</f>
        <v>0</v>
      </c>
      <c r="AC272">
        <f>sumif(Plan!B:B,"263-000000-016",Plan!ac:ac)</f>
        <v>0</v>
      </c>
      <c r="AD272">
        <f>sumif(Plan!B:B,"263-000000-016",Plan!ad:ad)</f>
        <v>0</v>
      </c>
      <c r="AE272">
        <f>sumif(Plan!B:B,"263-000000-016",Plan!ae:ae)</f>
        <v>0</v>
      </c>
      <c r="AF272">
        <f>sumif(Plan!B:B,"263-000000-016",Plan!af:af)</f>
        <v>0</v>
      </c>
      <c r="AG272">
        <f>sumif(Plan!B:B,"263-000000-016",Plan!ag:ag)</f>
        <v>0</v>
      </c>
      <c r="AH272">
        <f>sumif(Plan!B:B,"263-000000-016",Plan!ah:ah)</f>
        <v>0</v>
      </c>
      <c r="AI272">
        <f>sumif(Plan!B:B,"263-000000-016",Plan!ai:ai)</f>
        <v>0</v>
      </c>
      <c r="AJ272">
        <f>sumif(Plan!B:B,"263-000000-016",Plan!aj:aj)</f>
        <v>0</v>
      </c>
      <c r="AK272">
        <f>sumif(Plan!B:B,"263-000000-016",Plan!ak:ak)</f>
        <v>0</v>
      </c>
      <c r="AL272">
        <f>sumif(Plan!B:B,"263-000000-016",Plan!al:al)</f>
        <v>0</v>
      </c>
      <c r="AM272">
        <f>sumif(Plan!B:B,"263-000000-016",Plan!am:am)</f>
        <v>0</v>
      </c>
      <c r="AN272">
        <f>sumif(Plan!B:B,"263-000000-016",Plan!an:an)</f>
        <v>0</v>
      </c>
      <c r="AO272">
        <f>sumif(Plan!B:B,"263-000000-016",Plan!ao:ao)</f>
        <v>0</v>
      </c>
    </row>
    <row r="273" spans="1:41">
      <c r="A273" t="s">
        <v>22</v>
      </c>
      <c r="B273" t="s">
        <v>197</v>
      </c>
      <c r="C273" t="s">
        <v>198</v>
      </c>
      <c r="E273">
        <v>1</v>
      </c>
      <c r="H273" t="s">
        <v>16</v>
      </c>
      <c r="J273">
        <f>indirect(address(273,9))+indirect(address(271,10))-indirect(address(272,10))</f>
        <v>0</v>
      </c>
      <c r="K273">
        <f>indirect(address(273,10))+indirect(address(271,11))-indirect(address(272,11))</f>
        <v>0</v>
      </c>
      <c r="L273">
        <f>indirect(address(273,11))+indirect(address(271,12))-indirect(address(272,12))</f>
        <v>0</v>
      </c>
      <c r="M273">
        <f>indirect(address(273,12))+indirect(address(271,13))-indirect(address(272,13))</f>
        <v>0</v>
      </c>
      <c r="N273">
        <f>indirect(address(273,13))+indirect(address(271,14))-indirect(address(272,14))</f>
        <v>0</v>
      </c>
      <c r="O273">
        <f>indirect(address(273,14))+indirect(address(271,15))-indirect(address(272,15))</f>
        <v>0</v>
      </c>
      <c r="P273">
        <f>indirect(address(273,15))+indirect(address(271,16))-indirect(address(272,16))</f>
        <v>0</v>
      </c>
      <c r="Q273">
        <f>indirect(address(273,16))+indirect(address(271,17))-indirect(address(272,17))</f>
        <v>0</v>
      </c>
      <c r="R273">
        <f>indirect(address(273,17))+indirect(address(271,18))-indirect(address(272,18))</f>
        <v>0</v>
      </c>
      <c r="S273">
        <f>indirect(address(273,18))+indirect(address(271,19))-indirect(address(272,19))</f>
        <v>0</v>
      </c>
      <c r="T273">
        <f>indirect(address(273,19))+indirect(address(271,20))-indirect(address(272,20))</f>
        <v>0</v>
      </c>
      <c r="U273">
        <f>indirect(address(273,20))+indirect(address(271,21))-indirect(address(272,21))</f>
        <v>0</v>
      </c>
      <c r="V273">
        <f>indirect(address(273,21))+indirect(address(271,22))-indirect(address(272,22))</f>
        <v>0</v>
      </c>
      <c r="W273">
        <f>indirect(address(273,22))+indirect(address(271,23))-indirect(address(272,23))</f>
        <v>0</v>
      </c>
      <c r="X273">
        <f>indirect(address(273,23))+indirect(address(271,24))-indirect(address(272,24))</f>
        <v>0</v>
      </c>
      <c r="Y273">
        <f>indirect(address(273,24))+indirect(address(271,25))-indirect(address(272,25))</f>
        <v>0</v>
      </c>
      <c r="Z273">
        <f>indirect(address(273,25))+indirect(address(271,26))-indirect(address(272,26))</f>
        <v>0</v>
      </c>
      <c r="AA273">
        <f>indirect(address(273,26))+indirect(address(271,27))-indirect(address(272,27))</f>
        <v>0</v>
      </c>
      <c r="AB273">
        <f>indirect(address(273,27))+indirect(address(271,28))-indirect(address(272,28))</f>
        <v>0</v>
      </c>
      <c r="AC273">
        <f>indirect(address(273,28))+indirect(address(271,29))-indirect(address(272,29))</f>
        <v>0</v>
      </c>
      <c r="AD273">
        <f>indirect(address(273,29))+indirect(address(271,30))-indirect(address(272,30))</f>
        <v>0</v>
      </c>
      <c r="AE273">
        <f>indirect(address(273,30))+indirect(address(271,31))-indirect(address(272,31))</f>
        <v>0</v>
      </c>
      <c r="AF273">
        <f>indirect(address(273,31))+indirect(address(271,32))-indirect(address(272,32))</f>
        <v>0</v>
      </c>
      <c r="AG273">
        <f>indirect(address(273,32))+indirect(address(271,33))-indirect(address(272,33))</f>
        <v>0</v>
      </c>
      <c r="AH273">
        <f>indirect(address(273,33))+indirect(address(271,34))-indirect(address(272,34))</f>
        <v>0</v>
      </c>
      <c r="AI273">
        <f>indirect(address(273,34))+indirect(address(271,35))-indirect(address(272,35))</f>
        <v>0</v>
      </c>
      <c r="AJ273">
        <f>indirect(address(273,35))+indirect(address(271,36))-indirect(address(272,36))</f>
        <v>0</v>
      </c>
      <c r="AK273">
        <f>indirect(address(273,36))+indirect(address(271,37))-indirect(address(272,37))</f>
        <v>0</v>
      </c>
      <c r="AL273">
        <f>indirect(address(273,37))+indirect(address(271,38))-indirect(address(272,38))</f>
        <v>0</v>
      </c>
      <c r="AM273">
        <f>indirect(address(273,38))+indirect(address(271,39))-indirect(address(272,39))</f>
        <v>0</v>
      </c>
      <c r="AN273">
        <f>indirect(address(273,39))+indirect(address(271,40))-indirect(address(272,40))</f>
        <v>0</v>
      </c>
      <c r="AO273">
        <f>indirect(address(273,40))+indirect(address(271,41))-indirect(address(272,41))</f>
        <v>0</v>
      </c>
    </row>
    <row r="274" spans="1:41">
      <c r="I274" t="s">
        <v>14</v>
      </c>
      <c r="AO274">
        <f>sum(j274:an274)</f>
        <v>0</v>
      </c>
    </row>
    <row r="275" spans="1:41">
      <c r="I275" t="s">
        <v>15</v>
      </c>
      <c r="J275">
        <f>sumif(Plan!B:B,"262-000000-018",Plan!j:j)</f>
        <v>0</v>
      </c>
      <c r="K275">
        <f>sumif(Plan!B:B,"262-000000-018",Plan!k:k)</f>
        <v>0</v>
      </c>
      <c r="L275">
        <f>sumif(Plan!B:B,"262-000000-018",Plan!l:l)</f>
        <v>0</v>
      </c>
      <c r="M275">
        <f>sumif(Plan!B:B,"262-000000-018",Plan!m:m)</f>
        <v>0</v>
      </c>
      <c r="N275">
        <f>sumif(Plan!B:B,"262-000000-018",Plan!n:n)</f>
        <v>0</v>
      </c>
      <c r="O275">
        <f>sumif(Plan!B:B,"262-000000-018",Plan!o:o)</f>
        <v>0</v>
      </c>
      <c r="P275">
        <f>sumif(Plan!B:B,"262-000000-018",Plan!p:p)</f>
        <v>0</v>
      </c>
      <c r="Q275">
        <f>sumif(Plan!B:B,"262-000000-018",Plan!q:q)</f>
        <v>0</v>
      </c>
      <c r="R275">
        <f>sumif(Plan!B:B,"262-000000-018",Plan!r:r)</f>
        <v>0</v>
      </c>
      <c r="S275">
        <f>sumif(Plan!B:B,"262-000000-018",Plan!s:s)</f>
        <v>0</v>
      </c>
      <c r="T275">
        <f>sumif(Plan!B:B,"262-000000-018",Plan!t:t)</f>
        <v>0</v>
      </c>
      <c r="U275">
        <f>sumif(Plan!B:B,"262-000000-018",Plan!u:u)</f>
        <v>0</v>
      </c>
      <c r="V275">
        <f>sumif(Plan!B:B,"262-000000-018",Plan!v:v)</f>
        <v>0</v>
      </c>
      <c r="W275">
        <f>sumif(Plan!B:B,"262-000000-018",Plan!w:w)</f>
        <v>0</v>
      </c>
      <c r="X275">
        <f>sumif(Plan!B:B,"262-000000-018",Plan!x:x)</f>
        <v>0</v>
      </c>
      <c r="Y275">
        <f>sumif(Plan!B:B,"262-000000-018",Plan!y:y)</f>
        <v>0</v>
      </c>
      <c r="Z275">
        <f>sumif(Plan!B:B,"262-000000-018",Plan!z:z)</f>
        <v>0</v>
      </c>
      <c r="AA275">
        <f>sumif(Plan!B:B,"262-000000-018",Plan!aa:aa)</f>
        <v>0</v>
      </c>
      <c r="AB275">
        <f>sumif(Plan!B:B,"262-000000-018",Plan!ab:ab)</f>
        <v>0</v>
      </c>
      <c r="AC275">
        <f>sumif(Plan!B:B,"262-000000-018",Plan!ac:ac)</f>
        <v>0</v>
      </c>
      <c r="AD275">
        <f>sumif(Plan!B:B,"262-000000-018",Plan!ad:ad)</f>
        <v>0</v>
      </c>
      <c r="AE275">
        <f>sumif(Plan!B:B,"262-000000-018",Plan!ae:ae)</f>
        <v>0</v>
      </c>
      <c r="AF275">
        <f>sumif(Plan!B:B,"262-000000-018",Plan!af:af)</f>
        <v>0</v>
      </c>
      <c r="AG275">
        <f>sumif(Plan!B:B,"262-000000-018",Plan!ag:ag)</f>
        <v>0</v>
      </c>
      <c r="AH275">
        <f>sumif(Plan!B:B,"262-000000-018",Plan!ah:ah)</f>
        <v>0</v>
      </c>
      <c r="AI275">
        <f>sumif(Plan!B:B,"262-000000-018",Plan!ai:ai)</f>
        <v>0</v>
      </c>
      <c r="AJ275">
        <f>sumif(Plan!B:B,"262-000000-018",Plan!aj:aj)</f>
        <v>0</v>
      </c>
      <c r="AK275">
        <f>sumif(Plan!B:B,"262-000000-018",Plan!ak:ak)</f>
        <v>0</v>
      </c>
      <c r="AL275">
        <f>sumif(Plan!B:B,"262-000000-018",Plan!al:al)</f>
        <v>0</v>
      </c>
      <c r="AM275">
        <f>sumif(Plan!B:B,"262-000000-018",Plan!am:am)</f>
        <v>0</v>
      </c>
      <c r="AN275">
        <f>sumif(Plan!B:B,"262-000000-018",Plan!an:an)</f>
        <v>0</v>
      </c>
      <c r="AO275">
        <f>sumif(Plan!B:B,"262-000000-018",Plan!ao:ao)</f>
        <v>0</v>
      </c>
    </row>
    <row r="276" spans="1:41">
      <c r="A276" t="s">
        <v>22</v>
      </c>
      <c r="B276" t="s">
        <v>199</v>
      </c>
      <c r="C276" t="s">
        <v>200</v>
      </c>
      <c r="E276">
        <v>1</v>
      </c>
      <c r="H276" t="s">
        <v>16</v>
      </c>
      <c r="J276">
        <f>indirect(address(276,9))+indirect(address(274,10))-indirect(address(275,10))</f>
        <v>0</v>
      </c>
      <c r="K276">
        <f>indirect(address(276,10))+indirect(address(274,11))-indirect(address(275,11))</f>
        <v>0</v>
      </c>
      <c r="L276">
        <f>indirect(address(276,11))+indirect(address(274,12))-indirect(address(275,12))</f>
        <v>0</v>
      </c>
      <c r="M276">
        <f>indirect(address(276,12))+indirect(address(274,13))-indirect(address(275,13))</f>
        <v>0</v>
      </c>
      <c r="N276">
        <f>indirect(address(276,13))+indirect(address(274,14))-indirect(address(275,14))</f>
        <v>0</v>
      </c>
      <c r="O276">
        <f>indirect(address(276,14))+indirect(address(274,15))-indirect(address(275,15))</f>
        <v>0</v>
      </c>
      <c r="P276">
        <f>indirect(address(276,15))+indirect(address(274,16))-indirect(address(275,16))</f>
        <v>0</v>
      </c>
      <c r="Q276">
        <f>indirect(address(276,16))+indirect(address(274,17))-indirect(address(275,17))</f>
        <v>0</v>
      </c>
      <c r="R276">
        <f>indirect(address(276,17))+indirect(address(274,18))-indirect(address(275,18))</f>
        <v>0</v>
      </c>
      <c r="S276">
        <f>indirect(address(276,18))+indirect(address(274,19))-indirect(address(275,19))</f>
        <v>0</v>
      </c>
      <c r="T276">
        <f>indirect(address(276,19))+indirect(address(274,20))-indirect(address(275,20))</f>
        <v>0</v>
      </c>
      <c r="U276">
        <f>indirect(address(276,20))+indirect(address(274,21))-indirect(address(275,21))</f>
        <v>0</v>
      </c>
      <c r="V276">
        <f>indirect(address(276,21))+indirect(address(274,22))-indirect(address(275,22))</f>
        <v>0</v>
      </c>
      <c r="W276">
        <f>indirect(address(276,22))+indirect(address(274,23))-indirect(address(275,23))</f>
        <v>0</v>
      </c>
      <c r="X276">
        <f>indirect(address(276,23))+indirect(address(274,24))-indirect(address(275,24))</f>
        <v>0</v>
      </c>
      <c r="Y276">
        <f>indirect(address(276,24))+indirect(address(274,25))-indirect(address(275,25))</f>
        <v>0</v>
      </c>
      <c r="Z276">
        <f>indirect(address(276,25))+indirect(address(274,26))-indirect(address(275,26))</f>
        <v>0</v>
      </c>
      <c r="AA276">
        <f>indirect(address(276,26))+indirect(address(274,27))-indirect(address(275,27))</f>
        <v>0</v>
      </c>
      <c r="AB276">
        <f>indirect(address(276,27))+indirect(address(274,28))-indirect(address(275,28))</f>
        <v>0</v>
      </c>
      <c r="AC276">
        <f>indirect(address(276,28))+indirect(address(274,29))-indirect(address(275,29))</f>
        <v>0</v>
      </c>
      <c r="AD276">
        <f>indirect(address(276,29))+indirect(address(274,30))-indirect(address(275,30))</f>
        <v>0</v>
      </c>
      <c r="AE276">
        <f>indirect(address(276,30))+indirect(address(274,31))-indirect(address(275,31))</f>
        <v>0</v>
      </c>
      <c r="AF276">
        <f>indirect(address(276,31))+indirect(address(274,32))-indirect(address(275,32))</f>
        <v>0</v>
      </c>
      <c r="AG276">
        <f>indirect(address(276,32))+indirect(address(274,33))-indirect(address(275,33))</f>
        <v>0</v>
      </c>
      <c r="AH276">
        <f>indirect(address(276,33))+indirect(address(274,34))-indirect(address(275,34))</f>
        <v>0</v>
      </c>
      <c r="AI276">
        <f>indirect(address(276,34))+indirect(address(274,35))-indirect(address(275,35))</f>
        <v>0</v>
      </c>
      <c r="AJ276">
        <f>indirect(address(276,35))+indirect(address(274,36))-indirect(address(275,36))</f>
        <v>0</v>
      </c>
      <c r="AK276">
        <f>indirect(address(276,36))+indirect(address(274,37))-indirect(address(275,37))</f>
        <v>0</v>
      </c>
      <c r="AL276">
        <f>indirect(address(276,37))+indirect(address(274,38))-indirect(address(275,38))</f>
        <v>0</v>
      </c>
      <c r="AM276">
        <f>indirect(address(276,38))+indirect(address(274,39))-indirect(address(275,39))</f>
        <v>0</v>
      </c>
      <c r="AN276">
        <f>indirect(address(276,39))+indirect(address(274,40))-indirect(address(275,40))</f>
        <v>0</v>
      </c>
      <c r="AO276">
        <f>indirect(address(276,40))+indirect(address(274,41))-indirect(address(275,41))</f>
        <v>0</v>
      </c>
    </row>
    <row r="277" spans="1:41">
      <c r="I277" t="s">
        <v>14</v>
      </c>
      <c r="AO277">
        <f>sum(j277:an277)</f>
        <v>0</v>
      </c>
    </row>
    <row r="278" spans="1:41">
      <c r="I278" t="s">
        <v>15</v>
      </c>
      <c r="J278">
        <f>sumif(Plan!B:B,"262-000000-019",Plan!j:j)</f>
        <v>0</v>
      </c>
      <c r="K278">
        <f>sumif(Plan!B:B,"262-000000-019",Plan!k:k)</f>
        <v>0</v>
      </c>
      <c r="L278">
        <f>sumif(Plan!B:B,"262-000000-019",Plan!l:l)</f>
        <v>0</v>
      </c>
      <c r="M278">
        <f>sumif(Plan!B:B,"262-000000-019",Plan!m:m)</f>
        <v>0</v>
      </c>
      <c r="N278">
        <f>sumif(Plan!B:B,"262-000000-019",Plan!n:n)</f>
        <v>0</v>
      </c>
      <c r="O278">
        <f>sumif(Plan!B:B,"262-000000-019",Plan!o:o)</f>
        <v>0</v>
      </c>
      <c r="P278">
        <f>sumif(Plan!B:B,"262-000000-019",Plan!p:p)</f>
        <v>0</v>
      </c>
      <c r="Q278">
        <f>sumif(Plan!B:B,"262-000000-019",Plan!q:q)</f>
        <v>0</v>
      </c>
      <c r="R278">
        <f>sumif(Plan!B:B,"262-000000-019",Plan!r:r)</f>
        <v>0</v>
      </c>
      <c r="S278">
        <f>sumif(Plan!B:B,"262-000000-019",Plan!s:s)</f>
        <v>0</v>
      </c>
      <c r="T278">
        <f>sumif(Plan!B:B,"262-000000-019",Plan!t:t)</f>
        <v>0</v>
      </c>
      <c r="U278">
        <f>sumif(Plan!B:B,"262-000000-019",Plan!u:u)</f>
        <v>0</v>
      </c>
      <c r="V278">
        <f>sumif(Plan!B:B,"262-000000-019",Plan!v:v)</f>
        <v>0</v>
      </c>
      <c r="W278">
        <f>sumif(Plan!B:B,"262-000000-019",Plan!w:w)</f>
        <v>0</v>
      </c>
      <c r="X278">
        <f>sumif(Plan!B:B,"262-000000-019",Plan!x:x)</f>
        <v>0</v>
      </c>
      <c r="Y278">
        <f>sumif(Plan!B:B,"262-000000-019",Plan!y:y)</f>
        <v>0</v>
      </c>
      <c r="Z278">
        <f>sumif(Plan!B:B,"262-000000-019",Plan!z:z)</f>
        <v>0</v>
      </c>
      <c r="AA278">
        <f>sumif(Plan!B:B,"262-000000-019",Plan!aa:aa)</f>
        <v>0</v>
      </c>
      <c r="AB278">
        <f>sumif(Plan!B:B,"262-000000-019",Plan!ab:ab)</f>
        <v>0</v>
      </c>
      <c r="AC278">
        <f>sumif(Plan!B:B,"262-000000-019",Plan!ac:ac)</f>
        <v>0</v>
      </c>
      <c r="AD278">
        <f>sumif(Plan!B:B,"262-000000-019",Plan!ad:ad)</f>
        <v>0</v>
      </c>
      <c r="AE278">
        <f>sumif(Plan!B:B,"262-000000-019",Plan!ae:ae)</f>
        <v>0</v>
      </c>
      <c r="AF278">
        <f>sumif(Plan!B:B,"262-000000-019",Plan!af:af)</f>
        <v>0</v>
      </c>
      <c r="AG278">
        <f>sumif(Plan!B:B,"262-000000-019",Plan!ag:ag)</f>
        <v>0</v>
      </c>
      <c r="AH278">
        <f>sumif(Plan!B:B,"262-000000-019",Plan!ah:ah)</f>
        <v>0</v>
      </c>
      <c r="AI278">
        <f>sumif(Plan!B:B,"262-000000-019",Plan!ai:ai)</f>
        <v>0</v>
      </c>
      <c r="AJ278">
        <f>sumif(Plan!B:B,"262-000000-019",Plan!aj:aj)</f>
        <v>0</v>
      </c>
      <c r="AK278">
        <f>sumif(Plan!B:B,"262-000000-019",Plan!ak:ak)</f>
        <v>0</v>
      </c>
      <c r="AL278">
        <f>sumif(Plan!B:B,"262-000000-019",Plan!al:al)</f>
        <v>0</v>
      </c>
      <c r="AM278">
        <f>sumif(Plan!B:B,"262-000000-019",Plan!am:am)</f>
        <v>0</v>
      </c>
      <c r="AN278">
        <f>sumif(Plan!B:B,"262-000000-019",Plan!an:an)</f>
        <v>0</v>
      </c>
      <c r="AO278">
        <f>sumif(Plan!B:B,"262-000000-019",Plan!ao:ao)</f>
        <v>0</v>
      </c>
    </row>
    <row r="279" spans="1:41">
      <c r="A279" t="s">
        <v>22</v>
      </c>
      <c r="B279" t="s">
        <v>201</v>
      </c>
      <c r="C279" t="s">
        <v>202</v>
      </c>
      <c r="E279">
        <v>1</v>
      </c>
      <c r="H279" t="s">
        <v>16</v>
      </c>
      <c r="J279">
        <f>indirect(address(279,9))+indirect(address(277,10))-indirect(address(278,10))</f>
        <v>0</v>
      </c>
      <c r="K279">
        <f>indirect(address(279,10))+indirect(address(277,11))-indirect(address(278,11))</f>
        <v>0</v>
      </c>
      <c r="L279">
        <f>indirect(address(279,11))+indirect(address(277,12))-indirect(address(278,12))</f>
        <v>0</v>
      </c>
      <c r="M279">
        <f>indirect(address(279,12))+indirect(address(277,13))-indirect(address(278,13))</f>
        <v>0</v>
      </c>
      <c r="N279">
        <f>indirect(address(279,13))+indirect(address(277,14))-indirect(address(278,14))</f>
        <v>0</v>
      </c>
      <c r="O279">
        <f>indirect(address(279,14))+indirect(address(277,15))-indirect(address(278,15))</f>
        <v>0</v>
      </c>
      <c r="P279">
        <f>indirect(address(279,15))+indirect(address(277,16))-indirect(address(278,16))</f>
        <v>0</v>
      </c>
      <c r="Q279">
        <f>indirect(address(279,16))+indirect(address(277,17))-indirect(address(278,17))</f>
        <v>0</v>
      </c>
      <c r="R279">
        <f>indirect(address(279,17))+indirect(address(277,18))-indirect(address(278,18))</f>
        <v>0</v>
      </c>
      <c r="S279">
        <f>indirect(address(279,18))+indirect(address(277,19))-indirect(address(278,19))</f>
        <v>0</v>
      </c>
      <c r="T279">
        <f>indirect(address(279,19))+indirect(address(277,20))-indirect(address(278,20))</f>
        <v>0</v>
      </c>
      <c r="U279">
        <f>indirect(address(279,20))+indirect(address(277,21))-indirect(address(278,21))</f>
        <v>0</v>
      </c>
      <c r="V279">
        <f>indirect(address(279,21))+indirect(address(277,22))-indirect(address(278,22))</f>
        <v>0</v>
      </c>
      <c r="W279">
        <f>indirect(address(279,22))+indirect(address(277,23))-indirect(address(278,23))</f>
        <v>0</v>
      </c>
      <c r="X279">
        <f>indirect(address(279,23))+indirect(address(277,24))-indirect(address(278,24))</f>
        <v>0</v>
      </c>
      <c r="Y279">
        <f>indirect(address(279,24))+indirect(address(277,25))-indirect(address(278,25))</f>
        <v>0</v>
      </c>
      <c r="Z279">
        <f>indirect(address(279,25))+indirect(address(277,26))-indirect(address(278,26))</f>
        <v>0</v>
      </c>
      <c r="AA279">
        <f>indirect(address(279,26))+indirect(address(277,27))-indirect(address(278,27))</f>
        <v>0</v>
      </c>
      <c r="AB279">
        <f>indirect(address(279,27))+indirect(address(277,28))-indirect(address(278,28))</f>
        <v>0</v>
      </c>
      <c r="AC279">
        <f>indirect(address(279,28))+indirect(address(277,29))-indirect(address(278,29))</f>
        <v>0</v>
      </c>
      <c r="AD279">
        <f>indirect(address(279,29))+indirect(address(277,30))-indirect(address(278,30))</f>
        <v>0</v>
      </c>
      <c r="AE279">
        <f>indirect(address(279,30))+indirect(address(277,31))-indirect(address(278,31))</f>
        <v>0</v>
      </c>
      <c r="AF279">
        <f>indirect(address(279,31))+indirect(address(277,32))-indirect(address(278,32))</f>
        <v>0</v>
      </c>
      <c r="AG279">
        <f>indirect(address(279,32))+indirect(address(277,33))-indirect(address(278,33))</f>
        <v>0</v>
      </c>
      <c r="AH279">
        <f>indirect(address(279,33))+indirect(address(277,34))-indirect(address(278,34))</f>
        <v>0</v>
      </c>
      <c r="AI279">
        <f>indirect(address(279,34))+indirect(address(277,35))-indirect(address(278,35))</f>
        <v>0</v>
      </c>
      <c r="AJ279">
        <f>indirect(address(279,35))+indirect(address(277,36))-indirect(address(278,36))</f>
        <v>0</v>
      </c>
      <c r="AK279">
        <f>indirect(address(279,36))+indirect(address(277,37))-indirect(address(278,37))</f>
        <v>0</v>
      </c>
      <c r="AL279">
        <f>indirect(address(279,37))+indirect(address(277,38))-indirect(address(278,38))</f>
        <v>0</v>
      </c>
      <c r="AM279">
        <f>indirect(address(279,38))+indirect(address(277,39))-indirect(address(278,39))</f>
        <v>0</v>
      </c>
      <c r="AN279">
        <f>indirect(address(279,39))+indirect(address(277,40))-indirect(address(278,40))</f>
        <v>0</v>
      </c>
      <c r="AO279">
        <f>indirect(address(279,40))+indirect(address(277,41))-indirect(address(278,41))</f>
        <v>0</v>
      </c>
    </row>
    <row r="280" spans="1:41">
      <c r="I280" t="s">
        <v>14</v>
      </c>
      <c r="AO280">
        <f>sum(j280:an280)</f>
        <v>0</v>
      </c>
    </row>
    <row r="281" spans="1:41">
      <c r="I281" t="s">
        <v>15</v>
      </c>
      <c r="J281">
        <f>sumif(Plan!B:B,"261-000000-029",Plan!j:j)</f>
        <v>0</v>
      </c>
      <c r="K281">
        <f>sumif(Plan!B:B,"261-000000-029",Plan!k:k)</f>
        <v>0</v>
      </c>
      <c r="L281">
        <f>sumif(Plan!B:B,"261-000000-029",Plan!l:l)</f>
        <v>0</v>
      </c>
      <c r="M281">
        <f>sumif(Plan!B:B,"261-000000-029",Plan!m:m)</f>
        <v>0</v>
      </c>
      <c r="N281">
        <f>sumif(Plan!B:B,"261-000000-029",Plan!n:n)</f>
        <v>0</v>
      </c>
      <c r="O281">
        <f>sumif(Plan!B:B,"261-000000-029",Plan!o:o)</f>
        <v>0</v>
      </c>
      <c r="P281">
        <f>sumif(Plan!B:B,"261-000000-029",Plan!p:p)</f>
        <v>0</v>
      </c>
      <c r="Q281">
        <f>sumif(Plan!B:B,"261-000000-029",Plan!q:q)</f>
        <v>0</v>
      </c>
      <c r="R281">
        <f>sumif(Plan!B:B,"261-000000-029",Plan!r:r)</f>
        <v>0</v>
      </c>
      <c r="S281">
        <f>sumif(Plan!B:B,"261-000000-029",Plan!s:s)</f>
        <v>0</v>
      </c>
      <c r="T281">
        <f>sumif(Plan!B:B,"261-000000-029",Plan!t:t)</f>
        <v>0</v>
      </c>
      <c r="U281">
        <f>sumif(Plan!B:B,"261-000000-029",Plan!u:u)</f>
        <v>0</v>
      </c>
      <c r="V281">
        <f>sumif(Plan!B:B,"261-000000-029",Plan!v:v)</f>
        <v>0</v>
      </c>
      <c r="W281">
        <f>sumif(Plan!B:B,"261-000000-029",Plan!w:w)</f>
        <v>0</v>
      </c>
      <c r="X281">
        <f>sumif(Plan!B:B,"261-000000-029",Plan!x:x)</f>
        <v>0</v>
      </c>
      <c r="Y281">
        <f>sumif(Plan!B:B,"261-000000-029",Plan!y:y)</f>
        <v>0</v>
      </c>
      <c r="Z281">
        <f>sumif(Plan!B:B,"261-000000-029",Plan!z:z)</f>
        <v>0</v>
      </c>
      <c r="AA281">
        <f>sumif(Plan!B:B,"261-000000-029",Plan!aa:aa)</f>
        <v>0</v>
      </c>
      <c r="AB281">
        <f>sumif(Plan!B:B,"261-000000-029",Plan!ab:ab)</f>
        <v>0</v>
      </c>
      <c r="AC281">
        <f>sumif(Plan!B:B,"261-000000-029",Plan!ac:ac)</f>
        <v>0</v>
      </c>
      <c r="AD281">
        <f>sumif(Plan!B:B,"261-000000-029",Plan!ad:ad)</f>
        <v>0</v>
      </c>
      <c r="AE281">
        <f>sumif(Plan!B:B,"261-000000-029",Plan!ae:ae)</f>
        <v>0</v>
      </c>
      <c r="AF281">
        <f>sumif(Plan!B:B,"261-000000-029",Plan!af:af)</f>
        <v>0</v>
      </c>
      <c r="AG281">
        <f>sumif(Plan!B:B,"261-000000-029",Plan!ag:ag)</f>
        <v>0</v>
      </c>
      <c r="AH281">
        <f>sumif(Plan!B:B,"261-000000-029",Plan!ah:ah)</f>
        <v>0</v>
      </c>
      <c r="AI281">
        <f>sumif(Plan!B:B,"261-000000-029",Plan!ai:ai)</f>
        <v>0</v>
      </c>
      <c r="AJ281">
        <f>sumif(Plan!B:B,"261-000000-029",Plan!aj:aj)</f>
        <v>0</v>
      </c>
      <c r="AK281">
        <f>sumif(Plan!B:B,"261-000000-029",Plan!ak:ak)</f>
        <v>0</v>
      </c>
      <c r="AL281">
        <f>sumif(Plan!B:B,"261-000000-029",Plan!al:al)</f>
        <v>0</v>
      </c>
      <c r="AM281">
        <f>sumif(Plan!B:B,"261-000000-029",Plan!am:am)</f>
        <v>0</v>
      </c>
      <c r="AN281">
        <f>sumif(Plan!B:B,"261-000000-029",Plan!an:an)</f>
        <v>0</v>
      </c>
      <c r="AO281">
        <f>sumif(Plan!B:B,"261-000000-029",Plan!ao:ao)</f>
        <v>0</v>
      </c>
    </row>
    <row r="282" spans="1:41">
      <c r="A282" t="s">
        <v>22</v>
      </c>
      <c r="B282" t="s">
        <v>203</v>
      </c>
      <c r="C282" t="s">
        <v>204</v>
      </c>
      <c r="E282">
        <v>1</v>
      </c>
      <c r="H282" t="s">
        <v>16</v>
      </c>
      <c r="J282">
        <f>indirect(address(282,9))+indirect(address(280,10))-indirect(address(281,10))</f>
        <v>0</v>
      </c>
      <c r="K282">
        <f>indirect(address(282,10))+indirect(address(280,11))-indirect(address(281,11))</f>
        <v>0</v>
      </c>
      <c r="L282">
        <f>indirect(address(282,11))+indirect(address(280,12))-indirect(address(281,12))</f>
        <v>0</v>
      </c>
      <c r="M282">
        <f>indirect(address(282,12))+indirect(address(280,13))-indirect(address(281,13))</f>
        <v>0</v>
      </c>
      <c r="N282">
        <f>indirect(address(282,13))+indirect(address(280,14))-indirect(address(281,14))</f>
        <v>0</v>
      </c>
      <c r="O282">
        <f>indirect(address(282,14))+indirect(address(280,15))-indirect(address(281,15))</f>
        <v>0</v>
      </c>
      <c r="P282">
        <f>indirect(address(282,15))+indirect(address(280,16))-indirect(address(281,16))</f>
        <v>0</v>
      </c>
      <c r="Q282">
        <f>indirect(address(282,16))+indirect(address(280,17))-indirect(address(281,17))</f>
        <v>0</v>
      </c>
      <c r="R282">
        <f>indirect(address(282,17))+indirect(address(280,18))-indirect(address(281,18))</f>
        <v>0</v>
      </c>
      <c r="S282">
        <f>indirect(address(282,18))+indirect(address(280,19))-indirect(address(281,19))</f>
        <v>0</v>
      </c>
      <c r="T282">
        <f>indirect(address(282,19))+indirect(address(280,20))-indirect(address(281,20))</f>
        <v>0</v>
      </c>
      <c r="U282">
        <f>indirect(address(282,20))+indirect(address(280,21))-indirect(address(281,21))</f>
        <v>0</v>
      </c>
      <c r="V282">
        <f>indirect(address(282,21))+indirect(address(280,22))-indirect(address(281,22))</f>
        <v>0</v>
      </c>
      <c r="W282">
        <f>indirect(address(282,22))+indirect(address(280,23))-indirect(address(281,23))</f>
        <v>0</v>
      </c>
      <c r="X282">
        <f>indirect(address(282,23))+indirect(address(280,24))-indirect(address(281,24))</f>
        <v>0</v>
      </c>
      <c r="Y282">
        <f>indirect(address(282,24))+indirect(address(280,25))-indirect(address(281,25))</f>
        <v>0</v>
      </c>
      <c r="Z282">
        <f>indirect(address(282,25))+indirect(address(280,26))-indirect(address(281,26))</f>
        <v>0</v>
      </c>
      <c r="AA282">
        <f>indirect(address(282,26))+indirect(address(280,27))-indirect(address(281,27))</f>
        <v>0</v>
      </c>
      <c r="AB282">
        <f>indirect(address(282,27))+indirect(address(280,28))-indirect(address(281,28))</f>
        <v>0</v>
      </c>
      <c r="AC282">
        <f>indirect(address(282,28))+indirect(address(280,29))-indirect(address(281,29))</f>
        <v>0</v>
      </c>
      <c r="AD282">
        <f>indirect(address(282,29))+indirect(address(280,30))-indirect(address(281,30))</f>
        <v>0</v>
      </c>
      <c r="AE282">
        <f>indirect(address(282,30))+indirect(address(280,31))-indirect(address(281,31))</f>
        <v>0</v>
      </c>
      <c r="AF282">
        <f>indirect(address(282,31))+indirect(address(280,32))-indirect(address(281,32))</f>
        <v>0</v>
      </c>
      <c r="AG282">
        <f>indirect(address(282,32))+indirect(address(280,33))-indirect(address(281,33))</f>
        <v>0</v>
      </c>
      <c r="AH282">
        <f>indirect(address(282,33))+indirect(address(280,34))-indirect(address(281,34))</f>
        <v>0</v>
      </c>
      <c r="AI282">
        <f>indirect(address(282,34))+indirect(address(280,35))-indirect(address(281,35))</f>
        <v>0</v>
      </c>
      <c r="AJ282">
        <f>indirect(address(282,35))+indirect(address(280,36))-indirect(address(281,36))</f>
        <v>0</v>
      </c>
      <c r="AK282">
        <f>indirect(address(282,36))+indirect(address(280,37))-indirect(address(281,37))</f>
        <v>0</v>
      </c>
      <c r="AL282">
        <f>indirect(address(282,37))+indirect(address(280,38))-indirect(address(281,38))</f>
        <v>0</v>
      </c>
      <c r="AM282">
        <f>indirect(address(282,38))+indirect(address(280,39))-indirect(address(281,39))</f>
        <v>0</v>
      </c>
      <c r="AN282">
        <f>indirect(address(282,39))+indirect(address(280,40))-indirect(address(281,40))</f>
        <v>0</v>
      </c>
      <c r="AO282">
        <f>indirect(address(282,40))+indirect(address(280,41))-indirect(address(281,41))</f>
        <v>0</v>
      </c>
    </row>
    <row r="283" spans="1:41">
      <c r="I283" t="s">
        <v>14</v>
      </c>
      <c r="AO283">
        <f>sum(j283:an283)</f>
        <v>0</v>
      </c>
    </row>
    <row r="284" spans="1:41">
      <c r="I284" t="s">
        <v>15</v>
      </c>
      <c r="J284">
        <f>sumif(Plan!B:B,"261-000000-009",Plan!j:j)</f>
        <v>0</v>
      </c>
      <c r="K284">
        <f>sumif(Plan!B:B,"261-000000-009",Plan!k:k)</f>
        <v>0</v>
      </c>
      <c r="L284">
        <f>sumif(Plan!B:B,"261-000000-009",Plan!l:l)</f>
        <v>0</v>
      </c>
      <c r="M284">
        <f>sumif(Plan!B:B,"261-000000-009",Plan!m:m)</f>
        <v>0</v>
      </c>
      <c r="N284">
        <f>sumif(Plan!B:B,"261-000000-009",Plan!n:n)</f>
        <v>0</v>
      </c>
      <c r="O284">
        <f>sumif(Plan!B:B,"261-000000-009",Plan!o:o)</f>
        <v>0</v>
      </c>
      <c r="P284">
        <f>sumif(Plan!B:B,"261-000000-009",Plan!p:p)</f>
        <v>0</v>
      </c>
      <c r="Q284">
        <f>sumif(Plan!B:B,"261-000000-009",Plan!q:q)</f>
        <v>0</v>
      </c>
      <c r="R284">
        <f>sumif(Plan!B:B,"261-000000-009",Plan!r:r)</f>
        <v>0</v>
      </c>
      <c r="S284">
        <f>sumif(Plan!B:B,"261-000000-009",Plan!s:s)</f>
        <v>0</v>
      </c>
      <c r="T284">
        <f>sumif(Plan!B:B,"261-000000-009",Plan!t:t)</f>
        <v>0</v>
      </c>
      <c r="U284">
        <f>sumif(Plan!B:B,"261-000000-009",Plan!u:u)</f>
        <v>0</v>
      </c>
      <c r="V284">
        <f>sumif(Plan!B:B,"261-000000-009",Plan!v:v)</f>
        <v>0</v>
      </c>
      <c r="W284">
        <f>sumif(Plan!B:B,"261-000000-009",Plan!w:w)</f>
        <v>0</v>
      </c>
      <c r="X284">
        <f>sumif(Plan!B:B,"261-000000-009",Plan!x:x)</f>
        <v>0</v>
      </c>
      <c r="Y284">
        <f>sumif(Plan!B:B,"261-000000-009",Plan!y:y)</f>
        <v>0</v>
      </c>
      <c r="Z284">
        <f>sumif(Plan!B:B,"261-000000-009",Plan!z:z)</f>
        <v>0</v>
      </c>
      <c r="AA284">
        <f>sumif(Plan!B:B,"261-000000-009",Plan!aa:aa)</f>
        <v>0</v>
      </c>
      <c r="AB284">
        <f>sumif(Plan!B:B,"261-000000-009",Plan!ab:ab)</f>
        <v>0</v>
      </c>
      <c r="AC284">
        <f>sumif(Plan!B:B,"261-000000-009",Plan!ac:ac)</f>
        <v>0</v>
      </c>
      <c r="AD284">
        <f>sumif(Plan!B:B,"261-000000-009",Plan!ad:ad)</f>
        <v>0</v>
      </c>
      <c r="AE284">
        <f>sumif(Plan!B:B,"261-000000-009",Plan!ae:ae)</f>
        <v>0</v>
      </c>
      <c r="AF284">
        <f>sumif(Plan!B:B,"261-000000-009",Plan!af:af)</f>
        <v>0</v>
      </c>
      <c r="AG284">
        <f>sumif(Plan!B:B,"261-000000-009",Plan!ag:ag)</f>
        <v>0</v>
      </c>
      <c r="AH284">
        <f>sumif(Plan!B:B,"261-000000-009",Plan!ah:ah)</f>
        <v>0</v>
      </c>
      <c r="AI284">
        <f>sumif(Plan!B:B,"261-000000-009",Plan!ai:ai)</f>
        <v>0</v>
      </c>
      <c r="AJ284">
        <f>sumif(Plan!B:B,"261-000000-009",Plan!aj:aj)</f>
        <v>0</v>
      </c>
      <c r="AK284">
        <f>sumif(Plan!B:B,"261-000000-009",Plan!ak:ak)</f>
        <v>0</v>
      </c>
      <c r="AL284">
        <f>sumif(Plan!B:B,"261-000000-009",Plan!al:al)</f>
        <v>0</v>
      </c>
      <c r="AM284">
        <f>sumif(Plan!B:B,"261-000000-009",Plan!am:am)</f>
        <v>0</v>
      </c>
      <c r="AN284">
        <f>sumif(Plan!B:B,"261-000000-009",Plan!an:an)</f>
        <v>0</v>
      </c>
      <c r="AO284">
        <f>sumif(Plan!B:B,"261-000000-009",Plan!ao:ao)</f>
        <v>0</v>
      </c>
    </row>
    <row r="285" spans="1:41">
      <c r="A285" t="s">
        <v>22</v>
      </c>
      <c r="B285" t="s">
        <v>205</v>
      </c>
      <c r="C285" t="s">
        <v>206</v>
      </c>
      <c r="E285">
        <v>1</v>
      </c>
      <c r="H285" t="s">
        <v>16</v>
      </c>
      <c r="J285">
        <f>indirect(address(285,9))+indirect(address(283,10))-indirect(address(284,10))</f>
        <v>0</v>
      </c>
      <c r="K285">
        <f>indirect(address(285,10))+indirect(address(283,11))-indirect(address(284,11))</f>
        <v>0</v>
      </c>
      <c r="L285">
        <f>indirect(address(285,11))+indirect(address(283,12))-indirect(address(284,12))</f>
        <v>0</v>
      </c>
      <c r="M285">
        <f>indirect(address(285,12))+indirect(address(283,13))-indirect(address(284,13))</f>
        <v>0</v>
      </c>
      <c r="N285">
        <f>indirect(address(285,13))+indirect(address(283,14))-indirect(address(284,14))</f>
        <v>0</v>
      </c>
      <c r="O285">
        <f>indirect(address(285,14))+indirect(address(283,15))-indirect(address(284,15))</f>
        <v>0</v>
      </c>
      <c r="P285">
        <f>indirect(address(285,15))+indirect(address(283,16))-indirect(address(284,16))</f>
        <v>0</v>
      </c>
      <c r="Q285">
        <f>indirect(address(285,16))+indirect(address(283,17))-indirect(address(284,17))</f>
        <v>0</v>
      </c>
      <c r="R285">
        <f>indirect(address(285,17))+indirect(address(283,18))-indirect(address(284,18))</f>
        <v>0</v>
      </c>
      <c r="S285">
        <f>indirect(address(285,18))+indirect(address(283,19))-indirect(address(284,19))</f>
        <v>0</v>
      </c>
      <c r="T285">
        <f>indirect(address(285,19))+indirect(address(283,20))-indirect(address(284,20))</f>
        <v>0</v>
      </c>
      <c r="U285">
        <f>indirect(address(285,20))+indirect(address(283,21))-indirect(address(284,21))</f>
        <v>0</v>
      </c>
      <c r="V285">
        <f>indirect(address(285,21))+indirect(address(283,22))-indirect(address(284,22))</f>
        <v>0</v>
      </c>
      <c r="W285">
        <f>indirect(address(285,22))+indirect(address(283,23))-indirect(address(284,23))</f>
        <v>0</v>
      </c>
      <c r="X285">
        <f>indirect(address(285,23))+indirect(address(283,24))-indirect(address(284,24))</f>
        <v>0</v>
      </c>
      <c r="Y285">
        <f>indirect(address(285,24))+indirect(address(283,25))-indirect(address(284,25))</f>
        <v>0</v>
      </c>
      <c r="Z285">
        <f>indirect(address(285,25))+indirect(address(283,26))-indirect(address(284,26))</f>
        <v>0</v>
      </c>
      <c r="AA285">
        <f>indirect(address(285,26))+indirect(address(283,27))-indirect(address(284,27))</f>
        <v>0</v>
      </c>
      <c r="AB285">
        <f>indirect(address(285,27))+indirect(address(283,28))-indirect(address(284,28))</f>
        <v>0</v>
      </c>
      <c r="AC285">
        <f>indirect(address(285,28))+indirect(address(283,29))-indirect(address(284,29))</f>
        <v>0</v>
      </c>
      <c r="AD285">
        <f>indirect(address(285,29))+indirect(address(283,30))-indirect(address(284,30))</f>
        <v>0</v>
      </c>
      <c r="AE285">
        <f>indirect(address(285,30))+indirect(address(283,31))-indirect(address(284,31))</f>
        <v>0</v>
      </c>
      <c r="AF285">
        <f>indirect(address(285,31))+indirect(address(283,32))-indirect(address(284,32))</f>
        <v>0</v>
      </c>
      <c r="AG285">
        <f>indirect(address(285,32))+indirect(address(283,33))-indirect(address(284,33))</f>
        <v>0</v>
      </c>
      <c r="AH285">
        <f>indirect(address(285,33))+indirect(address(283,34))-indirect(address(284,34))</f>
        <v>0</v>
      </c>
      <c r="AI285">
        <f>indirect(address(285,34))+indirect(address(283,35))-indirect(address(284,35))</f>
        <v>0</v>
      </c>
      <c r="AJ285">
        <f>indirect(address(285,35))+indirect(address(283,36))-indirect(address(284,36))</f>
        <v>0</v>
      </c>
      <c r="AK285">
        <f>indirect(address(285,36))+indirect(address(283,37))-indirect(address(284,37))</f>
        <v>0</v>
      </c>
      <c r="AL285">
        <f>indirect(address(285,37))+indirect(address(283,38))-indirect(address(284,38))</f>
        <v>0</v>
      </c>
      <c r="AM285">
        <f>indirect(address(285,38))+indirect(address(283,39))-indirect(address(284,39))</f>
        <v>0</v>
      </c>
      <c r="AN285">
        <f>indirect(address(285,39))+indirect(address(283,40))-indirect(address(284,40))</f>
        <v>0</v>
      </c>
      <c r="AO285">
        <f>indirect(address(285,40))+indirect(address(283,41))-indirect(address(284,41))</f>
        <v>0</v>
      </c>
    </row>
    <row r="286" spans="1:41">
      <c r="I286" t="s">
        <v>14</v>
      </c>
      <c r="AO286">
        <f>sum(j286:an286)</f>
        <v>0</v>
      </c>
    </row>
    <row r="287" spans="1:41">
      <c r="I287" t="s">
        <v>15</v>
      </c>
      <c r="J287">
        <f>sumif(Plan!B:B,"824-700000-200",Plan!j:j)</f>
        <v>0</v>
      </c>
      <c r="K287">
        <f>sumif(Plan!B:B,"824-700000-200",Plan!k:k)</f>
        <v>0</v>
      </c>
      <c r="L287">
        <f>sumif(Plan!B:B,"824-700000-200",Plan!l:l)</f>
        <v>0</v>
      </c>
      <c r="M287">
        <f>sumif(Plan!B:B,"824-700000-200",Plan!m:m)</f>
        <v>0</v>
      </c>
      <c r="N287">
        <f>sumif(Plan!B:B,"824-700000-200",Plan!n:n)</f>
        <v>0</v>
      </c>
      <c r="O287">
        <f>sumif(Plan!B:B,"824-700000-200",Plan!o:o)</f>
        <v>0</v>
      </c>
      <c r="P287">
        <f>sumif(Plan!B:B,"824-700000-200",Plan!p:p)</f>
        <v>0</v>
      </c>
      <c r="Q287">
        <f>sumif(Plan!B:B,"824-700000-200",Plan!q:q)</f>
        <v>0</v>
      </c>
      <c r="R287">
        <f>sumif(Plan!B:B,"824-700000-200",Plan!r:r)</f>
        <v>0</v>
      </c>
      <c r="S287">
        <f>sumif(Plan!B:B,"824-700000-200",Plan!s:s)</f>
        <v>0</v>
      </c>
      <c r="T287">
        <f>sumif(Plan!B:B,"824-700000-200",Plan!t:t)</f>
        <v>0</v>
      </c>
      <c r="U287">
        <f>sumif(Plan!B:B,"824-700000-200",Plan!u:u)</f>
        <v>0</v>
      </c>
      <c r="V287">
        <f>sumif(Plan!B:B,"824-700000-200",Plan!v:v)</f>
        <v>0</v>
      </c>
      <c r="W287">
        <f>sumif(Plan!B:B,"824-700000-200",Plan!w:w)</f>
        <v>0</v>
      </c>
      <c r="X287">
        <f>sumif(Plan!B:B,"824-700000-200",Plan!x:x)</f>
        <v>0</v>
      </c>
      <c r="Y287">
        <f>sumif(Plan!B:B,"824-700000-200",Plan!y:y)</f>
        <v>0</v>
      </c>
      <c r="Z287">
        <f>sumif(Plan!B:B,"824-700000-200",Plan!z:z)</f>
        <v>0</v>
      </c>
      <c r="AA287">
        <f>sumif(Plan!B:B,"824-700000-200",Plan!aa:aa)</f>
        <v>0</v>
      </c>
      <c r="AB287">
        <f>sumif(Plan!B:B,"824-700000-200",Plan!ab:ab)</f>
        <v>0</v>
      </c>
      <c r="AC287">
        <f>sumif(Plan!B:B,"824-700000-200",Plan!ac:ac)</f>
        <v>0</v>
      </c>
      <c r="AD287">
        <f>sumif(Plan!B:B,"824-700000-200",Plan!ad:ad)</f>
        <v>0</v>
      </c>
      <c r="AE287">
        <f>sumif(Plan!B:B,"824-700000-200",Plan!ae:ae)</f>
        <v>0</v>
      </c>
      <c r="AF287">
        <f>sumif(Plan!B:B,"824-700000-200",Plan!af:af)</f>
        <v>0</v>
      </c>
      <c r="AG287">
        <f>sumif(Plan!B:B,"824-700000-200",Plan!ag:ag)</f>
        <v>0</v>
      </c>
      <c r="AH287">
        <f>sumif(Plan!B:B,"824-700000-200",Plan!ah:ah)</f>
        <v>0</v>
      </c>
      <c r="AI287">
        <f>sumif(Plan!B:B,"824-700000-200",Plan!ai:ai)</f>
        <v>0</v>
      </c>
      <c r="AJ287">
        <f>sumif(Plan!B:B,"824-700000-200",Plan!aj:aj)</f>
        <v>0</v>
      </c>
      <c r="AK287">
        <f>sumif(Plan!B:B,"824-700000-200",Plan!ak:ak)</f>
        <v>0</v>
      </c>
      <c r="AL287">
        <f>sumif(Plan!B:B,"824-700000-200",Plan!al:al)</f>
        <v>0</v>
      </c>
      <c r="AM287">
        <f>sumif(Plan!B:B,"824-700000-200",Plan!am:am)</f>
        <v>0</v>
      </c>
      <c r="AN287">
        <f>sumif(Plan!B:B,"824-700000-200",Plan!an:an)</f>
        <v>0</v>
      </c>
      <c r="AO287">
        <f>sumif(Plan!B:B,"824-700000-200",Plan!ao:ao)</f>
        <v>0</v>
      </c>
    </row>
    <row r="288" spans="1:41">
      <c r="A288" t="s">
        <v>17</v>
      </c>
      <c r="B288" t="s">
        <v>187</v>
      </c>
      <c r="C288" t="s">
        <v>209</v>
      </c>
      <c r="E288">
        <v>1</v>
      </c>
      <c r="H288" t="s">
        <v>16</v>
      </c>
      <c r="J288">
        <f>indirect(address(288,9))+indirect(address(286,10))-indirect(address(287,10))</f>
        <v>0</v>
      </c>
      <c r="K288">
        <f>indirect(address(288,10))+indirect(address(286,11))-indirect(address(287,11))</f>
        <v>0</v>
      </c>
      <c r="L288">
        <f>indirect(address(288,11))+indirect(address(286,12))-indirect(address(287,12))</f>
        <v>0</v>
      </c>
      <c r="M288">
        <f>indirect(address(288,12))+indirect(address(286,13))-indirect(address(287,13))</f>
        <v>0</v>
      </c>
      <c r="N288">
        <f>indirect(address(288,13))+indirect(address(286,14))-indirect(address(287,14))</f>
        <v>0</v>
      </c>
      <c r="O288">
        <f>indirect(address(288,14))+indirect(address(286,15))-indirect(address(287,15))</f>
        <v>0</v>
      </c>
      <c r="P288">
        <f>indirect(address(288,15))+indirect(address(286,16))-indirect(address(287,16))</f>
        <v>0</v>
      </c>
      <c r="Q288">
        <f>indirect(address(288,16))+indirect(address(286,17))-indirect(address(287,17))</f>
        <v>0</v>
      </c>
      <c r="R288">
        <f>indirect(address(288,17))+indirect(address(286,18))-indirect(address(287,18))</f>
        <v>0</v>
      </c>
      <c r="S288">
        <f>indirect(address(288,18))+indirect(address(286,19))-indirect(address(287,19))</f>
        <v>0</v>
      </c>
      <c r="T288">
        <f>indirect(address(288,19))+indirect(address(286,20))-indirect(address(287,20))</f>
        <v>0</v>
      </c>
      <c r="U288">
        <f>indirect(address(288,20))+indirect(address(286,21))-indirect(address(287,21))</f>
        <v>0</v>
      </c>
      <c r="V288">
        <f>indirect(address(288,21))+indirect(address(286,22))-indirect(address(287,22))</f>
        <v>0</v>
      </c>
      <c r="W288">
        <f>indirect(address(288,22))+indirect(address(286,23))-indirect(address(287,23))</f>
        <v>0</v>
      </c>
      <c r="X288">
        <f>indirect(address(288,23))+indirect(address(286,24))-indirect(address(287,24))</f>
        <v>0</v>
      </c>
      <c r="Y288">
        <f>indirect(address(288,24))+indirect(address(286,25))-indirect(address(287,25))</f>
        <v>0</v>
      </c>
      <c r="Z288">
        <f>indirect(address(288,25))+indirect(address(286,26))-indirect(address(287,26))</f>
        <v>0</v>
      </c>
      <c r="AA288">
        <f>indirect(address(288,26))+indirect(address(286,27))-indirect(address(287,27))</f>
        <v>0</v>
      </c>
      <c r="AB288">
        <f>indirect(address(288,27))+indirect(address(286,28))-indirect(address(287,28))</f>
        <v>0</v>
      </c>
      <c r="AC288">
        <f>indirect(address(288,28))+indirect(address(286,29))-indirect(address(287,29))</f>
        <v>0</v>
      </c>
      <c r="AD288">
        <f>indirect(address(288,29))+indirect(address(286,30))-indirect(address(287,30))</f>
        <v>0</v>
      </c>
      <c r="AE288">
        <f>indirect(address(288,30))+indirect(address(286,31))-indirect(address(287,31))</f>
        <v>0</v>
      </c>
      <c r="AF288">
        <f>indirect(address(288,31))+indirect(address(286,32))-indirect(address(287,32))</f>
        <v>0</v>
      </c>
      <c r="AG288">
        <f>indirect(address(288,32))+indirect(address(286,33))-indirect(address(287,33))</f>
        <v>0</v>
      </c>
      <c r="AH288">
        <f>indirect(address(288,33))+indirect(address(286,34))-indirect(address(287,34))</f>
        <v>0</v>
      </c>
      <c r="AI288">
        <f>indirect(address(288,34))+indirect(address(286,35))-indirect(address(287,35))</f>
        <v>0</v>
      </c>
      <c r="AJ288">
        <f>indirect(address(288,35))+indirect(address(286,36))-indirect(address(287,36))</f>
        <v>0</v>
      </c>
      <c r="AK288">
        <f>indirect(address(288,36))+indirect(address(286,37))-indirect(address(287,37))</f>
        <v>0</v>
      </c>
      <c r="AL288">
        <f>indirect(address(288,37))+indirect(address(286,38))-indirect(address(287,38))</f>
        <v>0</v>
      </c>
      <c r="AM288">
        <f>indirect(address(288,38))+indirect(address(286,39))-indirect(address(287,39))</f>
        <v>0</v>
      </c>
      <c r="AN288">
        <f>indirect(address(288,39))+indirect(address(286,40))-indirect(address(287,40))</f>
        <v>0</v>
      </c>
      <c r="AO288">
        <f>indirect(address(288,40))+indirect(address(286,41))-indirect(address(287,41))</f>
        <v>0</v>
      </c>
    </row>
    <row r="289" spans="1:41">
      <c r="I289" t="s">
        <v>14</v>
      </c>
      <c r="AO289">
        <f>sum(j289:an289)</f>
        <v>0</v>
      </c>
    </row>
    <row r="290" spans="1:41">
      <c r="I290" t="s">
        <v>15</v>
      </c>
      <c r="J290">
        <f>sumif(Plan!B:B,"824-707000-200",Plan!j:j)</f>
        <v>0</v>
      </c>
      <c r="K290">
        <f>sumif(Plan!B:B,"824-707000-200",Plan!k:k)</f>
        <v>0</v>
      </c>
      <c r="L290">
        <f>sumif(Plan!B:B,"824-707000-200",Plan!l:l)</f>
        <v>0</v>
      </c>
      <c r="M290">
        <f>sumif(Plan!B:B,"824-707000-200",Plan!m:m)</f>
        <v>0</v>
      </c>
      <c r="N290">
        <f>sumif(Plan!B:B,"824-707000-200",Plan!n:n)</f>
        <v>0</v>
      </c>
      <c r="O290">
        <f>sumif(Plan!B:B,"824-707000-200",Plan!o:o)</f>
        <v>0</v>
      </c>
      <c r="P290">
        <f>sumif(Plan!B:B,"824-707000-200",Plan!p:p)</f>
        <v>0</v>
      </c>
      <c r="Q290">
        <f>sumif(Plan!B:B,"824-707000-200",Plan!q:q)</f>
        <v>0</v>
      </c>
      <c r="R290">
        <f>sumif(Plan!B:B,"824-707000-200",Plan!r:r)</f>
        <v>0</v>
      </c>
      <c r="S290">
        <f>sumif(Plan!B:B,"824-707000-200",Plan!s:s)</f>
        <v>0</v>
      </c>
      <c r="T290">
        <f>sumif(Plan!B:B,"824-707000-200",Plan!t:t)</f>
        <v>0</v>
      </c>
      <c r="U290">
        <f>sumif(Plan!B:B,"824-707000-200",Plan!u:u)</f>
        <v>0</v>
      </c>
      <c r="V290">
        <f>sumif(Plan!B:B,"824-707000-200",Plan!v:v)</f>
        <v>0</v>
      </c>
      <c r="W290">
        <f>sumif(Plan!B:B,"824-707000-200",Plan!w:w)</f>
        <v>0</v>
      </c>
      <c r="X290">
        <f>sumif(Plan!B:B,"824-707000-200",Plan!x:x)</f>
        <v>0</v>
      </c>
      <c r="Y290">
        <f>sumif(Plan!B:B,"824-707000-200",Plan!y:y)</f>
        <v>0</v>
      </c>
      <c r="Z290">
        <f>sumif(Plan!B:B,"824-707000-200",Plan!z:z)</f>
        <v>0</v>
      </c>
      <c r="AA290">
        <f>sumif(Plan!B:B,"824-707000-200",Plan!aa:aa)</f>
        <v>0</v>
      </c>
      <c r="AB290">
        <f>sumif(Plan!B:B,"824-707000-200",Plan!ab:ab)</f>
        <v>0</v>
      </c>
      <c r="AC290">
        <f>sumif(Plan!B:B,"824-707000-200",Plan!ac:ac)</f>
        <v>0</v>
      </c>
      <c r="AD290">
        <f>sumif(Plan!B:B,"824-707000-200",Plan!ad:ad)</f>
        <v>0</v>
      </c>
      <c r="AE290">
        <f>sumif(Plan!B:B,"824-707000-200",Plan!ae:ae)</f>
        <v>0</v>
      </c>
      <c r="AF290">
        <f>sumif(Plan!B:B,"824-707000-200",Plan!af:af)</f>
        <v>0</v>
      </c>
      <c r="AG290">
        <f>sumif(Plan!B:B,"824-707000-200",Plan!ag:ag)</f>
        <v>0</v>
      </c>
      <c r="AH290">
        <f>sumif(Plan!B:B,"824-707000-200",Plan!ah:ah)</f>
        <v>0</v>
      </c>
      <c r="AI290">
        <f>sumif(Plan!B:B,"824-707000-200",Plan!ai:ai)</f>
        <v>0</v>
      </c>
      <c r="AJ290">
        <f>sumif(Plan!B:B,"824-707000-200",Plan!aj:aj)</f>
        <v>0</v>
      </c>
      <c r="AK290">
        <f>sumif(Plan!B:B,"824-707000-200",Plan!ak:ak)</f>
        <v>0</v>
      </c>
      <c r="AL290">
        <f>sumif(Plan!B:B,"824-707000-200",Plan!al:al)</f>
        <v>0</v>
      </c>
      <c r="AM290">
        <f>sumif(Plan!B:B,"824-707000-200",Plan!am:am)</f>
        <v>0</v>
      </c>
      <c r="AN290">
        <f>sumif(Plan!B:B,"824-707000-200",Plan!an:an)</f>
        <v>0</v>
      </c>
      <c r="AO290">
        <f>sumif(Plan!B:B,"824-707000-200",Plan!ao:ao)</f>
        <v>0</v>
      </c>
    </row>
    <row r="291" spans="1:41">
      <c r="A291" t="s">
        <v>17</v>
      </c>
      <c r="B291" t="s">
        <v>189</v>
      </c>
      <c r="C291" t="s">
        <v>210</v>
      </c>
      <c r="E291">
        <v>1</v>
      </c>
      <c r="H291" t="s">
        <v>16</v>
      </c>
      <c r="J291">
        <f>indirect(address(291,9))+indirect(address(289,10))-indirect(address(290,10))</f>
        <v>0</v>
      </c>
      <c r="K291">
        <f>indirect(address(291,10))+indirect(address(289,11))-indirect(address(290,11))</f>
        <v>0</v>
      </c>
      <c r="L291">
        <f>indirect(address(291,11))+indirect(address(289,12))-indirect(address(290,12))</f>
        <v>0</v>
      </c>
      <c r="M291">
        <f>indirect(address(291,12))+indirect(address(289,13))-indirect(address(290,13))</f>
        <v>0</v>
      </c>
      <c r="N291">
        <f>indirect(address(291,13))+indirect(address(289,14))-indirect(address(290,14))</f>
        <v>0</v>
      </c>
      <c r="O291">
        <f>indirect(address(291,14))+indirect(address(289,15))-indirect(address(290,15))</f>
        <v>0</v>
      </c>
      <c r="P291">
        <f>indirect(address(291,15))+indirect(address(289,16))-indirect(address(290,16))</f>
        <v>0</v>
      </c>
      <c r="Q291">
        <f>indirect(address(291,16))+indirect(address(289,17))-indirect(address(290,17))</f>
        <v>0</v>
      </c>
      <c r="R291">
        <f>indirect(address(291,17))+indirect(address(289,18))-indirect(address(290,18))</f>
        <v>0</v>
      </c>
      <c r="S291">
        <f>indirect(address(291,18))+indirect(address(289,19))-indirect(address(290,19))</f>
        <v>0</v>
      </c>
      <c r="T291">
        <f>indirect(address(291,19))+indirect(address(289,20))-indirect(address(290,20))</f>
        <v>0</v>
      </c>
      <c r="U291">
        <f>indirect(address(291,20))+indirect(address(289,21))-indirect(address(290,21))</f>
        <v>0</v>
      </c>
      <c r="V291">
        <f>indirect(address(291,21))+indirect(address(289,22))-indirect(address(290,22))</f>
        <v>0</v>
      </c>
      <c r="W291">
        <f>indirect(address(291,22))+indirect(address(289,23))-indirect(address(290,23))</f>
        <v>0</v>
      </c>
      <c r="X291">
        <f>indirect(address(291,23))+indirect(address(289,24))-indirect(address(290,24))</f>
        <v>0</v>
      </c>
      <c r="Y291">
        <f>indirect(address(291,24))+indirect(address(289,25))-indirect(address(290,25))</f>
        <v>0</v>
      </c>
      <c r="Z291">
        <f>indirect(address(291,25))+indirect(address(289,26))-indirect(address(290,26))</f>
        <v>0</v>
      </c>
      <c r="AA291">
        <f>indirect(address(291,26))+indirect(address(289,27))-indirect(address(290,27))</f>
        <v>0</v>
      </c>
      <c r="AB291">
        <f>indirect(address(291,27))+indirect(address(289,28))-indirect(address(290,28))</f>
        <v>0</v>
      </c>
      <c r="AC291">
        <f>indirect(address(291,28))+indirect(address(289,29))-indirect(address(290,29))</f>
        <v>0</v>
      </c>
      <c r="AD291">
        <f>indirect(address(291,29))+indirect(address(289,30))-indirect(address(290,30))</f>
        <v>0</v>
      </c>
      <c r="AE291">
        <f>indirect(address(291,30))+indirect(address(289,31))-indirect(address(290,31))</f>
        <v>0</v>
      </c>
      <c r="AF291">
        <f>indirect(address(291,31))+indirect(address(289,32))-indirect(address(290,32))</f>
        <v>0</v>
      </c>
      <c r="AG291">
        <f>indirect(address(291,32))+indirect(address(289,33))-indirect(address(290,33))</f>
        <v>0</v>
      </c>
      <c r="AH291">
        <f>indirect(address(291,33))+indirect(address(289,34))-indirect(address(290,34))</f>
        <v>0</v>
      </c>
      <c r="AI291">
        <f>indirect(address(291,34))+indirect(address(289,35))-indirect(address(290,35))</f>
        <v>0</v>
      </c>
      <c r="AJ291">
        <f>indirect(address(291,35))+indirect(address(289,36))-indirect(address(290,36))</f>
        <v>0</v>
      </c>
      <c r="AK291">
        <f>indirect(address(291,36))+indirect(address(289,37))-indirect(address(290,37))</f>
        <v>0</v>
      </c>
      <c r="AL291">
        <f>indirect(address(291,37))+indirect(address(289,38))-indirect(address(290,38))</f>
        <v>0</v>
      </c>
      <c r="AM291">
        <f>indirect(address(291,38))+indirect(address(289,39))-indirect(address(290,39))</f>
        <v>0</v>
      </c>
      <c r="AN291">
        <f>indirect(address(291,39))+indirect(address(289,40))-indirect(address(290,40))</f>
        <v>0</v>
      </c>
      <c r="AO291">
        <f>indirect(address(291,40))+indirect(address(289,41))-indirect(address(290,41))</f>
        <v>0</v>
      </c>
    </row>
    <row r="292" spans="1:41">
      <c r="I292" t="s">
        <v>14</v>
      </c>
      <c r="AO292">
        <f>sum(j292:an292)</f>
        <v>0</v>
      </c>
    </row>
    <row r="293" spans="1:41">
      <c r="I293" t="s">
        <v>15</v>
      </c>
      <c r="J293">
        <f>sumif(Plan!B:B,"824-701000-100",Plan!j:j)</f>
        <v>0</v>
      </c>
      <c r="K293">
        <f>sumif(Plan!B:B,"824-701000-100",Plan!k:k)</f>
        <v>0</v>
      </c>
      <c r="L293">
        <f>sumif(Plan!B:B,"824-701000-100",Plan!l:l)</f>
        <v>0</v>
      </c>
      <c r="M293">
        <f>sumif(Plan!B:B,"824-701000-100",Plan!m:m)</f>
        <v>0</v>
      </c>
      <c r="N293">
        <f>sumif(Plan!B:B,"824-701000-100",Plan!n:n)</f>
        <v>0</v>
      </c>
      <c r="O293">
        <f>sumif(Plan!B:B,"824-701000-100",Plan!o:o)</f>
        <v>0</v>
      </c>
      <c r="P293">
        <f>sumif(Plan!B:B,"824-701000-100",Plan!p:p)</f>
        <v>0</v>
      </c>
      <c r="Q293">
        <f>sumif(Plan!B:B,"824-701000-100",Plan!q:q)</f>
        <v>0</v>
      </c>
      <c r="R293">
        <f>sumif(Plan!B:B,"824-701000-100",Plan!r:r)</f>
        <v>0</v>
      </c>
      <c r="S293">
        <f>sumif(Plan!B:B,"824-701000-100",Plan!s:s)</f>
        <v>0</v>
      </c>
      <c r="T293">
        <f>sumif(Plan!B:B,"824-701000-100",Plan!t:t)</f>
        <v>0</v>
      </c>
      <c r="U293">
        <f>sumif(Plan!B:B,"824-701000-100",Plan!u:u)</f>
        <v>0</v>
      </c>
      <c r="V293">
        <f>sumif(Plan!B:B,"824-701000-100",Plan!v:v)</f>
        <v>0</v>
      </c>
      <c r="W293">
        <f>sumif(Plan!B:B,"824-701000-100",Plan!w:w)</f>
        <v>0</v>
      </c>
      <c r="X293">
        <f>sumif(Plan!B:B,"824-701000-100",Plan!x:x)</f>
        <v>0</v>
      </c>
      <c r="Y293">
        <f>sumif(Plan!B:B,"824-701000-100",Plan!y:y)</f>
        <v>0</v>
      </c>
      <c r="Z293">
        <f>sumif(Plan!B:B,"824-701000-100",Plan!z:z)</f>
        <v>0</v>
      </c>
      <c r="AA293">
        <f>sumif(Plan!B:B,"824-701000-100",Plan!aa:aa)</f>
        <v>0</v>
      </c>
      <c r="AB293">
        <f>sumif(Plan!B:B,"824-701000-100",Plan!ab:ab)</f>
        <v>0</v>
      </c>
      <c r="AC293">
        <f>sumif(Plan!B:B,"824-701000-100",Plan!ac:ac)</f>
        <v>0</v>
      </c>
      <c r="AD293">
        <f>sumif(Plan!B:B,"824-701000-100",Plan!ad:ad)</f>
        <v>0</v>
      </c>
      <c r="AE293">
        <f>sumif(Plan!B:B,"824-701000-100",Plan!ae:ae)</f>
        <v>0</v>
      </c>
      <c r="AF293">
        <f>sumif(Plan!B:B,"824-701000-100",Plan!af:af)</f>
        <v>0</v>
      </c>
      <c r="AG293">
        <f>sumif(Plan!B:B,"824-701000-100",Plan!ag:ag)</f>
        <v>0</v>
      </c>
      <c r="AH293">
        <f>sumif(Plan!B:B,"824-701000-100",Plan!ah:ah)</f>
        <v>0</v>
      </c>
      <c r="AI293">
        <f>sumif(Plan!B:B,"824-701000-100",Plan!ai:ai)</f>
        <v>0</v>
      </c>
      <c r="AJ293">
        <f>sumif(Plan!B:B,"824-701000-100",Plan!aj:aj)</f>
        <v>0</v>
      </c>
      <c r="AK293">
        <f>sumif(Plan!B:B,"824-701000-100",Plan!ak:ak)</f>
        <v>0</v>
      </c>
      <c r="AL293">
        <f>sumif(Plan!B:B,"824-701000-100",Plan!al:al)</f>
        <v>0</v>
      </c>
      <c r="AM293">
        <f>sumif(Plan!B:B,"824-701000-100",Plan!am:am)</f>
        <v>0</v>
      </c>
      <c r="AN293">
        <f>sumif(Plan!B:B,"824-701000-100",Plan!an:an)</f>
        <v>0</v>
      </c>
      <c r="AO293">
        <f>sumif(Plan!B:B,"824-701000-100",Plan!ao:ao)</f>
        <v>0</v>
      </c>
    </row>
    <row r="294" spans="1:41">
      <c r="A294" t="s">
        <v>17</v>
      </c>
      <c r="B294" t="s">
        <v>211</v>
      </c>
      <c r="C294" t="s">
        <v>213</v>
      </c>
      <c r="E294">
        <v>1</v>
      </c>
      <c r="H294" t="s">
        <v>16</v>
      </c>
      <c r="J294">
        <f>indirect(address(294,9))+indirect(address(292,10))-indirect(address(293,10))</f>
        <v>0</v>
      </c>
      <c r="K294">
        <f>indirect(address(294,10))+indirect(address(292,11))-indirect(address(293,11))</f>
        <v>0</v>
      </c>
      <c r="L294">
        <f>indirect(address(294,11))+indirect(address(292,12))-indirect(address(293,12))</f>
        <v>0</v>
      </c>
      <c r="M294">
        <f>indirect(address(294,12))+indirect(address(292,13))-indirect(address(293,13))</f>
        <v>0</v>
      </c>
      <c r="N294">
        <f>indirect(address(294,13))+indirect(address(292,14))-indirect(address(293,14))</f>
        <v>0</v>
      </c>
      <c r="O294">
        <f>indirect(address(294,14))+indirect(address(292,15))-indirect(address(293,15))</f>
        <v>0</v>
      </c>
      <c r="P294">
        <f>indirect(address(294,15))+indirect(address(292,16))-indirect(address(293,16))</f>
        <v>0</v>
      </c>
      <c r="Q294">
        <f>indirect(address(294,16))+indirect(address(292,17))-indirect(address(293,17))</f>
        <v>0</v>
      </c>
      <c r="R294">
        <f>indirect(address(294,17))+indirect(address(292,18))-indirect(address(293,18))</f>
        <v>0</v>
      </c>
      <c r="S294">
        <f>indirect(address(294,18))+indirect(address(292,19))-indirect(address(293,19))</f>
        <v>0</v>
      </c>
      <c r="T294">
        <f>indirect(address(294,19))+indirect(address(292,20))-indirect(address(293,20))</f>
        <v>0</v>
      </c>
      <c r="U294">
        <f>indirect(address(294,20))+indirect(address(292,21))-indirect(address(293,21))</f>
        <v>0</v>
      </c>
      <c r="V294">
        <f>indirect(address(294,21))+indirect(address(292,22))-indirect(address(293,22))</f>
        <v>0</v>
      </c>
      <c r="W294">
        <f>indirect(address(294,22))+indirect(address(292,23))-indirect(address(293,23))</f>
        <v>0</v>
      </c>
      <c r="X294">
        <f>indirect(address(294,23))+indirect(address(292,24))-indirect(address(293,24))</f>
        <v>0</v>
      </c>
      <c r="Y294">
        <f>indirect(address(294,24))+indirect(address(292,25))-indirect(address(293,25))</f>
        <v>0</v>
      </c>
      <c r="Z294">
        <f>indirect(address(294,25))+indirect(address(292,26))-indirect(address(293,26))</f>
        <v>0</v>
      </c>
      <c r="AA294">
        <f>indirect(address(294,26))+indirect(address(292,27))-indirect(address(293,27))</f>
        <v>0</v>
      </c>
      <c r="AB294">
        <f>indirect(address(294,27))+indirect(address(292,28))-indirect(address(293,28))</f>
        <v>0</v>
      </c>
      <c r="AC294">
        <f>indirect(address(294,28))+indirect(address(292,29))-indirect(address(293,29))</f>
        <v>0</v>
      </c>
      <c r="AD294">
        <f>indirect(address(294,29))+indirect(address(292,30))-indirect(address(293,30))</f>
        <v>0</v>
      </c>
      <c r="AE294">
        <f>indirect(address(294,30))+indirect(address(292,31))-indirect(address(293,31))</f>
        <v>0</v>
      </c>
      <c r="AF294">
        <f>indirect(address(294,31))+indirect(address(292,32))-indirect(address(293,32))</f>
        <v>0</v>
      </c>
      <c r="AG294">
        <f>indirect(address(294,32))+indirect(address(292,33))-indirect(address(293,33))</f>
        <v>0</v>
      </c>
      <c r="AH294">
        <f>indirect(address(294,33))+indirect(address(292,34))-indirect(address(293,34))</f>
        <v>0</v>
      </c>
      <c r="AI294">
        <f>indirect(address(294,34))+indirect(address(292,35))-indirect(address(293,35))</f>
        <v>0</v>
      </c>
      <c r="AJ294">
        <f>indirect(address(294,35))+indirect(address(292,36))-indirect(address(293,36))</f>
        <v>0</v>
      </c>
      <c r="AK294">
        <f>indirect(address(294,36))+indirect(address(292,37))-indirect(address(293,37))</f>
        <v>0</v>
      </c>
      <c r="AL294">
        <f>indirect(address(294,37))+indirect(address(292,38))-indirect(address(293,38))</f>
        <v>0</v>
      </c>
      <c r="AM294">
        <f>indirect(address(294,38))+indirect(address(292,39))-indirect(address(293,39))</f>
        <v>0</v>
      </c>
      <c r="AN294">
        <f>indirect(address(294,39))+indirect(address(292,40))-indirect(address(293,40))</f>
        <v>0</v>
      </c>
      <c r="AO294">
        <f>indirect(address(294,40))+indirect(address(292,41))-indirect(address(293,41))</f>
        <v>0</v>
      </c>
    </row>
    <row r="295" spans="1:41">
      <c r="I295" t="s">
        <v>14</v>
      </c>
      <c r="AO295">
        <f>sum(j295:an295)</f>
        <v>0</v>
      </c>
    </row>
    <row r="296" spans="1:41">
      <c r="I296" t="s">
        <v>15</v>
      </c>
      <c r="J296">
        <f>sumif(Plan!B:B,"824-708000-100",Plan!j:j)</f>
        <v>0</v>
      </c>
      <c r="K296">
        <f>sumif(Plan!B:B,"824-708000-100",Plan!k:k)</f>
        <v>0</v>
      </c>
      <c r="L296">
        <f>sumif(Plan!B:B,"824-708000-100",Plan!l:l)</f>
        <v>0</v>
      </c>
      <c r="M296">
        <f>sumif(Plan!B:B,"824-708000-100",Plan!m:m)</f>
        <v>0</v>
      </c>
      <c r="N296">
        <f>sumif(Plan!B:B,"824-708000-100",Plan!n:n)</f>
        <v>0</v>
      </c>
      <c r="O296">
        <f>sumif(Plan!B:B,"824-708000-100",Plan!o:o)</f>
        <v>0</v>
      </c>
      <c r="P296">
        <f>sumif(Plan!B:B,"824-708000-100",Plan!p:p)</f>
        <v>0</v>
      </c>
      <c r="Q296">
        <f>sumif(Plan!B:B,"824-708000-100",Plan!q:q)</f>
        <v>0</v>
      </c>
      <c r="R296">
        <f>sumif(Plan!B:B,"824-708000-100",Plan!r:r)</f>
        <v>0</v>
      </c>
      <c r="S296">
        <f>sumif(Plan!B:B,"824-708000-100",Plan!s:s)</f>
        <v>0</v>
      </c>
      <c r="T296">
        <f>sumif(Plan!B:B,"824-708000-100",Plan!t:t)</f>
        <v>0</v>
      </c>
      <c r="U296">
        <f>sumif(Plan!B:B,"824-708000-100",Plan!u:u)</f>
        <v>0</v>
      </c>
      <c r="V296">
        <f>sumif(Plan!B:B,"824-708000-100",Plan!v:v)</f>
        <v>0</v>
      </c>
      <c r="W296">
        <f>sumif(Plan!B:B,"824-708000-100",Plan!w:w)</f>
        <v>0</v>
      </c>
      <c r="X296">
        <f>sumif(Plan!B:B,"824-708000-100",Plan!x:x)</f>
        <v>0</v>
      </c>
      <c r="Y296">
        <f>sumif(Plan!B:B,"824-708000-100",Plan!y:y)</f>
        <v>0</v>
      </c>
      <c r="Z296">
        <f>sumif(Plan!B:B,"824-708000-100",Plan!z:z)</f>
        <v>0</v>
      </c>
      <c r="AA296">
        <f>sumif(Plan!B:B,"824-708000-100",Plan!aa:aa)</f>
        <v>0</v>
      </c>
      <c r="AB296">
        <f>sumif(Plan!B:B,"824-708000-100",Plan!ab:ab)</f>
        <v>0</v>
      </c>
      <c r="AC296">
        <f>sumif(Plan!B:B,"824-708000-100",Plan!ac:ac)</f>
        <v>0</v>
      </c>
      <c r="AD296">
        <f>sumif(Plan!B:B,"824-708000-100",Plan!ad:ad)</f>
        <v>0</v>
      </c>
      <c r="AE296">
        <f>sumif(Plan!B:B,"824-708000-100",Plan!ae:ae)</f>
        <v>0</v>
      </c>
      <c r="AF296">
        <f>sumif(Plan!B:B,"824-708000-100",Plan!af:af)</f>
        <v>0</v>
      </c>
      <c r="AG296">
        <f>sumif(Plan!B:B,"824-708000-100",Plan!ag:ag)</f>
        <v>0</v>
      </c>
      <c r="AH296">
        <f>sumif(Plan!B:B,"824-708000-100",Plan!ah:ah)</f>
        <v>0</v>
      </c>
      <c r="AI296">
        <f>sumif(Plan!B:B,"824-708000-100",Plan!ai:ai)</f>
        <v>0</v>
      </c>
      <c r="AJ296">
        <f>sumif(Plan!B:B,"824-708000-100",Plan!aj:aj)</f>
        <v>0</v>
      </c>
      <c r="AK296">
        <f>sumif(Plan!B:B,"824-708000-100",Plan!ak:ak)</f>
        <v>0</v>
      </c>
      <c r="AL296">
        <f>sumif(Plan!B:B,"824-708000-100",Plan!al:al)</f>
        <v>0</v>
      </c>
      <c r="AM296">
        <f>sumif(Plan!B:B,"824-708000-100",Plan!am:am)</f>
        <v>0</v>
      </c>
      <c r="AN296">
        <f>sumif(Plan!B:B,"824-708000-100",Plan!an:an)</f>
        <v>0</v>
      </c>
      <c r="AO296">
        <f>sumif(Plan!B:B,"824-708000-100",Plan!ao:ao)</f>
        <v>0</v>
      </c>
    </row>
    <row r="297" spans="1:41">
      <c r="A297" t="s">
        <v>17</v>
      </c>
      <c r="B297" t="s">
        <v>214</v>
      </c>
      <c r="C297" t="s">
        <v>215</v>
      </c>
      <c r="E297">
        <v>1</v>
      </c>
      <c r="H297" t="s">
        <v>16</v>
      </c>
      <c r="J297">
        <f>indirect(address(297,9))+indirect(address(295,10))-indirect(address(296,10))</f>
        <v>0</v>
      </c>
      <c r="K297">
        <f>indirect(address(297,10))+indirect(address(295,11))-indirect(address(296,11))</f>
        <v>0</v>
      </c>
      <c r="L297">
        <f>indirect(address(297,11))+indirect(address(295,12))-indirect(address(296,12))</f>
        <v>0</v>
      </c>
      <c r="M297">
        <f>indirect(address(297,12))+indirect(address(295,13))-indirect(address(296,13))</f>
        <v>0</v>
      </c>
      <c r="N297">
        <f>indirect(address(297,13))+indirect(address(295,14))-indirect(address(296,14))</f>
        <v>0</v>
      </c>
      <c r="O297">
        <f>indirect(address(297,14))+indirect(address(295,15))-indirect(address(296,15))</f>
        <v>0</v>
      </c>
      <c r="P297">
        <f>indirect(address(297,15))+indirect(address(295,16))-indirect(address(296,16))</f>
        <v>0</v>
      </c>
      <c r="Q297">
        <f>indirect(address(297,16))+indirect(address(295,17))-indirect(address(296,17))</f>
        <v>0</v>
      </c>
      <c r="R297">
        <f>indirect(address(297,17))+indirect(address(295,18))-indirect(address(296,18))</f>
        <v>0</v>
      </c>
      <c r="S297">
        <f>indirect(address(297,18))+indirect(address(295,19))-indirect(address(296,19))</f>
        <v>0</v>
      </c>
      <c r="T297">
        <f>indirect(address(297,19))+indirect(address(295,20))-indirect(address(296,20))</f>
        <v>0</v>
      </c>
      <c r="U297">
        <f>indirect(address(297,20))+indirect(address(295,21))-indirect(address(296,21))</f>
        <v>0</v>
      </c>
      <c r="V297">
        <f>indirect(address(297,21))+indirect(address(295,22))-indirect(address(296,22))</f>
        <v>0</v>
      </c>
      <c r="W297">
        <f>indirect(address(297,22))+indirect(address(295,23))-indirect(address(296,23))</f>
        <v>0</v>
      </c>
      <c r="X297">
        <f>indirect(address(297,23))+indirect(address(295,24))-indirect(address(296,24))</f>
        <v>0</v>
      </c>
      <c r="Y297">
        <f>indirect(address(297,24))+indirect(address(295,25))-indirect(address(296,25))</f>
        <v>0</v>
      </c>
      <c r="Z297">
        <f>indirect(address(297,25))+indirect(address(295,26))-indirect(address(296,26))</f>
        <v>0</v>
      </c>
      <c r="AA297">
        <f>indirect(address(297,26))+indirect(address(295,27))-indirect(address(296,27))</f>
        <v>0</v>
      </c>
      <c r="AB297">
        <f>indirect(address(297,27))+indirect(address(295,28))-indirect(address(296,28))</f>
        <v>0</v>
      </c>
      <c r="AC297">
        <f>indirect(address(297,28))+indirect(address(295,29))-indirect(address(296,29))</f>
        <v>0</v>
      </c>
      <c r="AD297">
        <f>indirect(address(297,29))+indirect(address(295,30))-indirect(address(296,30))</f>
        <v>0</v>
      </c>
      <c r="AE297">
        <f>indirect(address(297,30))+indirect(address(295,31))-indirect(address(296,31))</f>
        <v>0</v>
      </c>
      <c r="AF297">
        <f>indirect(address(297,31))+indirect(address(295,32))-indirect(address(296,32))</f>
        <v>0</v>
      </c>
      <c r="AG297">
        <f>indirect(address(297,32))+indirect(address(295,33))-indirect(address(296,33))</f>
        <v>0</v>
      </c>
      <c r="AH297">
        <f>indirect(address(297,33))+indirect(address(295,34))-indirect(address(296,34))</f>
        <v>0</v>
      </c>
      <c r="AI297">
        <f>indirect(address(297,34))+indirect(address(295,35))-indirect(address(296,35))</f>
        <v>0</v>
      </c>
      <c r="AJ297">
        <f>indirect(address(297,35))+indirect(address(295,36))-indirect(address(296,36))</f>
        <v>0</v>
      </c>
      <c r="AK297">
        <f>indirect(address(297,36))+indirect(address(295,37))-indirect(address(296,37))</f>
        <v>0</v>
      </c>
      <c r="AL297">
        <f>indirect(address(297,37))+indirect(address(295,38))-indirect(address(296,38))</f>
        <v>0</v>
      </c>
      <c r="AM297">
        <f>indirect(address(297,38))+indirect(address(295,39))-indirect(address(296,39))</f>
        <v>0</v>
      </c>
      <c r="AN297">
        <f>indirect(address(297,39))+indirect(address(295,40))-indirect(address(296,40))</f>
        <v>0</v>
      </c>
      <c r="AO297">
        <f>indirect(address(297,40))+indirect(address(295,41))-indirect(address(296,41))</f>
        <v>0</v>
      </c>
    </row>
    <row r="298" spans="1:41">
      <c r="I298" t="s">
        <v>14</v>
      </c>
      <c r="AO298">
        <f>sum(j298:an298)</f>
        <v>0</v>
      </c>
    </row>
    <row r="299" spans="1:41">
      <c r="I299" t="s">
        <v>15</v>
      </c>
      <c r="J299">
        <f>sumif(Plan!B:B,"262-000000-027",Plan!j:j)</f>
        <v>0</v>
      </c>
      <c r="K299">
        <f>sumif(Plan!B:B,"262-000000-027",Plan!k:k)</f>
        <v>0</v>
      </c>
      <c r="L299">
        <f>sumif(Plan!B:B,"262-000000-027",Plan!l:l)</f>
        <v>0</v>
      </c>
      <c r="M299">
        <f>sumif(Plan!B:B,"262-000000-027",Plan!m:m)</f>
        <v>0</v>
      </c>
      <c r="N299">
        <f>sumif(Plan!B:B,"262-000000-027",Plan!n:n)</f>
        <v>0</v>
      </c>
      <c r="O299">
        <f>sumif(Plan!B:B,"262-000000-027",Plan!o:o)</f>
        <v>0</v>
      </c>
      <c r="P299">
        <f>sumif(Plan!B:B,"262-000000-027",Plan!p:p)</f>
        <v>0</v>
      </c>
      <c r="Q299">
        <f>sumif(Plan!B:B,"262-000000-027",Plan!q:q)</f>
        <v>0</v>
      </c>
      <c r="R299">
        <f>sumif(Plan!B:B,"262-000000-027",Plan!r:r)</f>
        <v>0</v>
      </c>
      <c r="S299">
        <f>sumif(Plan!B:B,"262-000000-027",Plan!s:s)</f>
        <v>0</v>
      </c>
      <c r="T299">
        <f>sumif(Plan!B:B,"262-000000-027",Plan!t:t)</f>
        <v>0</v>
      </c>
      <c r="U299">
        <f>sumif(Plan!B:B,"262-000000-027",Plan!u:u)</f>
        <v>0</v>
      </c>
      <c r="V299">
        <f>sumif(Plan!B:B,"262-000000-027",Plan!v:v)</f>
        <v>0</v>
      </c>
      <c r="W299">
        <f>sumif(Plan!B:B,"262-000000-027",Plan!w:w)</f>
        <v>0</v>
      </c>
      <c r="X299">
        <f>sumif(Plan!B:B,"262-000000-027",Plan!x:x)</f>
        <v>0</v>
      </c>
      <c r="Y299">
        <f>sumif(Plan!B:B,"262-000000-027",Plan!y:y)</f>
        <v>0</v>
      </c>
      <c r="Z299">
        <f>sumif(Plan!B:B,"262-000000-027",Plan!z:z)</f>
        <v>0</v>
      </c>
      <c r="AA299">
        <f>sumif(Plan!B:B,"262-000000-027",Plan!aa:aa)</f>
        <v>0</v>
      </c>
      <c r="AB299">
        <f>sumif(Plan!B:B,"262-000000-027",Plan!ab:ab)</f>
        <v>0</v>
      </c>
      <c r="AC299">
        <f>sumif(Plan!B:B,"262-000000-027",Plan!ac:ac)</f>
        <v>0</v>
      </c>
      <c r="AD299">
        <f>sumif(Plan!B:B,"262-000000-027",Plan!ad:ad)</f>
        <v>0</v>
      </c>
      <c r="AE299">
        <f>sumif(Plan!B:B,"262-000000-027",Plan!ae:ae)</f>
        <v>0</v>
      </c>
      <c r="AF299">
        <f>sumif(Plan!B:B,"262-000000-027",Plan!af:af)</f>
        <v>0</v>
      </c>
      <c r="AG299">
        <f>sumif(Plan!B:B,"262-000000-027",Plan!ag:ag)</f>
        <v>0</v>
      </c>
      <c r="AH299">
        <f>sumif(Plan!B:B,"262-000000-027",Plan!ah:ah)</f>
        <v>0</v>
      </c>
      <c r="AI299">
        <f>sumif(Plan!B:B,"262-000000-027",Plan!ai:ai)</f>
        <v>0</v>
      </c>
      <c r="AJ299">
        <f>sumif(Plan!B:B,"262-000000-027",Plan!aj:aj)</f>
        <v>0</v>
      </c>
      <c r="AK299">
        <f>sumif(Plan!B:B,"262-000000-027",Plan!ak:ak)</f>
        <v>0</v>
      </c>
      <c r="AL299">
        <f>sumif(Plan!B:B,"262-000000-027",Plan!al:al)</f>
        <v>0</v>
      </c>
      <c r="AM299">
        <f>sumif(Plan!B:B,"262-000000-027",Plan!am:am)</f>
        <v>0</v>
      </c>
      <c r="AN299">
        <f>sumif(Plan!B:B,"262-000000-027",Plan!an:an)</f>
        <v>0</v>
      </c>
      <c r="AO299">
        <f>sumif(Plan!B:B,"262-000000-027",Plan!ao:ao)</f>
        <v>0</v>
      </c>
    </row>
    <row r="300" spans="1:41">
      <c r="A300" t="s">
        <v>22</v>
      </c>
      <c r="B300" t="s">
        <v>216</v>
      </c>
      <c r="C300" t="s">
        <v>217</v>
      </c>
      <c r="E300">
        <v>1</v>
      </c>
      <c r="H300" t="s">
        <v>16</v>
      </c>
      <c r="J300">
        <f>indirect(address(300,9))+indirect(address(298,10))-indirect(address(299,10))</f>
        <v>0</v>
      </c>
      <c r="K300">
        <f>indirect(address(300,10))+indirect(address(298,11))-indirect(address(299,11))</f>
        <v>0</v>
      </c>
      <c r="L300">
        <f>indirect(address(300,11))+indirect(address(298,12))-indirect(address(299,12))</f>
        <v>0</v>
      </c>
      <c r="M300">
        <f>indirect(address(300,12))+indirect(address(298,13))-indirect(address(299,13))</f>
        <v>0</v>
      </c>
      <c r="N300">
        <f>indirect(address(300,13))+indirect(address(298,14))-indirect(address(299,14))</f>
        <v>0</v>
      </c>
      <c r="O300">
        <f>indirect(address(300,14))+indirect(address(298,15))-indirect(address(299,15))</f>
        <v>0</v>
      </c>
      <c r="P300">
        <f>indirect(address(300,15))+indirect(address(298,16))-indirect(address(299,16))</f>
        <v>0</v>
      </c>
      <c r="Q300">
        <f>indirect(address(300,16))+indirect(address(298,17))-indirect(address(299,17))</f>
        <v>0</v>
      </c>
      <c r="R300">
        <f>indirect(address(300,17))+indirect(address(298,18))-indirect(address(299,18))</f>
        <v>0</v>
      </c>
      <c r="S300">
        <f>indirect(address(300,18))+indirect(address(298,19))-indirect(address(299,19))</f>
        <v>0</v>
      </c>
      <c r="T300">
        <f>indirect(address(300,19))+indirect(address(298,20))-indirect(address(299,20))</f>
        <v>0</v>
      </c>
      <c r="U300">
        <f>indirect(address(300,20))+indirect(address(298,21))-indirect(address(299,21))</f>
        <v>0</v>
      </c>
      <c r="V300">
        <f>indirect(address(300,21))+indirect(address(298,22))-indirect(address(299,22))</f>
        <v>0</v>
      </c>
      <c r="W300">
        <f>indirect(address(300,22))+indirect(address(298,23))-indirect(address(299,23))</f>
        <v>0</v>
      </c>
      <c r="X300">
        <f>indirect(address(300,23))+indirect(address(298,24))-indirect(address(299,24))</f>
        <v>0</v>
      </c>
      <c r="Y300">
        <f>indirect(address(300,24))+indirect(address(298,25))-indirect(address(299,25))</f>
        <v>0</v>
      </c>
      <c r="Z300">
        <f>indirect(address(300,25))+indirect(address(298,26))-indirect(address(299,26))</f>
        <v>0</v>
      </c>
      <c r="AA300">
        <f>indirect(address(300,26))+indirect(address(298,27))-indirect(address(299,27))</f>
        <v>0</v>
      </c>
      <c r="AB300">
        <f>indirect(address(300,27))+indirect(address(298,28))-indirect(address(299,28))</f>
        <v>0</v>
      </c>
      <c r="AC300">
        <f>indirect(address(300,28))+indirect(address(298,29))-indirect(address(299,29))</f>
        <v>0</v>
      </c>
      <c r="AD300">
        <f>indirect(address(300,29))+indirect(address(298,30))-indirect(address(299,30))</f>
        <v>0</v>
      </c>
      <c r="AE300">
        <f>indirect(address(300,30))+indirect(address(298,31))-indirect(address(299,31))</f>
        <v>0</v>
      </c>
      <c r="AF300">
        <f>indirect(address(300,31))+indirect(address(298,32))-indirect(address(299,32))</f>
        <v>0</v>
      </c>
      <c r="AG300">
        <f>indirect(address(300,32))+indirect(address(298,33))-indirect(address(299,33))</f>
        <v>0</v>
      </c>
      <c r="AH300">
        <f>indirect(address(300,33))+indirect(address(298,34))-indirect(address(299,34))</f>
        <v>0</v>
      </c>
      <c r="AI300">
        <f>indirect(address(300,34))+indirect(address(298,35))-indirect(address(299,35))</f>
        <v>0</v>
      </c>
      <c r="AJ300">
        <f>indirect(address(300,35))+indirect(address(298,36))-indirect(address(299,36))</f>
        <v>0</v>
      </c>
      <c r="AK300">
        <f>indirect(address(300,36))+indirect(address(298,37))-indirect(address(299,37))</f>
        <v>0</v>
      </c>
      <c r="AL300">
        <f>indirect(address(300,37))+indirect(address(298,38))-indirect(address(299,38))</f>
        <v>0</v>
      </c>
      <c r="AM300">
        <f>indirect(address(300,38))+indirect(address(298,39))-indirect(address(299,39))</f>
        <v>0</v>
      </c>
      <c r="AN300">
        <f>indirect(address(300,39))+indirect(address(298,40))-indirect(address(299,40))</f>
        <v>0</v>
      </c>
      <c r="AO300">
        <f>indirect(address(300,40))+indirect(address(298,41))-indirect(address(299,41))</f>
        <v>0</v>
      </c>
    </row>
    <row r="301" spans="1:41">
      <c r="I301" t="s">
        <v>14</v>
      </c>
      <c r="AO301">
        <f>sum(j301:an301)</f>
        <v>0</v>
      </c>
    </row>
    <row r="302" spans="1:41">
      <c r="I302" t="s">
        <v>15</v>
      </c>
      <c r="J302">
        <f>sumif(Plan!B:B,"262-000000-033",Plan!j:j)</f>
        <v>0</v>
      </c>
      <c r="K302">
        <f>sumif(Plan!B:B,"262-000000-033",Plan!k:k)</f>
        <v>0</v>
      </c>
      <c r="L302">
        <f>sumif(Plan!B:B,"262-000000-033",Plan!l:l)</f>
        <v>0</v>
      </c>
      <c r="M302">
        <f>sumif(Plan!B:B,"262-000000-033",Plan!m:m)</f>
        <v>0</v>
      </c>
      <c r="N302">
        <f>sumif(Plan!B:B,"262-000000-033",Plan!n:n)</f>
        <v>0</v>
      </c>
      <c r="O302">
        <f>sumif(Plan!B:B,"262-000000-033",Plan!o:o)</f>
        <v>0</v>
      </c>
      <c r="P302">
        <f>sumif(Plan!B:B,"262-000000-033",Plan!p:p)</f>
        <v>0</v>
      </c>
      <c r="Q302">
        <f>sumif(Plan!B:B,"262-000000-033",Plan!q:q)</f>
        <v>0</v>
      </c>
      <c r="R302">
        <f>sumif(Plan!B:B,"262-000000-033",Plan!r:r)</f>
        <v>0</v>
      </c>
      <c r="S302">
        <f>sumif(Plan!B:B,"262-000000-033",Plan!s:s)</f>
        <v>0</v>
      </c>
      <c r="T302">
        <f>sumif(Plan!B:B,"262-000000-033",Plan!t:t)</f>
        <v>0</v>
      </c>
      <c r="U302">
        <f>sumif(Plan!B:B,"262-000000-033",Plan!u:u)</f>
        <v>0</v>
      </c>
      <c r="V302">
        <f>sumif(Plan!B:B,"262-000000-033",Plan!v:v)</f>
        <v>0</v>
      </c>
      <c r="W302">
        <f>sumif(Plan!B:B,"262-000000-033",Plan!w:w)</f>
        <v>0</v>
      </c>
      <c r="X302">
        <f>sumif(Plan!B:B,"262-000000-033",Plan!x:x)</f>
        <v>0</v>
      </c>
      <c r="Y302">
        <f>sumif(Plan!B:B,"262-000000-033",Plan!y:y)</f>
        <v>0</v>
      </c>
      <c r="Z302">
        <f>sumif(Plan!B:B,"262-000000-033",Plan!z:z)</f>
        <v>0</v>
      </c>
      <c r="AA302">
        <f>sumif(Plan!B:B,"262-000000-033",Plan!aa:aa)</f>
        <v>0</v>
      </c>
      <c r="AB302">
        <f>sumif(Plan!B:B,"262-000000-033",Plan!ab:ab)</f>
        <v>0</v>
      </c>
      <c r="AC302">
        <f>sumif(Plan!B:B,"262-000000-033",Plan!ac:ac)</f>
        <v>0</v>
      </c>
      <c r="AD302">
        <f>sumif(Plan!B:B,"262-000000-033",Plan!ad:ad)</f>
        <v>0</v>
      </c>
      <c r="AE302">
        <f>sumif(Plan!B:B,"262-000000-033",Plan!ae:ae)</f>
        <v>0</v>
      </c>
      <c r="AF302">
        <f>sumif(Plan!B:B,"262-000000-033",Plan!af:af)</f>
        <v>0</v>
      </c>
      <c r="AG302">
        <f>sumif(Plan!B:B,"262-000000-033",Plan!ag:ag)</f>
        <v>0</v>
      </c>
      <c r="AH302">
        <f>sumif(Plan!B:B,"262-000000-033",Plan!ah:ah)</f>
        <v>0</v>
      </c>
      <c r="AI302">
        <f>sumif(Plan!B:B,"262-000000-033",Plan!ai:ai)</f>
        <v>0</v>
      </c>
      <c r="AJ302">
        <f>sumif(Plan!B:B,"262-000000-033",Plan!aj:aj)</f>
        <v>0</v>
      </c>
      <c r="AK302">
        <f>sumif(Plan!B:B,"262-000000-033",Plan!ak:ak)</f>
        <v>0</v>
      </c>
      <c r="AL302">
        <f>sumif(Plan!B:B,"262-000000-033",Plan!al:al)</f>
        <v>0</v>
      </c>
      <c r="AM302">
        <f>sumif(Plan!B:B,"262-000000-033",Plan!am:am)</f>
        <v>0</v>
      </c>
      <c r="AN302">
        <f>sumif(Plan!B:B,"262-000000-033",Plan!an:an)</f>
        <v>0</v>
      </c>
      <c r="AO302">
        <f>sumif(Plan!B:B,"262-000000-033",Plan!ao:ao)</f>
        <v>0</v>
      </c>
    </row>
    <row r="303" spans="1:41">
      <c r="A303" t="s">
        <v>17</v>
      </c>
      <c r="B303" t="s">
        <v>218</v>
      </c>
      <c r="C303" t="s">
        <v>219</v>
      </c>
      <c r="E303">
        <v>2</v>
      </c>
      <c r="H303" t="s">
        <v>16</v>
      </c>
      <c r="J303">
        <f>indirect(address(303,9))+indirect(address(301,10))-indirect(address(302,10))</f>
        <v>0</v>
      </c>
      <c r="K303">
        <f>indirect(address(303,10))+indirect(address(301,11))-indirect(address(302,11))</f>
        <v>0</v>
      </c>
      <c r="L303">
        <f>indirect(address(303,11))+indirect(address(301,12))-indirect(address(302,12))</f>
        <v>0</v>
      </c>
      <c r="M303">
        <f>indirect(address(303,12))+indirect(address(301,13))-indirect(address(302,13))</f>
        <v>0</v>
      </c>
      <c r="N303">
        <f>indirect(address(303,13))+indirect(address(301,14))-indirect(address(302,14))</f>
        <v>0</v>
      </c>
      <c r="O303">
        <f>indirect(address(303,14))+indirect(address(301,15))-indirect(address(302,15))</f>
        <v>0</v>
      </c>
      <c r="P303">
        <f>indirect(address(303,15))+indirect(address(301,16))-indirect(address(302,16))</f>
        <v>0</v>
      </c>
      <c r="Q303">
        <f>indirect(address(303,16))+indirect(address(301,17))-indirect(address(302,17))</f>
        <v>0</v>
      </c>
      <c r="R303">
        <f>indirect(address(303,17))+indirect(address(301,18))-indirect(address(302,18))</f>
        <v>0</v>
      </c>
      <c r="S303">
        <f>indirect(address(303,18))+indirect(address(301,19))-indirect(address(302,19))</f>
        <v>0</v>
      </c>
      <c r="T303">
        <f>indirect(address(303,19))+indirect(address(301,20))-indirect(address(302,20))</f>
        <v>0</v>
      </c>
      <c r="U303">
        <f>indirect(address(303,20))+indirect(address(301,21))-indirect(address(302,21))</f>
        <v>0</v>
      </c>
      <c r="V303">
        <f>indirect(address(303,21))+indirect(address(301,22))-indirect(address(302,22))</f>
        <v>0</v>
      </c>
      <c r="W303">
        <f>indirect(address(303,22))+indirect(address(301,23))-indirect(address(302,23))</f>
        <v>0</v>
      </c>
      <c r="X303">
        <f>indirect(address(303,23))+indirect(address(301,24))-indirect(address(302,24))</f>
        <v>0</v>
      </c>
      <c r="Y303">
        <f>indirect(address(303,24))+indirect(address(301,25))-indirect(address(302,25))</f>
        <v>0</v>
      </c>
      <c r="Z303">
        <f>indirect(address(303,25))+indirect(address(301,26))-indirect(address(302,26))</f>
        <v>0</v>
      </c>
      <c r="AA303">
        <f>indirect(address(303,26))+indirect(address(301,27))-indirect(address(302,27))</f>
        <v>0</v>
      </c>
      <c r="AB303">
        <f>indirect(address(303,27))+indirect(address(301,28))-indirect(address(302,28))</f>
        <v>0</v>
      </c>
      <c r="AC303">
        <f>indirect(address(303,28))+indirect(address(301,29))-indirect(address(302,29))</f>
        <v>0</v>
      </c>
      <c r="AD303">
        <f>indirect(address(303,29))+indirect(address(301,30))-indirect(address(302,30))</f>
        <v>0</v>
      </c>
      <c r="AE303">
        <f>indirect(address(303,30))+indirect(address(301,31))-indirect(address(302,31))</f>
        <v>0</v>
      </c>
      <c r="AF303">
        <f>indirect(address(303,31))+indirect(address(301,32))-indirect(address(302,32))</f>
        <v>0</v>
      </c>
      <c r="AG303">
        <f>indirect(address(303,32))+indirect(address(301,33))-indirect(address(302,33))</f>
        <v>0</v>
      </c>
      <c r="AH303">
        <f>indirect(address(303,33))+indirect(address(301,34))-indirect(address(302,34))</f>
        <v>0</v>
      </c>
      <c r="AI303">
        <f>indirect(address(303,34))+indirect(address(301,35))-indirect(address(302,35))</f>
        <v>0</v>
      </c>
      <c r="AJ303">
        <f>indirect(address(303,35))+indirect(address(301,36))-indirect(address(302,36))</f>
        <v>0</v>
      </c>
      <c r="AK303">
        <f>indirect(address(303,36))+indirect(address(301,37))-indirect(address(302,37))</f>
        <v>0</v>
      </c>
      <c r="AL303">
        <f>indirect(address(303,37))+indirect(address(301,38))-indirect(address(302,38))</f>
        <v>0</v>
      </c>
      <c r="AM303">
        <f>indirect(address(303,38))+indirect(address(301,39))-indirect(address(302,39))</f>
        <v>0</v>
      </c>
      <c r="AN303">
        <f>indirect(address(303,39))+indirect(address(301,40))-indirect(address(302,40))</f>
        <v>0</v>
      </c>
      <c r="AO303">
        <f>indirect(address(303,40))+indirect(address(301,41))-indirect(address(302,41))</f>
        <v>0</v>
      </c>
    </row>
    <row r="304" spans="1:41">
      <c r="I304" t="s">
        <v>14</v>
      </c>
      <c r="AO304">
        <f>sum(j304:an304)</f>
        <v>0</v>
      </c>
    </row>
    <row r="305" spans="1:41">
      <c r="I305" t="s">
        <v>15</v>
      </c>
      <c r="J305">
        <f>sumif(Plan!B:B,"261-000000-009",Plan!j:j)</f>
        <v>0</v>
      </c>
      <c r="K305">
        <f>sumif(Plan!B:B,"261-000000-009",Plan!k:k)</f>
        <v>0</v>
      </c>
      <c r="L305">
        <f>sumif(Plan!B:B,"261-000000-009",Plan!l:l)</f>
        <v>0</v>
      </c>
      <c r="M305">
        <f>sumif(Plan!B:B,"261-000000-009",Plan!m:m)</f>
        <v>0</v>
      </c>
      <c r="N305">
        <f>sumif(Plan!B:B,"261-000000-009",Plan!n:n)</f>
        <v>0</v>
      </c>
      <c r="O305">
        <f>sumif(Plan!B:B,"261-000000-009",Plan!o:o)</f>
        <v>0</v>
      </c>
      <c r="P305">
        <f>sumif(Plan!B:B,"261-000000-009",Plan!p:p)</f>
        <v>0</v>
      </c>
      <c r="Q305">
        <f>sumif(Plan!B:B,"261-000000-009",Plan!q:q)</f>
        <v>0</v>
      </c>
      <c r="R305">
        <f>sumif(Plan!B:B,"261-000000-009",Plan!r:r)</f>
        <v>0</v>
      </c>
      <c r="S305">
        <f>sumif(Plan!B:B,"261-000000-009",Plan!s:s)</f>
        <v>0</v>
      </c>
      <c r="T305">
        <f>sumif(Plan!B:B,"261-000000-009",Plan!t:t)</f>
        <v>0</v>
      </c>
      <c r="U305">
        <f>sumif(Plan!B:B,"261-000000-009",Plan!u:u)</f>
        <v>0</v>
      </c>
      <c r="V305">
        <f>sumif(Plan!B:B,"261-000000-009",Plan!v:v)</f>
        <v>0</v>
      </c>
      <c r="W305">
        <f>sumif(Plan!B:B,"261-000000-009",Plan!w:w)</f>
        <v>0</v>
      </c>
      <c r="X305">
        <f>sumif(Plan!B:B,"261-000000-009",Plan!x:x)</f>
        <v>0</v>
      </c>
      <c r="Y305">
        <f>sumif(Plan!B:B,"261-000000-009",Plan!y:y)</f>
        <v>0</v>
      </c>
      <c r="Z305">
        <f>sumif(Plan!B:B,"261-000000-009",Plan!z:z)</f>
        <v>0</v>
      </c>
      <c r="AA305">
        <f>sumif(Plan!B:B,"261-000000-009",Plan!aa:aa)</f>
        <v>0</v>
      </c>
      <c r="AB305">
        <f>sumif(Plan!B:B,"261-000000-009",Plan!ab:ab)</f>
        <v>0</v>
      </c>
      <c r="AC305">
        <f>sumif(Plan!B:B,"261-000000-009",Plan!ac:ac)</f>
        <v>0</v>
      </c>
      <c r="AD305">
        <f>sumif(Plan!B:B,"261-000000-009",Plan!ad:ad)</f>
        <v>0</v>
      </c>
      <c r="AE305">
        <f>sumif(Plan!B:B,"261-000000-009",Plan!ae:ae)</f>
        <v>0</v>
      </c>
      <c r="AF305">
        <f>sumif(Plan!B:B,"261-000000-009",Plan!af:af)</f>
        <v>0</v>
      </c>
      <c r="AG305">
        <f>sumif(Plan!B:B,"261-000000-009",Plan!ag:ag)</f>
        <v>0</v>
      </c>
      <c r="AH305">
        <f>sumif(Plan!B:B,"261-000000-009",Plan!ah:ah)</f>
        <v>0</v>
      </c>
      <c r="AI305">
        <f>sumif(Plan!B:B,"261-000000-009",Plan!ai:ai)</f>
        <v>0</v>
      </c>
      <c r="AJ305">
        <f>sumif(Plan!B:B,"261-000000-009",Plan!aj:aj)</f>
        <v>0</v>
      </c>
      <c r="AK305">
        <f>sumif(Plan!B:B,"261-000000-009",Plan!ak:ak)</f>
        <v>0</v>
      </c>
      <c r="AL305">
        <f>sumif(Plan!B:B,"261-000000-009",Plan!al:al)</f>
        <v>0</v>
      </c>
      <c r="AM305">
        <f>sumif(Plan!B:B,"261-000000-009",Plan!am:am)</f>
        <v>0</v>
      </c>
      <c r="AN305">
        <f>sumif(Plan!B:B,"261-000000-009",Plan!an:an)</f>
        <v>0</v>
      </c>
      <c r="AO305">
        <f>sumif(Plan!B:B,"261-000000-009",Plan!ao:ao)</f>
        <v>0</v>
      </c>
    </row>
    <row r="306" spans="1:41">
      <c r="A306" t="s">
        <v>22</v>
      </c>
      <c r="B306" t="s">
        <v>205</v>
      </c>
      <c r="C306" t="s">
        <v>206</v>
      </c>
      <c r="E306">
        <v>8</v>
      </c>
      <c r="H306" t="s">
        <v>16</v>
      </c>
      <c r="J306">
        <f>indirect(address(306,9))+indirect(address(304,10))-indirect(address(305,10))</f>
        <v>0</v>
      </c>
      <c r="K306">
        <f>indirect(address(306,10))+indirect(address(304,11))-indirect(address(305,11))</f>
        <v>0</v>
      </c>
      <c r="L306">
        <f>indirect(address(306,11))+indirect(address(304,12))-indirect(address(305,12))</f>
        <v>0</v>
      </c>
      <c r="M306">
        <f>indirect(address(306,12))+indirect(address(304,13))-indirect(address(305,13))</f>
        <v>0</v>
      </c>
      <c r="N306">
        <f>indirect(address(306,13))+indirect(address(304,14))-indirect(address(305,14))</f>
        <v>0</v>
      </c>
      <c r="O306">
        <f>indirect(address(306,14))+indirect(address(304,15))-indirect(address(305,15))</f>
        <v>0</v>
      </c>
      <c r="P306">
        <f>indirect(address(306,15))+indirect(address(304,16))-indirect(address(305,16))</f>
        <v>0</v>
      </c>
      <c r="Q306">
        <f>indirect(address(306,16))+indirect(address(304,17))-indirect(address(305,17))</f>
        <v>0</v>
      </c>
      <c r="R306">
        <f>indirect(address(306,17))+indirect(address(304,18))-indirect(address(305,18))</f>
        <v>0</v>
      </c>
      <c r="S306">
        <f>indirect(address(306,18))+indirect(address(304,19))-indirect(address(305,19))</f>
        <v>0</v>
      </c>
      <c r="T306">
        <f>indirect(address(306,19))+indirect(address(304,20))-indirect(address(305,20))</f>
        <v>0</v>
      </c>
      <c r="U306">
        <f>indirect(address(306,20))+indirect(address(304,21))-indirect(address(305,21))</f>
        <v>0</v>
      </c>
      <c r="V306">
        <f>indirect(address(306,21))+indirect(address(304,22))-indirect(address(305,22))</f>
        <v>0</v>
      </c>
      <c r="W306">
        <f>indirect(address(306,22))+indirect(address(304,23))-indirect(address(305,23))</f>
        <v>0</v>
      </c>
      <c r="X306">
        <f>indirect(address(306,23))+indirect(address(304,24))-indirect(address(305,24))</f>
        <v>0</v>
      </c>
      <c r="Y306">
        <f>indirect(address(306,24))+indirect(address(304,25))-indirect(address(305,25))</f>
        <v>0</v>
      </c>
      <c r="Z306">
        <f>indirect(address(306,25))+indirect(address(304,26))-indirect(address(305,26))</f>
        <v>0</v>
      </c>
      <c r="AA306">
        <f>indirect(address(306,26))+indirect(address(304,27))-indirect(address(305,27))</f>
        <v>0</v>
      </c>
      <c r="AB306">
        <f>indirect(address(306,27))+indirect(address(304,28))-indirect(address(305,28))</f>
        <v>0</v>
      </c>
      <c r="AC306">
        <f>indirect(address(306,28))+indirect(address(304,29))-indirect(address(305,29))</f>
        <v>0</v>
      </c>
      <c r="AD306">
        <f>indirect(address(306,29))+indirect(address(304,30))-indirect(address(305,30))</f>
        <v>0</v>
      </c>
      <c r="AE306">
        <f>indirect(address(306,30))+indirect(address(304,31))-indirect(address(305,31))</f>
        <v>0</v>
      </c>
      <c r="AF306">
        <f>indirect(address(306,31))+indirect(address(304,32))-indirect(address(305,32))</f>
        <v>0</v>
      </c>
      <c r="AG306">
        <f>indirect(address(306,32))+indirect(address(304,33))-indirect(address(305,33))</f>
        <v>0</v>
      </c>
      <c r="AH306">
        <f>indirect(address(306,33))+indirect(address(304,34))-indirect(address(305,34))</f>
        <v>0</v>
      </c>
      <c r="AI306">
        <f>indirect(address(306,34))+indirect(address(304,35))-indirect(address(305,35))</f>
        <v>0</v>
      </c>
      <c r="AJ306">
        <f>indirect(address(306,35))+indirect(address(304,36))-indirect(address(305,36))</f>
        <v>0</v>
      </c>
      <c r="AK306">
        <f>indirect(address(306,36))+indirect(address(304,37))-indirect(address(305,37))</f>
        <v>0</v>
      </c>
      <c r="AL306">
        <f>indirect(address(306,37))+indirect(address(304,38))-indirect(address(305,38))</f>
        <v>0</v>
      </c>
      <c r="AM306">
        <f>indirect(address(306,38))+indirect(address(304,39))-indirect(address(305,39))</f>
        <v>0</v>
      </c>
      <c r="AN306">
        <f>indirect(address(306,39))+indirect(address(304,40))-indirect(address(305,40))</f>
        <v>0</v>
      </c>
      <c r="AO306">
        <f>indirect(address(306,40))+indirect(address(304,41))-indirect(address(305,41))</f>
        <v>0</v>
      </c>
    </row>
    <row r="307" spans="1:41">
      <c r="I307" t="s">
        <v>14</v>
      </c>
      <c r="AO307">
        <f>sum(j307:an307)</f>
        <v>0</v>
      </c>
    </row>
    <row r="308" spans="1:41">
      <c r="I308" t="s">
        <v>15</v>
      </c>
      <c r="J308">
        <f>sumif(Plan!B:B,"262-000000-021",Plan!j:j)</f>
        <v>0</v>
      </c>
      <c r="K308">
        <f>sumif(Plan!B:B,"262-000000-021",Plan!k:k)</f>
        <v>0</v>
      </c>
      <c r="L308">
        <f>sumif(Plan!B:B,"262-000000-021",Plan!l:l)</f>
        <v>0</v>
      </c>
      <c r="M308">
        <f>sumif(Plan!B:B,"262-000000-021",Plan!m:m)</f>
        <v>0</v>
      </c>
      <c r="N308">
        <f>sumif(Plan!B:B,"262-000000-021",Plan!n:n)</f>
        <v>0</v>
      </c>
      <c r="O308">
        <f>sumif(Plan!B:B,"262-000000-021",Plan!o:o)</f>
        <v>0</v>
      </c>
      <c r="P308">
        <f>sumif(Plan!B:B,"262-000000-021",Plan!p:p)</f>
        <v>0</v>
      </c>
      <c r="Q308">
        <f>sumif(Plan!B:B,"262-000000-021",Plan!q:q)</f>
        <v>0</v>
      </c>
      <c r="R308">
        <f>sumif(Plan!B:B,"262-000000-021",Plan!r:r)</f>
        <v>0</v>
      </c>
      <c r="S308">
        <f>sumif(Plan!B:B,"262-000000-021",Plan!s:s)</f>
        <v>0</v>
      </c>
      <c r="T308">
        <f>sumif(Plan!B:B,"262-000000-021",Plan!t:t)</f>
        <v>0</v>
      </c>
      <c r="U308">
        <f>sumif(Plan!B:B,"262-000000-021",Plan!u:u)</f>
        <v>0</v>
      </c>
      <c r="V308">
        <f>sumif(Plan!B:B,"262-000000-021",Plan!v:v)</f>
        <v>0</v>
      </c>
      <c r="W308">
        <f>sumif(Plan!B:B,"262-000000-021",Plan!w:w)</f>
        <v>0</v>
      </c>
      <c r="X308">
        <f>sumif(Plan!B:B,"262-000000-021",Plan!x:x)</f>
        <v>0</v>
      </c>
      <c r="Y308">
        <f>sumif(Plan!B:B,"262-000000-021",Plan!y:y)</f>
        <v>0</v>
      </c>
      <c r="Z308">
        <f>sumif(Plan!B:B,"262-000000-021",Plan!z:z)</f>
        <v>0</v>
      </c>
      <c r="AA308">
        <f>sumif(Plan!B:B,"262-000000-021",Plan!aa:aa)</f>
        <v>0</v>
      </c>
      <c r="AB308">
        <f>sumif(Plan!B:B,"262-000000-021",Plan!ab:ab)</f>
        <v>0</v>
      </c>
      <c r="AC308">
        <f>sumif(Plan!B:B,"262-000000-021",Plan!ac:ac)</f>
        <v>0</v>
      </c>
      <c r="AD308">
        <f>sumif(Plan!B:B,"262-000000-021",Plan!ad:ad)</f>
        <v>0</v>
      </c>
      <c r="AE308">
        <f>sumif(Plan!B:B,"262-000000-021",Plan!ae:ae)</f>
        <v>0</v>
      </c>
      <c r="AF308">
        <f>sumif(Plan!B:B,"262-000000-021",Plan!af:af)</f>
        <v>0</v>
      </c>
      <c r="AG308">
        <f>sumif(Plan!B:B,"262-000000-021",Plan!ag:ag)</f>
        <v>0</v>
      </c>
      <c r="AH308">
        <f>sumif(Plan!B:B,"262-000000-021",Plan!ah:ah)</f>
        <v>0</v>
      </c>
      <c r="AI308">
        <f>sumif(Plan!B:B,"262-000000-021",Plan!ai:ai)</f>
        <v>0</v>
      </c>
      <c r="AJ308">
        <f>sumif(Plan!B:B,"262-000000-021",Plan!aj:aj)</f>
        <v>0</v>
      </c>
      <c r="AK308">
        <f>sumif(Plan!B:B,"262-000000-021",Plan!ak:ak)</f>
        <v>0</v>
      </c>
      <c r="AL308">
        <f>sumif(Plan!B:B,"262-000000-021",Plan!al:al)</f>
        <v>0</v>
      </c>
      <c r="AM308">
        <f>sumif(Plan!B:B,"262-000000-021",Plan!am:am)</f>
        <v>0</v>
      </c>
      <c r="AN308">
        <f>sumif(Plan!B:B,"262-000000-021",Plan!an:an)</f>
        <v>0</v>
      </c>
      <c r="AO308">
        <f>sumif(Plan!B:B,"262-000000-021",Plan!ao:ao)</f>
        <v>0</v>
      </c>
    </row>
    <row r="309" spans="1:41">
      <c r="A309" t="s">
        <v>22</v>
      </c>
      <c r="B309" t="s">
        <v>220</v>
      </c>
      <c r="C309" t="s">
        <v>221</v>
      </c>
      <c r="E309">
        <v>2</v>
      </c>
      <c r="H309" t="s">
        <v>16</v>
      </c>
      <c r="J309">
        <f>indirect(address(309,9))+indirect(address(307,10))-indirect(address(308,10))</f>
        <v>0</v>
      </c>
      <c r="K309">
        <f>indirect(address(309,10))+indirect(address(307,11))-indirect(address(308,11))</f>
        <v>0</v>
      </c>
      <c r="L309">
        <f>indirect(address(309,11))+indirect(address(307,12))-indirect(address(308,12))</f>
        <v>0</v>
      </c>
      <c r="M309">
        <f>indirect(address(309,12))+indirect(address(307,13))-indirect(address(308,13))</f>
        <v>0</v>
      </c>
      <c r="N309">
        <f>indirect(address(309,13))+indirect(address(307,14))-indirect(address(308,14))</f>
        <v>0</v>
      </c>
      <c r="O309">
        <f>indirect(address(309,14))+indirect(address(307,15))-indirect(address(308,15))</f>
        <v>0</v>
      </c>
      <c r="P309">
        <f>indirect(address(309,15))+indirect(address(307,16))-indirect(address(308,16))</f>
        <v>0</v>
      </c>
      <c r="Q309">
        <f>indirect(address(309,16))+indirect(address(307,17))-indirect(address(308,17))</f>
        <v>0</v>
      </c>
      <c r="R309">
        <f>indirect(address(309,17))+indirect(address(307,18))-indirect(address(308,18))</f>
        <v>0</v>
      </c>
      <c r="S309">
        <f>indirect(address(309,18))+indirect(address(307,19))-indirect(address(308,19))</f>
        <v>0</v>
      </c>
      <c r="T309">
        <f>indirect(address(309,19))+indirect(address(307,20))-indirect(address(308,20))</f>
        <v>0</v>
      </c>
      <c r="U309">
        <f>indirect(address(309,20))+indirect(address(307,21))-indirect(address(308,21))</f>
        <v>0</v>
      </c>
      <c r="V309">
        <f>indirect(address(309,21))+indirect(address(307,22))-indirect(address(308,22))</f>
        <v>0</v>
      </c>
      <c r="W309">
        <f>indirect(address(309,22))+indirect(address(307,23))-indirect(address(308,23))</f>
        <v>0</v>
      </c>
      <c r="X309">
        <f>indirect(address(309,23))+indirect(address(307,24))-indirect(address(308,24))</f>
        <v>0</v>
      </c>
      <c r="Y309">
        <f>indirect(address(309,24))+indirect(address(307,25))-indirect(address(308,25))</f>
        <v>0</v>
      </c>
      <c r="Z309">
        <f>indirect(address(309,25))+indirect(address(307,26))-indirect(address(308,26))</f>
        <v>0</v>
      </c>
      <c r="AA309">
        <f>indirect(address(309,26))+indirect(address(307,27))-indirect(address(308,27))</f>
        <v>0</v>
      </c>
      <c r="AB309">
        <f>indirect(address(309,27))+indirect(address(307,28))-indirect(address(308,28))</f>
        <v>0</v>
      </c>
      <c r="AC309">
        <f>indirect(address(309,28))+indirect(address(307,29))-indirect(address(308,29))</f>
        <v>0</v>
      </c>
      <c r="AD309">
        <f>indirect(address(309,29))+indirect(address(307,30))-indirect(address(308,30))</f>
        <v>0</v>
      </c>
      <c r="AE309">
        <f>indirect(address(309,30))+indirect(address(307,31))-indirect(address(308,31))</f>
        <v>0</v>
      </c>
      <c r="AF309">
        <f>indirect(address(309,31))+indirect(address(307,32))-indirect(address(308,32))</f>
        <v>0</v>
      </c>
      <c r="AG309">
        <f>indirect(address(309,32))+indirect(address(307,33))-indirect(address(308,33))</f>
        <v>0</v>
      </c>
      <c r="AH309">
        <f>indirect(address(309,33))+indirect(address(307,34))-indirect(address(308,34))</f>
        <v>0</v>
      </c>
      <c r="AI309">
        <f>indirect(address(309,34))+indirect(address(307,35))-indirect(address(308,35))</f>
        <v>0</v>
      </c>
      <c r="AJ309">
        <f>indirect(address(309,35))+indirect(address(307,36))-indirect(address(308,36))</f>
        <v>0</v>
      </c>
      <c r="AK309">
        <f>indirect(address(309,36))+indirect(address(307,37))-indirect(address(308,37))</f>
        <v>0</v>
      </c>
      <c r="AL309">
        <f>indirect(address(309,37))+indirect(address(307,38))-indirect(address(308,38))</f>
        <v>0</v>
      </c>
      <c r="AM309">
        <f>indirect(address(309,38))+indirect(address(307,39))-indirect(address(308,39))</f>
        <v>0</v>
      </c>
      <c r="AN309">
        <f>indirect(address(309,39))+indirect(address(307,40))-indirect(address(308,40))</f>
        <v>0</v>
      </c>
      <c r="AO309">
        <f>indirect(address(309,40))+indirect(address(307,41))-indirect(address(308,41))</f>
        <v>0</v>
      </c>
    </row>
    <row r="310" spans="1:41">
      <c r="I310" t="s">
        <v>14</v>
      </c>
      <c r="AO310">
        <f>sum(j310:an310)</f>
        <v>0</v>
      </c>
    </row>
    <row r="311" spans="1:41">
      <c r="I311" t="s">
        <v>15</v>
      </c>
      <c r="J311">
        <f>sumif(Plan!B:B,"262-000000-007",Plan!j:j)</f>
        <v>0</v>
      </c>
      <c r="K311">
        <f>sumif(Plan!B:B,"262-000000-007",Plan!k:k)</f>
        <v>0</v>
      </c>
      <c r="L311">
        <f>sumif(Plan!B:B,"262-000000-007",Plan!l:l)</f>
        <v>0</v>
      </c>
      <c r="M311">
        <f>sumif(Plan!B:B,"262-000000-007",Plan!m:m)</f>
        <v>0</v>
      </c>
      <c r="N311">
        <f>sumif(Plan!B:B,"262-000000-007",Plan!n:n)</f>
        <v>0</v>
      </c>
      <c r="O311">
        <f>sumif(Plan!B:B,"262-000000-007",Plan!o:o)</f>
        <v>0</v>
      </c>
      <c r="P311">
        <f>sumif(Plan!B:B,"262-000000-007",Plan!p:p)</f>
        <v>0</v>
      </c>
      <c r="Q311">
        <f>sumif(Plan!B:B,"262-000000-007",Plan!q:q)</f>
        <v>0</v>
      </c>
      <c r="R311">
        <f>sumif(Plan!B:B,"262-000000-007",Plan!r:r)</f>
        <v>0</v>
      </c>
      <c r="S311">
        <f>sumif(Plan!B:B,"262-000000-007",Plan!s:s)</f>
        <v>0</v>
      </c>
      <c r="T311">
        <f>sumif(Plan!B:B,"262-000000-007",Plan!t:t)</f>
        <v>0</v>
      </c>
      <c r="U311">
        <f>sumif(Plan!B:B,"262-000000-007",Plan!u:u)</f>
        <v>0</v>
      </c>
      <c r="V311">
        <f>sumif(Plan!B:B,"262-000000-007",Plan!v:v)</f>
        <v>0</v>
      </c>
      <c r="W311">
        <f>sumif(Plan!B:B,"262-000000-007",Plan!w:w)</f>
        <v>0</v>
      </c>
      <c r="X311">
        <f>sumif(Plan!B:B,"262-000000-007",Plan!x:x)</f>
        <v>0</v>
      </c>
      <c r="Y311">
        <f>sumif(Plan!B:B,"262-000000-007",Plan!y:y)</f>
        <v>0</v>
      </c>
      <c r="Z311">
        <f>sumif(Plan!B:B,"262-000000-007",Plan!z:z)</f>
        <v>0</v>
      </c>
      <c r="AA311">
        <f>sumif(Plan!B:B,"262-000000-007",Plan!aa:aa)</f>
        <v>0</v>
      </c>
      <c r="AB311">
        <f>sumif(Plan!B:B,"262-000000-007",Plan!ab:ab)</f>
        <v>0</v>
      </c>
      <c r="AC311">
        <f>sumif(Plan!B:B,"262-000000-007",Plan!ac:ac)</f>
        <v>0</v>
      </c>
      <c r="AD311">
        <f>sumif(Plan!B:B,"262-000000-007",Plan!ad:ad)</f>
        <v>0</v>
      </c>
      <c r="AE311">
        <f>sumif(Plan!B:B,"262-000000-007",Plan!ae:ae)</f>
        <v>0</v>
      </c>
      <c r="AF311">
        <f>sumif(Plan!B:B,"262-000000-007",Plan!af:af)</f>
        <v>0</v>
      </c>
      <c r="AG311">
        <f>sumif(Plan!B:B,"262-000000-007",Plan!ag:ag)</f>
        <v>0</v>
      </c>
      <c r="AH311">
        <f>sumif(Plan!B:B,"262-000000-007",Plan!ah:ah)</f>
        <v>0</v>
      </c>
      <c r="AI311">
        <f>sumif(Plan!B:B,"262-000000-007",Plan!ai:ai)</f>
        <v>0</v>
      </c>
      <c r="AJ311">
        <f>sumif(Plan!B:B,"262-000000-007",Plan!aj:aj)</f>
        <v>0</v>
      </c>
      <c r="AK311">
        <f>sumif(Plan!B:B,"262-000000-007",Plan!ak:ak)</f>
        <v>0</v>
      </c>
      <c r="AL311">
        <f>sumif(Plan!B:B,"262-000000-007",Plan!al:al)</f>
        <v>0</v>
      </c>
      <c r="AM311">
        <f>sumif(Plan!B:B,"262-000000-007",Plan!am:am)</f>
        <v>0</v>
      </c>
      <c r="AN311">
        <f>sumif(Plan!B:B,"262-000000-007",Plan!an:an)</f>
        <v>0</v>
      </c>
      <c r="AO311">
        <f>sumif(Plan!B:B,"262-000000-007",Plan!ao:ao)</f>
        <v>0</v>
      </c>
    </row>
    <row r="312" spans="1:41">
      <c r="A312" t="s">
        <v>22</v>
      </c>
      <c r="B312" t="s">
        <v>222</v>
      </c>
      <c r="C312" t="s">
        <v>223</v>
      </c>
      <c r="E312">
        <v>8</v>
      </c>
      <c r="H312" t="s">
        <v>16</v>
      </c>
      <c r="J312">
        <f>indirect(address(312,9))+indirect(address(310,10))-indirect(address(311,10))</f>
        <v>0</v>
      </c>
      <c r="K312">
        <f>indirect(address(312,10))+indirect(address(310,11))-indirect(address(311,11))</f>
        <v>0</v>
      </c>
      <c r="L312">
        <f>indirect(address(312,11))+indirect(address(310,12))-indirect(address(311,12))</f>
        <v>0</v>
      </c>
      <c r="M312">
        <f>indirect(address(312,12))+indirect(address(310,13))-indirect(address(311,13))</f>
        <v>0</v>
      </c>
      <c r="N312">
        <f>indirect(address(312,13))+indirect(address(310,14))-indirect(address(311,14))</f>
        <v>0</v>
      </c>
      <c r="O312">
        <f>indirect(address(312,14))+indirect(address(310,15))-indirect(address(311,15))</f>
        <v>0</v>
      </c>
      <c r="P312">
        <f>indirect(address(312,15))+indirect(address(310,16))-indirect(address(311,16))</f>
        <v>0</v>
      </c>
      <c r="Q312">
        <f>indirect(address(312,16))+indirect(address(310,17))-indirect(address(311,17))</f>
        <v>0</v>
      </c>
      <c r="R312">
        <f>indirect(address(312,17))+indirect(address(310,18))-indirect(address(311,18))</f>
        <v>0</v>
      </c>
      <c r="S312">
        <f>indirect(address(312,18))+indirect(address(310,19))-indirect(address(311,19))</f>
        <v>0</v>
      </c>
      <c r="T312">
        <f>indirect(address(312,19))+indirect(address(310,20))-indirect(address(311,20))</f>
        <v>0</v>
      </c>
      <c r="U312">
        <f>indirect(address(312,20))+indirect(address(310,21))-indirect(address(311,21))</f>
        <v>0</v>
      </c>
      <c r="V312">
        <f>indirect(address(312,21))+indirect(address(310,22))-indirect(address(311,22))</f>
        <v>0</v>
      </c>
      <c r="W312">
        <f>indirect(address(312,22))+indirect(address(310,23))-indirect(address(311,23))</f>
        <v>0</v>
      </c>
      <c r="X312">
        <f>indirect(address(312,23))+indirect(address(310,24))-indirect(address(311,24))</f>
        <v>0</v>
      </c>
      <c r="Y312">
        <f>indirect(address(312,24))+indirect(address(310,25))-indirect(address(311,25))</f>
        <v>0</v>
      </c>
      <c r="Z312">
        <f>indirect(address(312,25))+indirect(address(310,26))-indirect(address(311,26))</f>
        <v>0</v>
      </c>
      <c r="AA312">
        <f>indirect(address(312,26))+indirect(address(310,27))-indirect(address(311,27))</f>
        <v>0</v>
      </c>
      <c r="AB312">
        <f>indirect(address(312,27))+indirect(address(310,28))-indirect(address(311,28))</f>
        <v>0</v>
      </c>
      <c r="AC312">
        <f>indirect(address(312,28))+indirect(address(310,29))-indirect(address(311,29))</f>
        <v>0</v>
      </c>
      <c r="AD312">
        <f>indirect(address(312,29))+indirect(address(310,30))-indirect(address(311,30))</f>
        <v>0</v>
      </c>
      <c r="AE312">
        <f>indirect(address(312,30))+indirect(address(310,31))-indirect(address(311,31))</f>
        <v>0</v>
      </c>
      <c r="AF312">
        <f>indirect(address(312,31))+indirect(address(310,32))-indirect(address(311,32))</f>
        <v>0</v>
      </c>
      <c r="AG312">
        <f>indirect(address(312,32))+indirect(address(310,33))-indirect(address(311,33))</f>
        <v>0</v>
      </c>
      <c r="AH312">
        <f>indirect(address(312,33))+indirect(address(310,34))-indirect(address(311,34))</f>
        <v>0</v>
      </c>
      <c r="AI312">
        <f>indirect(address(312,34))+indirect(address(310,35))-indirect(address(311,35))</f>
        <v>0</v>
      </c>
      <c r="AJ312">
        <f>indirect(address(312,35))+indirect(address(310,36))-indirect(address(311,36))</f>
        <v>0</v>
      </c>
      <c r="AK312">
        <f>indirect(address(312,36))+indirect(address(310,37))-indirect(address(311,37))</f>
        <v>0</v>
      </c>
      <c r="AL312">
        <f>indirect(address(312,37))+indirect(address(310,38))-indirect(address(311,38))</f>
        <v>0</v>
      </c>
      <c r="AM312">
        <f>indirect(address(312,38))+indirect(address(310,39))-indirect(address(311,39))</f>
        <v>0</v>
      </c>
      <c r="AN312">
        <f>indirect(address(312,39))+indirect(address(310,40))-indirect(address(311,40))</f>
        <v>0</v>
      </c>
      <c r="AO312">
        <f>indirect(address(312,40))+indirect(address(310,41))-indirect(address(311,41))</f>
        <v>0</v>
      </c>
    </row>
    <row r="313" spans="1:41">
      <c r="I313" t="s">
        <v>14</v>
      </c>
      <c r="AO313">
        <f>sum(j313:an313)</f>
        <v>0</v>
      </c>
    </row>
    <row r="314" spans="1:41">
      <c r="I314" t="s">
        <v>15</v>
      </c>
      <c r="J314">
        <f>sumif(Plan!B:B,"262-000000-022",Plan!j:j)</f>
        <v>0</v>
      </c>
      <c r="K314">
        <f>sumif(Plan!B:B,"262-000000-022",Plan!k:k)</f>
        <v>0</v>
      </c>
      <c r="L314">
        <f>sumif(Plan!B:B,"262-000000-022",Plan!l:l)</f>
        <v>0</v>
      </c>
      <c r="M314">
        <f>sumif(Plan!B:B,"262-000000-022",Plan!m:m)</f>
        <v>0</v>
      </c>
      <c r="N314">
        <f>sumif(Plan!B:B,"262-000000-022",Plan!n:n)</f>
        <v>0</v>
      </c>
      <c r="O314">
        <f>sumif(Plan!B:B,"262-000000-022",Plan!o:o)</f>
        <v>0</v>
      </c>
      <c r="P314">
        <f>sumif(Plan!B:B,"262-000000-022",Plan!p:p)</f>
        <v>0</v>
      </c>
      <c r="Q314">
        <f>sumif(Plan!B:B,"262-000000-022",Plan!q:q)</f>
        <v>0</v>
      </c>
      <c r="R314">
        <f>sumif(Plan!B:B,"262-000000-022",Plan!r:r)</f>
        <v>0</v>
      </c>
      <c r="S314">
        <f>sumif(Plan!B:B,"262-000000-022",Plan!s:s)</f>
        <v>0</v>
      </c>
      <c r="T314">
        <f>sumif(Plan!B:B,"262-000000-022",Plan!t:t)</f>
        <v>0</v>
      </c>
      <c r="U314">
        <f>sumif(Plan!B:B,"262-000000-022",Plan!u:u)</f>
        <v>0</v>
      </c>
      <c r="V314">
        <f>sumif(Plan!B:B,"262-000000-022",Plan!v:v)</f>
        <v>0</v>
      </c>
      <c r="W314">
        <f>sumif(Plan!B:B,"262-000000-022",Plan!w:w)</f>
        <v>0</v>
      </c>
      <c r="X314">
        <f>sumif(Plan!B:B,"262-000000-022",Plan!x:x)</f>
        <v>0</v>
      </c>
      <c r="Y314">
        <f>sumif(Plan!B:B,"262-000000-022",Plan!y:y)</f>
        <v>0</v>
      </c>
      <c r="Z314">
        <f>sumif(Plan!B:B,"262-000000-022",Plan!z:z)</f>
        <v>0</v>
      </c>
      <c r="AA314">
        <f>sumif(Plan!B:B,"262-000000-022",Plan!aa:aa)</f>
        <v>0</v>
      </c>
      <c r="AB314">
        <f>sumif(Plan!B:B,"262-000000-022",Plan!ab:ab)</f>
        <v>0</v>
      </c>
      <c r="AC314">
        <f>sumif(Plan!B:B,"262-000000-022",Plan!ac:ac)</f>
        <v>0</v>
      </c>
      <c r="AD314">
        <f>sumif(Plan!B:B,"262-000000-022",Plan!ad:ad)</f>
        <v>0</v>
      </c>
      <c r="AE314">
        <f>sumif(Plan!B:B,"262-000000-022",Plan!ae:ae)</f>
        <v>0</v>
      </c>
      <c r="AF314">
        <f>sumif(Plan!B:B,"262-000000-022",Plan!af:af)</f>
        <v>0</v>
      </c>
      <c r="AG314">
        <f>sumif(Plan!B:B,"262-000000-022",Plan!ag:ag)</f>
        <v>0</v>
      </c>
      <c r="AH314">
        <f>sumif(Plan!B:B,"262-000000-022",Plan!ah:ah)</f>
        <v>0</v>
      </c>
      <c r="AI314">
        <f>sumif(Plan!B:B,"262-000000-022",Plan!ai:ai)</f>
        <v>0</v>
      </c>
      <c r="AJ314">
        <f>sumif(Plan!B:B,"262-000000-022",Plan!aj:aj)</f>
        <v>0</v>
      </c>
      <c r="AK314">
        <f>sumif(Plan!B:B,"262-000000-022",Plan!ak:ak)</f>
        <v>0</v>
      </c>
      <c r="AL314">
        <f>sumif(Plan!B:B,"262-000000-022",Plan!al:al)</f>
        <v>0</v>
      </c>
      <c r="AM314">
        <f>sumif(Plan!B:B,"262-000000-022",Plan!am:am)</f>
        <v>0</v>
      </c>
      <c r="AN314">
        <f>sumif(Plan!B:B,"262-000000-022",Plan!an:an)</f>
        <v>0</v>
      </c>
      <c r="AO314">
        <f>sumif(Plan!B:B,"262-000000-022",Plan!ao:ao)</f>
        <v>0</v>
      </c>
    </row>
    <row r="315" spans="1:41">
      <c r="A315" t="s">
        <v>22</v>
      </c>
      <c r="B315" t="s">
        <v>224</v>
      </c>
      <c r="C315" t="s">
        <v>225</v>
      </c>
      <c r="E315">
        <v>1</v>
      </c>
      <c r="H315" t="s">
        <v>16</v>
      </c>
      <c r="J315">
        <f>indirect(address(315,9))+indirect(address(313,10))-indirect(address(314,10))</f>
        <v>0</v>
      </c>
      <c r="K315">
        <f>indirect(address(315,10))+indirect(address(313,11))-indirect(address(314,11))</f>
        <v>0</v>
      </c>
      <c r="L315">
        <f>indirect(address(315,11))+indirect(address(313,12))-indirect(address(314,12))</f>
        <v>0</v>
      </c>
      <c r="M315">
        <f>indirect(address(315,12))+indirect(address(313,13))-indirect(address(314,13))</f>
        <v>0</v>
      </c>
      <c r="N315">
        <f>indirect(address(315,13))+indirect(address(313,14))-indirect(address(314,14))</f>
        <v>0</v>
      </c>
      <c r="O315">
        <f>indirect(address(315,14))+indirect(address(313,15))-indirect(address(314,15))</f>
        <v>0</v>
      </c>
      <c r="P315">
        <f>indirect(address(315,15))+indirect(address(313,16))-indirect(address(314,16))</f>
        <v>0</v>
      </c>
      <c r="Q315">
        <f>indirect(address(315,16))+indirect(address(313,17))-indirect(address(314,17))</f>
        <v>0</v>
      </c>
      <c r="R315">
        <f>indirect(address(315,17))+indirect(address(313,18))-indirect(address(314,18))</f>
        <v>0</v>
      </c>
      <c r="S315">
        <f>indirect(address(315,18))+indirect(address(313,19))-indirect(address(314,19))</f>
        <v>0</v>
      </c>
      <c r="T315">
        <f>indirect(address(315,19))+indirect(address(313,20))-indirect(address(314,20))</f>
        <v>0</v>
      </c>
      <c r="U315">
        <f>indirect(address(315,20))+indirect(address(313,21))-indirect(address(314,21))</f>
        <v>0</v>
      </c>
      <c r="V315">
        <f>indirect(address(315,21))+indirect(address(313,22))-indirect(address(314,22))</f>
        <v>0</v>
      </c>
      <c r="W315">
        <f>indirect(address(315,22))+indirect(address(313,23))-indirect(address(314,23))</f>
        <v>0</v>
      </c>
      <c r="X315">
        <f>indirect(address(315,23))+indirect(address(313,24))-indirect(address(314,24))</f>
        <v>0</v>
      </c>
      <c r="Y315">
        <f>indirect(address(315,24))+indirect(address(313,25))-indirect(address(314,25))</f>
        <v>0</v>
      </c>
      <c r="Z315">
        <f>indirect(address(315,25))+indirect(address(313,26))-indirect(address(314,26))</f>
        <v>0</v>
      </c>
      <c r="AA315">
        <f>indirect(address(315,26))+indirect(address(313,27))-indirect(address(314,27))</f>
        <v>0</v>
      </c>
      <c r="AB315">
        <f>indirect(address(315,27))+indirect(address(313,28))-indirect(address(314,28))</f>
        <v>0</v>
      </c>
      <c r="AC315">
        <f>indirect(address(315,28))+indirect(address(313,29))-indirect(address(314,29))</f>
        <v>0</v>
      </c>
      <c r="AD315">
        <f>indirect(address(315,29))+indirect(address(313,30))-indirect(address(314,30))</f>
        <v>0</v>
      </c>
      <c r="AE315">
        <f>indirect(address(315,30))+indirect(address(313,31))-indirect(address(314,31))</f>
        <v>0</v>
      </c>
      <c r="AF315">
        <f>indirect(address(315,31))+indirect(address(313,32))-indirect(address(314,32))</f>
        <v>0</v>
      </c>
      <c r="AG315">
        <f>indirect(address(315,32))+indirect(address(313,33))-indirect(address(314,33))</f>
        <v>0</v>
      </c>
      <c r="AH315">
        <f>indirect(address(315,33))+indirect(address(313,34))-indirect(address(314,34))</f>
        <v>0</v>
      </c>
      <c r="AI315">
        <f>indirect(address(315,34))+indirect(address(313,35))-indirect(address(314,35))</f>
        <v>0</v>
      </c>
      <c r="AJ315">
        <f>indirect(address(315,35))+indirect(address(313,36))-indirect(address(314,36))</f>
        <v>0</v>
      </c>
      <c r="AK315">
        <f>indirect(address(315,36))+indirect(address(313,37))-indirect(address(314,37))</f>
        <v>0</v>
      </c>
      <c r="AL315">
        <f>indirect(address(315,37))+indirect(address(313,38))-indirect(address(314,38))</f>
        <v>0</v>
      </c>
      <c r="AM315">
        <f>indirect(address(315,38))+indirect(address(313,39))-indirect(address(314,39))</f>
        <v>0</v>
      </c>
      <c r="AN315">
        <f>indirect(address(315,39))+indirect(address(313,40))-indirect(address(314,40))</f>
        <v>0</v>
      </c>
      <c r="AO315">
        <f>indirect(address(315,40))+indirect(address(313,41))-indirect(address(314,41))</f>
        <v>0</v>
      </c>
    </row>
    <row r="316" spans="1:41">
      <c r="I316" t="s">
        <v>14</v>
      </c>
      <c r="AO316">
        <f>sum(j316:an316)</f>
        <v>0</v>
      </c>
    </row>
    <row r="317" spans="1:41">
      <c r="I317" t="s">
        <v>15</v>
      </c>
      <c r="J317">
        <f>sumif(Plan!B:B,"263-000000-017",Plan!j:j)</f>
        <v>0</v>
      </c>
      <c r="K317">
        <f>sumif(Plan!B:B,"263-000000-017",Plan!k:k)</f>
        <v>0</v>
      </c>
      <c r="L317">
        <f>sumif(Plan!B:B,"263-000000-017",Plan!l:l)</f>
        <v>0</v>
      </c>
      <c r="M317">
        <f>sumif(Plan!B:B,"263-000000-017",Plan!m:m)</f>
        <v>0</v>
      </c>
      <c r="N317">
        <f>sumif(Plan!B:B,"263-000000-017",Plan!n:n)</f>
        <v>0</v>
      </c>
      <c r="O317">
        <f>sumif(Plan!B:B,"263-000000-017",Plan!o:o)</f>
        <v>0</v>
      </c>
      <c r="P317">
        <f>sumif(Plan!B:B,"263-000000-017",Plan!p:p)</f>
        <v>0</v>
      </c>
      <c r="Q317">
        <f>sumif(Plan!B:B,"263-000000-017",Plan!q:q)</f>
        <v>0</v>
      </c>
      <c r="R317">
        <f>sumif(Plan!B:B,"263-000000-017",Plan!r:r)</f>
        <v>0</v>
      </c>
      <c r="S317">
        <f>sumif(Plan!B:B,"263-000000-017",Plan!s:s)</f>
        <v>0</v>
      </c>
      <c r="T317">
        <f>sumif(Plan!B:B,"263-000000-017",Plan!t:t)</f>
        <v>0</v>
      </c>
      <c r="U317">
        <f>sumif(Plan!B:B,"263-000000-017",Plan!u:u)</f>
        <v>0</v>
      </c>
      <c r="V317">
        <f>sumif(Plan!B:B,"263-000000-017",Plan!v:v)</f>
        <v>0</v>
      </c>
      <c r="W317">
        <f>sumif(Plan!B:B,"263-000000-017",Plan!w:w)</f>
        <v>0</v>
      </c>
      <c r="X317">
        <f>sumif(Plan!B:B,"263-000000-017",Plan!x:x)</f>
        <v>0</v>
      </c>
      <c r="Y317">
        <f>sumif(Plan!B:B,"263-000000-017",Plan!y:y)</f>
        <v>0</v>
      </c>
      <c r="Z317">
        <f>sumif(Plan!B:B,"263-000000-017",Plan!z:z)</f>
        <v>0</v>
      </c>
      <c r="AA317">
        <f>sumif(Plan!B:B,"263-000000-017",Plan!aa:aa)</f>
        <v>0</v>
      </c>
      <c r="AB317">
        <f>sumif(Plan!B:B,"263-000000-017",Plan!ab:ab)</f>
        <v>0</v>
      </c>
      <c r="AC317">
        <f>sumif(Plan!B:B,"263-000000-017",Plan!ac:ac)</f>
        <v>0</v>
      </c>
      <c r="AD317">
        <f>sumif(Plan!B:B,"263-000000-017",Plan!ad:ad)</f>
        <v>0</v>
      </c>
      <c r="AE317">
        <f>sumif(Plan!B:B,"263-000000-017",Plan!ae:ae)</f>
        <v>0</v>
      </c>
      <c r="AF317">
        <f>sumif(Plan!B:B,"263-000000-017",Plan!af:af)</f>
        <v>0</v>
      </c>
      <c r="AG317">
        <f>sumif(Plan!B:B,"263-000000-017",Plan!ag:ag)</f>
        <v>0</v>
      </c>
      <c r="AH317">
        <f>sumif(Plan!B:B,"263-000000-017",Plan!ah:ah)</f>
        <v>0</v>
      </c>
      <c r="AI317">
        <f>sumif(Plan!B:B,"263-000000-017",Plan!ai:ai)</f>
        <v>0</v>
      </c>
      <c r="AJ317">
        <f>sumif(Plan!B:B,"263-000000-017",Plan!aj:aj)</f>
        <v>0</v>
      </c>
      <c r="AK317">
        <f>sumif(Plan!B:B,"263-000000-017",Plan!ak:ak)</f>
        <v>0</v>
      </c>
      <c r="AL317">
        <f>sumif(Plan!B:B,"263-000000-017",Plan!al:al)</f>
        <v>0</v>
      </c>
      <c r="AM317">
        <f>sumif(Plan!B:B,"263-000000-017",Plan!am:am)</f>
        <v>0</v>
      </c>
      <c r="AN317">
        <f>sumif(Plan!B:B,"263-000000-017",Plan!an:an)</f>
        <v>0</v>
      </c>
      <c r="AO317">
        <f>sumif(Plan!B:B,"263-000000-017",Plan!ao:ao)</f>
        <v>0</v>
      </c>
    </row>
    <row r="318" spans="1:41">
      <c r="A318" t="s">
        <v>22</v>
      </c>
      <c r="B318" t="s">
        <v>226</v>
      </c>
      <c r="C318" t="s">
        <v>227</v>
      </c>
      <c r="E318">
        <v>1</v>
      </c>
      <c r="H318" t="s">
        <v>16</v>
      </c>
      <c r="J318">
        <f>indirect(address(318,9))+indirect(address(316,10))-indirect(address(317,10))</f>
        <v>0</v>
      </c>
      <c r="K318">
        <f>indirect(address(318,10))+indirect(address(316,11))-indirect(address(317,11))</f>
        <v>0</v>
      </c>
      <c r="L318">
        <f>indirect(address(318,11))+indirect(address(316,12))-indirect(address(317,12))</f>
        <v>0</v>
      </c>
      <c r="M318">
        <f>indirect(address(318,12))+indirect(address(316,13))-indirect(address(317,13))</f>
        <v>0</v>
      </c>
      <c r="N318">
        <f>indirect(address(318,13))+indirect(address(316,14))-indirect(address(317,14))</f>
        <v>0</v>
      </c>
      <c r="O318">
        <f>indirect(address(318,14))+indirect(address(316,15))-indirect(address(317,15))</f>
        <v>0</v>
      </c>
      <c r="P318">
        <f>indirect(address(318,15))+indirect(address(316,16))-indirect(address(317,16))</f>
        <v>0</v>
      </c>
      <c r="Q318">
        <f>indirect(address(318,16))+indirect(address(316,17))-indirect(address(317,17))</f>
        <v>0</v>
      </c>
      <c r="R318">
        <f>indirect(address(318,17))+indirect(address(316,18))-indirect(address(317,18))</f>
        <v>0</v>
      </c>
      <c r="S318">
        <f>indirect(address(318,18))+indirect(address(316,19))-indirect(address(317,19))</f>
        <v>0</v>
      </c>
      <c r="T318">
        <f>indirect(address(318,19))+indirect(address(316,20))-indirect(address(317,20))</f>
        <v>0</v>
      </c>
      <c r="U318">
        <f>indirect(address(318,20))+indirect(address(316,21))-indirect(address(317,21))</f>
        <v>0</v>
      </c>
      <c r="V318">
        <f>indirect(address(318,21))+indirect(address(316,22))-indirect(address(317,22))</f>
        <v>0</v>
      </c>
      <c r="W318">
        <f>indirect(address(318,22))+indirect(address(316,23))-indirect(address(317,23))</f>
        <v>0</v>
      </c>
      <c r="X318">
        <f>indirect(address(318,23))+indirect(address(316,24))-indirect(address(317,24))</f>
        <v>0</v>
      </c>
      <c r="Y318">
        <f>indirect(address(318,24))+indirect(address(316,25))-indirect(address(317,25))</f>
        <v>0</v>
      </c>
      <c r="Z318">
        <f>indirect(address(318,25))+indirect(address(316,26))-indirect(address(317,26))</f>
        <v>0</v>
      </c>
      <c r="AA318">
        <f>indirect(address(318,26))+indirect(address(316,27))-indirect(address(317,27))</f>
        <v>0</v>
      </c>
      <c r="AB318">
        <f>indirect(address(318,27))+indirect(address(316,28))-indirect(address(317,28))</f>
        <v>0</v>
      </c>
      <c r="AC318">
        <f>indirect(address(318,28))+indirect(address(316,29))-indirect(address(317,29))</f>
        <v>0</v>
      </c>
      <c r="AD318">
        <f>indirect(address(318,29))+indirect(address(316,30))-indirect(address(317,30))</f>
        <v>0</v>
      </c>
      <c r="AE318">
        <f>indirect(address(318,30))+indirect(address(316,31))-indirect(address(317,31))</f>
        <v>0</v>
      </c>
      <c r="AF318">
        <f>indirect(address(318,31))+indirect(address(316,32))-indirect(address(317,32))</f>
        <v>0</v>
      </c>
      <c r="AG318">
        <f>indirect(address(318,32))+indirect(address(316,33))-indirect(address(317,33))</f>
        <v>0</v>
      </c>
      <c r="AH318">
        <f>indirect(address(318,33))+indirect(address(316,34))-indirect(address(317,34))</f>
        <v>0</v>
      </c>
      <c r="AI318">
        <f>indirect(address(318,34))+indirect(address(316,35))-indirect(address(317,35))</f>
        <v>0</v>
      </c>
      <c r="AJ318">
        <f>indirect(address(318,35))+indirect(address(316,36))-indirect(address(317,36))</f>
        <v>0</v>
      </c>
      <c r="AK318">
        <f>indirect(address(318,36))+indirect(address(316,37))-indirect(address(317,37))</f>
        <v>0</v>
      </c>
      <c r="AL318">
        <f>indirect(address(318,37))+indirect(address(316,38))-indirect(address(317,38))</f>
        <v>0</v>
      </c>
      <c r="AM318">
        <f>indirect(address(318,38))+indirect(address(316,39))-indirect(address(317,39))</f>
        <v>0</v>
      </c>
      <c r="AN318">
        <f>indirect(address(318,39))+indirect(address(316,40))-indirect(address(317,40))</f>
        <v>0</v>
      </c>
      <c r="AO318">
        <f>indirect(address(318,40))+indirect(address(316,41))-indirect(address(317,41))</f>
        <v>0</v>
      </c>
    </row>
    <row r="319" spans="1:41">
      <c r="I319" t="s">
        <v>14</v>
      </c>
      <c r="AO319">
        <f>sum(j319:an319)</f>
        <v>0</v>
      </c>
    </row>
    <row r="320" spans="1:41">
      <c r="I320" t="s">
        <v>15</v>
      </c>
      <c r="J320">
        <f>sumif(Plan!B:B,"263-000000-018",Plan!j:j)</f>
        <v>0</v>
      </c>
      <c r="K320">
        <f>sumif(Plan!B:B,"263-000000-018",Plan!k:k)</f>
        <v>0</v>
      </c>
      <c r="L320">
        <f>sumif(Plan!B:B,"263-000000-018",Plan!l:l)</f>
        <v>0</v>
      </c>
      <c r="M320">
        <f>sumif(Plan!B:B,"263-000000-018",Plan!m:m)</f>
        <v>0</v>
      </c>
      <c r="N320">
        <f>sumif(Plan!B:B,"263-000000-018",Plan!n:n)</f>
        <v>0</v>
      </c>
      <c r="O320">
        <f>sumif(Plan!B:B,"263-000000-018",Plan!o:o)</f>
        <v>0</v>
      </c>
      <c r="P320">
        <f>sumif(Plan!B:B,"263-000000-018",Plan!p:p)</f>
        <v>0</v>
      </c>
      <c r="Q320">
        <f>sumif(Plan!B:B,"263-000000-018",Plan!q:q)</f>
        <v>0</v>
      </c>
      <c r="R320">
        <f>sumif(Plan!B:B,"263-000000-018",Plan!r:r)</f>
        <v>0</v>
      </c>
      <c r="S320">
        <f>sumif(Plan!B:B,"263-000000-018",Plan!s:s)</f>
        <v>0</v>
      </c>
      <c r="T320">
        <f>sumif(Plan!B:B,"263-000000-018",Plan!t:t)</f>
        <v>0</v>
      </c>
      <c r="U320">
        <f>sumif(Plan!B:B,"263-000000-018",Plan!u:u)</f>
        <v>0</v>
      </c>
      <c r="V320">
        <f>sumif(Plan!B:B,"263-000000-018",Plan!v:v)</f>
        <v>0</v>
      </c>
      <c r="W320">
        <f>sumif(Plan!B:B,"263-000000-018",Plan!w:w)</f>
        <v>0</v>
      </c>
      <c r="X320">
        <f>sumif(Plan!B:B,"263-000000-018",Plan!x:x)</f>
        <v>0</v>
      </c>
      <c r="Y320">
        <f>sumif(Plan!B:B,"263-000000-018",Plan!y:y)</f>
        <v>0</v>
      </c>
      <c r="Z320">
        <f>sumif(Plan!B:B,"263-000000-018",Plan!z:z)</f>
        <v>0</v>
      </c>
      <c r="AA320">
        <f>sumif(Plan!B:B,"263-000000-018",Plan!aa:aa)</f>
        <v>0</v>
      </c>
      <c r="AB320">
        <f>sumif(Plan!B:B,"263-000000-018",Plan!ab:ab)</f>
        <v>0</v>
      </c>
      <c r="AC320">
        <f>sumif(Plan!B:B,"263-000000-018",Plan!ac:ac)</f>
        <v>0</v>
      </c>
      <c r="AD320">
        <f>sumif(Plan!B:B,"263-000000-018",Plan!ad:ad)</f>
        <v>0</v>
      </c>
      <c r="AE320">
        <f>sumif(Plan!B:B,"263-000000-018",Plan!ae:ae)</f>
        <v>0</v>
      </c>
      <c r="AF320">
        <f>sumif(Plan!B:B,"263-000000-018",Plan!af:af)</f>
        <v>0</v>
      </c>
      <c r="AG320">
        <f>sumif(Plan!B:B,"263-000000-018",Plan!ag:ag)</f>
        <v>0</v>
      </c>
      <c r="AH320">
        <f>sumif(Plan!B:B,"263-000000-018",Plan!ah:ah)</f>
        <v>0</v>
      </c>
      <c r="AI320">
        <f>sumif(Plan!B:B,"263-000000-018",Plan!ai:ai)</f>
        <v>0</v>
      </c>
      <c r="AJ320">
        <f>sumif(Plan!B:B,"263-000000-018",Plan!aj:aj)</f>
        <v>0</v>
      </c>
      <c r="AK320">
        <f>sumif(Plan!B:B,"263-000000-018",Plan!ak:ak)</f>
        <v>0</v>
      </c>
      <c r="AL320">
        <f>sumif(Plan!B:B,"263-000000-018",Plan!al:al)</f>
        <v>0</v>
      </c>
      <c r="AM320">
        <f>sumif(Plan!B:B,"263-000000-018",Plan!am:am)</f>
        <v>0</v>
      </c>
      <c r="AN320">
        <f>sumif(Plan!B:B,"263-000000-018",Plan!an:an)</f>
        <v>0</v>
      </c>
      <c r="AO320">
        <f>sumif(Plan!B:B,"263-000000-018",Plan!ao:ao)</f>
        <v>0</v>
      </c>
    </row>
    <row r="321" spans="1:41">
      <c r="A321" t="s">
        <v>22</v>
      </c>
      <c r="B321" t="s">
        <v>228</v>
      </c>
      <c r="C321" t="s">
        <v>229</v>
      </c>
      <c r="E321">
        <v>2</v>
      </c>
      <c r="F321" t="s">
        <v>13</v>
      </c>
      <c r="H321" t="s">
        <v>16</v>
      </c>
      <c r="J321">
        <f>indirect(address(321,9))+indirect(address(319,10))-indirect(address(320,10))</f>
        <v>0</v>
      </c>
      <c r="K321">
        <f>indirect(address(321,10))+indirect(address(319,11))-indirect(address(320,11))</f>
        <v>0</v>
      </c>
      <c r="L321">
        <f>indirect(address(321,11))+indirect(address(319,12))-indirect(address(320,12))</f>
        <v>0</v>
      </c>
      <c r="M321">
        <f>indirect(address(321,12))+indirect(address(319,13))-indirect(address(320,13))</f>
        <v>0</v>
      </c>
      <c r="N321">
        <f>indirect(address(321,13))+indirect(address(319,14))-indirect(address(320,14))</f>
        <v>0</v>
      </c>
      <c r="O321">
        <f>indirect(address(321,14))+indirect(address(319,15))-indirect(address(320,15))</f>
        <v>0</v>
      </c>
      <c r="P321">
        <f>indirect(address(321,15))+indirect(address(319,16))-indirect(address(320,16))</f>
        <v>0</v>
      </c>
      <c r="Q321">
        <f>indirect(address(321,16))+indirect(address(319,17))-indirect(address(320,17))</f>
        <v>0</v>
      </c>
      <c r="R321">
        <f>indirect(address(321,17))+indirect(address(319,18))-indirect(address(320,18))</f>
        <v>0</v>
      </c>
      <c r="S321">
        <f>indirect(address(321,18))+indirect(address(319,19))-indirect(address(320,19))</f>
        <v>0</v>
      </c>
      <c r="T321">
        <f>indirect(address(321,19))+indirect(address(319,20))-indirect(address(320,20))</f>
        <v>0</v>
      </c>
      <c r="U321">
        <f>indirect(address(321,20))+indirect(address(319,21))-indirect(address(320,21))</f>
        <v>0</v>
      </c>
      <c r="V321">
        <f>indirect(address(321,21))+indirect(address(319,22))-indirect(address(320,22))</f>
        <v>0</v>
      </c>
      <c r="W321">
        <f>indirect(address(321,22))+indirect(address(319,23))-indirect(address(320,23))</f>
        <v>0</v>
      </c>
      <c r="X321">
        <f>indirect(address(321,23))+indirect(address(319,24))-indirect(address(320,24))</f>
        <v>0</v>
      </c>
      <c r="Y321">
        <f>indirect(address(321,24))+indirect(address(319,25))-indirect(address(320,25))</f>
        <v>0</v>
      </c>
      <c r="Z321">
        <f>indirect(address(321,25))+indirect(address(319,26))-indirect(address(320,26))</f>
        <v>0</v>
      </c>
      <c r="AA321">
        <f>indirect(address(321,26))+indirect(address(319,27))-indirect(address(320,27))</f>
        <v>0</v>
      </c>
      <c r="AB321">
        <f>indirect(address(321,27))+indirect(address(319,28))-indirect(address(320,28))</f>
        <v>0</v>
      </c>
      <c r="AC321">
        <f>indirect(address(321,28))+indirect(address(319,29))-indirect(address(320,29))</f>
        <v>0</v>
      </c>
      <c r="AD321">
        <f>indirect(address(321,29))+indirect(address(319,30))-indirect(address(320,30))</f>
        <v>0</v>
      </c>
      <c r="AE321">
        <f>indirect(address(321,30))+indirect(address(319,31))-indirect(address(320,31))</f>
        <v>0</v>
      </c>
      <c r="AF321">
        <f>indirect(address(321,31))+indirect(address(319,32))-indirect(address(320,32))</f>
        <v>0</v>
      </c>
      <c r="AG321">
        <f>indirect(address(321,32))+indirect(address(319,33))-indirect(address(320,33))</f>
        <v>0</v>
      </c>
      <c r="AH321">
        <f>indirect(address(321,33))+indirect(address(319,34))-indirect(address(320,34))</f>
        <v>0</v>
      </c>
      <c r="AI321">
        <f>indirect(address(321,34))+indirect(address(319,35))-indirect(address(320,35))</f>
        <v>0</v>
      </c>
      <c r="AJ321">
        <f>indirect(address(321,35))+indirect(address(319,36))-indirect(address(320,36))</f>
        <v>0</v>
      </c>
      <c r="AK321">
        <f>indirect(address(321,36))+indirect(address(319,37))-indirect(address(320,37))</f>
        <v>0</v>
      </c>
      <c r="AL321">
        <f>indirect(address(321,37))+indirect(address(319,38))-indirect(address(320,38))</f>
        <v>0</v>
      </c>
      <c r="AM321">
        <f>indirect(address(321,38))+indirect(address(319,39))-indirect(address(320,39))</f>
        <v>0</v>
      </c>
      <c r="AN321">
        <f>indirect(address(321,39))+indirect(address(319,40))-indirect(address(320,40))</f>
        <v>0</v>
      </c>
      <c r="AO321">
        <f>indirect(address(321,40))+indirect(address(319,41))-indirect(address(320,41))</f>
        <v>0</v>
      </c>
    </row>
    <row r="322" spans="1:41">
      <c r="I322" t="s">
        <v>14</v>
      </c>
      <c r="AO322">
        <f>sum(j322:an322)</f>
        <v>0</v>
      </c>
    </row>
    <row r="323" spans="1:41">
      <c r="I323" t="s">
        <v>15</v>
      </c>
      <c r="J323">
        <f>sumif(Plan!B:B,"262-000000-045",Plan!j:j)</f>
        <v>0</v>
      </c>
      <c r="K323">
        <f>sumif(Plan!B:B,"262-000000-045",Plan!k:k)</f>
        <v>0</v>
      </c>
      <c r="L323">
        <f>sumif(Plan!B:B,"262-000000-045",Plan!l:l)</f>
        <v>0</v>
      </c>
      <c r="M323">
        <f>sumif(Plan!B:B,"262-000000-045",Plan!m:m)</f>
        <v>0</v>
      </c>
      <c r="N323">
        <f>sumif(Plan!B:B,"262-000000-045",Plan!n:n)</f>
        <v>0</v>
      </c>
      <c r="O323">
        <f>sumif(Plan!B:B,"262-000000-045",Plan!o:o)</f>
        <v>0</v>
      </c>
      <c r="P323">
        <f>sumif(Plan!B:B,"262-000000-045",Plan!p:p)</f>
        <v>0</v>
      </c>
      <c r="Q323">
        <f>sumif(Plan!B:B,"262-000000-045",Plan!q:q)</f>
        <v>0</v>
      </c>
      <c r="R323">
        <f>sumif(Plan!B:B,"262-000000-045",Plan!r:r)</f>
        <v>0</v>
      </c>
      <c r="S323">
        <f>sumif(Plan!B:B,"262-000000-045",Plan!s:s)</f>
        <v>0</v>
      </c>
      <c r="T323">
        <f>sumif(Plan!B:B,"262-000000-045",Plan!t:t)</f>
        <v>0</v>
      </c>
      <c r="U323">
        <f>sumif(Plan!B:B,"262-000000-045",Plan!u:u)</f>
        <v>0</v>
      </c>
      <c r="V323">
        <f>sumif(Plan!B:B,"262-000000-045",Plan!v:v)</f>
        <v>0</v>
      </c>
      <c r="W323">
        <f>sumif(Plan!B:B,"262-000000-045",Plan!w:w)</f>
        <v>0</v>
      </c>
      <c r="X323">
        <f>sumif(Plan!B:B,"262-000000-045",Plan!x:x)</f>
        <v>0</v>
      </c>
      <c r="Y323">
        <f>sumif(Plan!B:B,"262-000000-045",Plan!y:y)</f>
        <v>0</v>
      </c>
      <c r="Z323">
        <f>sumif(Plan!B:B,"262-000000-045",Plan!z:z)</f>
        <v>0</v>
      </c>
      <c r="AA323">
        <f>sumif(Plan!B:B,"262-000000-045",Plan!aa:aa)</f>
        <v>0</v>
      </c>
      <c r="AB323">
        <f>sumif(Plan!B:B,"262-000000-045",Plan!ab:ab)</f>
        <v>0</v>
      </c>
      <c r="AC323">
        <f>sumif(Plan!B:B,"262-000000-045",Plan!ac:ac)</f>
        <v>0</v>
      </c>
      <c r="AD323">
        <f>sumif(Plan!B:B,"262-000000-045",Plan!ad:ad)</f>
        <v>0</v>
      </c>
      <c r="AE323">
        <f>sumif(Plan!B:B,"262-000000-045",Plan!ae:ae)</f>
        <v>0</v>
      </c>
      <c r="AF323">
        <f>sumif(Plan!B:B,"262-000000-045",Plan!af:af)</f>
        <v>0</v>
      </c>
      <c r="AG323">
        <f>sumif(Plan!B:B,"262-000000-045",Plan!ag:ag)</f>
        <v>0</v>
      </c>
      <c r="AH323">
        <f>sumif(Plan!B:B,"262-000000-045",Plan!ah:ah)</f>
        <v>0</v>
      </c>
      <c r="AI323">
        <f>sumif(Plan!B:B,"262-000000-045",Plan!ai:ai)</f>
        <v>0</v>
      </c>
      <c r="AJ323">
        <f>sumif(Plan!B:B,"262-000000-045",Plan!aj:aj)</f>
        <v>0</v>
      </c>
      <c r="AK323">
        <f>sumif(Plan!B:B,"262-000000-045",Plan!ak:ak)</f>
        <v>0</v>
      </c>
      <c r="AL323">
        <f>sumif(Plan!B:B,"262-000000-045",Plan!al:al)</f>
        <v>0</v>
      </c>
      <c r="AM323">
        <f>sumif(Plan!B:B,"262-000000-045",Plan!am:am)</f>
        <v>0</v>
      </c>
      <c r="AN323">
        <f>sumif(Plan!B:B,"262-000000-045",Plan!an:an)</f>
        <v>0</v>
      </c>
      <c r="AO323">
        <f>sumif(Plan!B:B,"262-000000-045",Plan!ao:ao)</f>
        <v>0</v>
      </c>
    </row>
    <row r="324" spans="1:41">
      <c r="A324" t="s">
        <v>22</v>
      </c>
      <c r="B324" t="s">
        <v>230</v>
      </c>
      <c r="C324" t="s">
        <v>231</v>
      </c>
      <c r="E324">
        <v>1</v>
      </c>
      <c r="F324" t="s">
        <v>13</v>
      </c>
      <c r="H324" t="s">
        <v>16</v>
      </c>
      <c r="J324">
        <f>indirect(address(324,9))+indirect(address(322,10))-indirect(address(323,10))</f>
        <v>0</v>
      </c>
      <c r="K324">
        <f>indirect(address(324,10))+indirect(address(322,11))-indirect(address(323,11))</f>
        <v>0</v>
      </c>
      <c r="L324">
        <f>indirect(address(324,11))+indirect(address(322,12))-indirect(address(323,12))</f>
        <v>0</v>
      </c>
      <c r="M324">
        <f>indirect(address(324,12))+indirect(address(322,13))-indirect(address(323,13))</f>
        <v>0</v>
      </c>
      <c r="N324">
        <f>indirect(address(324,13))+indirect(address(322,14))-indirect(address(323,14))</f>
        <v>0</v>
      </c>
      <c r="O324">
        <f>indirect(address(324,14))+indirect(address(322,15))-indirect(address(323,15))</f>
        <v>0</v>
      </c>
      <c r="P324">
        <f>indirect(address(324,15))+indirect(address(322,16))-indirect(address(323,16))</f>
        <v>0</v>
      </c>
      <c r="Q324">
        <f>indirect(address(324,16))+indirect(address(322,17))-indirect(address(323,17))</f>
        <v>0</v>
      </c>
      <c r="R324">
        <f>indirect(address(324,17))+indirect(address(322,18))-indirect(address(323,18))</f>
        <v>0</v>
      </c>
      <c r="S324">
        <f>indirect(address(324,18))+indirect(address(322,19))-indirect(address(323,19))</f>
        <v>0</v>
      </c>
      <c r="T324">
        <f>indirect(address(324,19))+indirect(address(322,20))-indirect(address(323,20))</f>
        <v>0</v>
      </c>
      <c r="U324">
        <f>indirect(address(324,20))+indirect(address(322,21))-indirect(address(323,21))</f>
        <v>0</v>
      </c>
      <c r="V324">
        <f>indirect(address(324,21))+indirect(address(322,22))-indirect(address(323,22))</f>
        <v>0</v>
      </c>
      <c r="W324">
        <f>indirect(address(324,22))+indirect(address(322,23))-indirect(address(323,23))</f>
        <v>0</v>
      </c>
      <c r="X324">
        <f>indirect(address(324,23))+indirect(address(322,24))-indirect(address(323,24))</f>
        <v>0</v>
      </c>
      <c r="Y324">
        <f>indirect(address(324,24))+indirect(address(322,25))-indirect(address(323,25))</f>
        <v>0</v>
      </c>
      <c r="Z324">
        <f>indirect(address(324,25))+indirect(address(322,26))-indirect(address(323,26))</f>
        <v>0</v>
      </c>
      <c r="AA324">
        <f>indirect(address(324,26))+indirect(address(322,27))-indirect(address(323,27))</f>
        <v>0</v>
      </c>
      <c r="AB324">
        <f>indirect(address(324,27))+indirect(address(322,28))-indirect(address(323,28))</f>
        <v>0</v>
      </c>
      <c r="AC324">
        <f>indirect(address(324,28))+indirect(address(322,29))-indirect(address(323,29))</f>
        <v>0</v>
      </c>
      <c r="AD324">
        <f>indirect(address(324,29))+indirect(address(322,30))-indirect(address(323,30))</f>
        <v>0</v>
      </c>
      <c r="AE324">
        <f>indirect(address(324,30))+indirect(address(322,31))-indirect(address(323,31))</f>
        <v>0</v>
      </c>
      <c r="AF324">
        <f>indirect(address(324,31))+indirect(address(322,32))-indirect(address(323,32))</f>
        <v>0</v>
      </c>
      <c r="AG324">
        <f>indirect(address(324,32))+indirect(address(322,33))-indirect(address(323,33))</f>
        <v>0</v>
      </c>
      <c r="AH324">
        <f>indirect(address(324,33))+indirect(address(322,34))-indirect(address(323,34))</f>
        <v>0</v>
      </c>
      <c r="AI324">
        <f>indirect(address(324,34))+indirect(address(322,35))-indirect(address(323,35))</f>
        <v>0</v>
      </c>
      <c r="AJ324">
        <f>indirect(address(324,35))+indirect(address(322,36))-indirect(address(323,36))</f>
        <v>0</v>
      </c>
      <c r="AK324">
        <f>indirect(address(324,36))+indirect(address(322,37))-indirect(address(323,37))</f>
        <v>0</v>
      </c>
      <c r="AL324">
        <f>indirect(address(324,37))+indirect(address(322,38))-indirect(address(323,38))</f>
        <v>0</v>
      </c>
      <c r="AM324">
        <f>indirect(address(324,38))+indirect(address(322,39))-indirect(address(323,39))</f>
        <v>0</v>
      </c>
      <c r="AN324">
        <f>indirect(address(324,39))+indirect(address(322,40))-indirect(address(323,40))</f>
        <v>0</v>
      </c>
      <c r="AO324">
        <f>indirect(address(324,40))+indirect(address(322,41))-indirect(address(323,41))</f>
        <v>0</v>
      </c>
    </row>
    <row r="325" spans="1:41">
      <c r="I325" t="s">
        <v>14</v>
      </c>
      <c r="AO325">
        <f>sum(j325:an325)</f>
        <v>0</v>
      </c>
    </row>
    <row r="326" spans="1:41">
      <c r="I326" t="s">
        <v>15</v>
      </c>
      <c r="J326">
        <f>sumif(Plan!B:B,"824-701000-100",Plan!j:j)</f>
        <v>0</v>
      </c>
      <c r="K326">
        <f>sumif(Plan!B:B,"824-701000-100",Plan!k:k)</f>
        <v>0</v>
      </c>
      <c r="L326">
        <f>sumif(Plan!B:B,"824-701000-100",Plan!l:l)</f>
        <v>0</v>
      </c>
      <c r="M326">
        <f>sumif(Plan!B:B,"824-701000-100",Plan!m:m)</f>
        <v>0</v>
      </c>
      <c r="N326">
        <f>sumif(Plan!B:B,"824-701000-100",Plan!n:n)</f>
        <v>0</v>
      </c>
      <c r="O326">
        <f>sumif(Plan!B:B,"824-701000-100",Plan!o:o)</f>
        <v>0</v>
      </c>
      <c r="P326">
        <f>sumif(Plan!B:B,"824-701000-100",Plan!p:p)</f>
        <v>0</v>
      </c>
      <c r="Q326">
        <f>sumif(Plan!B:B,"824-701000-100",Plan!q:q)</f>
        <v>0</v>
      </c>
      <c r="R326">
        <f>sumif(Plan!B:B,"824-701000-100",Plan!r:r)</f>
        <v>0</v>
      </c>
      <c r="S326">
        <f>sumif(Plan!B:B,"824-701000-100",Plan!s:s)</f>
        <v>0</v>
      </c>
      <c r="T326">
        <f>sumif(Plan!B:B,"824-701000-100",Plan!t:t)</f>
        <v>0</v>
      </c>
      <c r="U326">
        <f>sumif(Plan!B:B,"824-701000-100",Plan!u:u)</f>
        <v>0</v>
      </c>
      <c r="V326">
        <f>sumif(Plan!B:B,"824-701000-100",Plan!v:v)</f>
        <v>0</v>
      </c>
      <c r="W326">
        <f>sumif(Plan!B:B,"824-701000-100",Plan!w:w)</f>
        <v>0</v>
      </c>
      <c r="X326">
        <f>sumif(Plan!B:B,"824-701000-100",Plan!x:x)</f>
        <v>0</v>
      </c>
      <c r="Y326">
        <f>sumif(Plan!B:B,"824-701000-100",Plan!y:y)</f>
        <v>0</v>
      </c>
      <c r="Z326">
        <f>sumif(Plan!B:B,"824-701000-100",Plan!z:z)</f>
        <v>0</v>
      </c>
      <c r="AA326">
        <f>sumif(Plan!B:B,"824-701000-100",Plan!aa:aa)</f>
        <v>0</v>
      </c>
      <c r="AB326">
        <f>sumif(Plan!B:B,"824-701000-100",Plan!ab:ab)</f>
        <v>0</v>
      </c>
      <c r="AC326">
        <f>sumif(Plan!B:B,"824-701000-100",Plan!ac:ac)</f>
        <v>0</v>
      </c>
      <c r="AD326">
        <f>sumif(Plan!B:B,"824-701000-100",Plan!ad:ad)</f>
        <v>0</v>
      </c>
      <c r="AE326">
        <f>sumif(Plan!B:B,"824-701000-100",Plan!ae:ae)</f>
        <v>0</v>
      </c>
      <c r="AF326">
        <f>sumif(Plan!B:B,"824-701000-100",Plan!af:af)</f>
        <v>0</v>
      </c>
      <c r="AG326">
        <f>sumif(Plan!B:B,"824-701000-100",Plan!ag:ag)</f>
        <v>0</v>
      </c>
      <c r="AH326">
        <f>sumif(Plan!B:B,"824-701000-100",Plan!ah:ah)</f>
        <v>0</v>
      </c>
      <c r="AI326">
        <f>sumif(Plan!B:B,"824-701000-100",Plan!ai:ai)</f>
        <v>0</v>
      </c>
      <c r="AJ326">
        <f>sumif(Plan!B:B,"824-701000-100",Plan!aj:aj)</f>
        <v>0</v>
      </c>
      <c r="AK326">
        <f>sumif(Plan!B:B,"824-701000-100",Plan!ak:ak)</f>
        <v>0</v>
      </c>
      <c r="AL326">
        <f>sumif(Plan!B:B,"824-701000-100",Plan!al:al)</f>
        <v>0</v>
      </c>
      <c r="AM326">
        <f>sumif(Plan!B:B,"824-701000-100",Plan!am:am)</f>
        <v>0</v>
      </c>
      <c r="AN326">
        <f>sumif(Plan!B:B,"824-701000-100",Plan!an:an)</f>
        <v>0</v>
      </c>
      <c r="AO326">
        <f>sumif(Plan!B:B,"824-701000-100",Plan!ao:ao)</f>
        <v>0</v>
      </c>
    </row>
    <row r="327" spans="1:41">
      <c r="A327" t="s">
        <v>17</v>
      </c>
      <c r="B327" t="s">
        <v>211</v>
      </c>
      <c r="C327" t="s">
        <v>213</v>
      </c>
      <c r="E327">
        <v>1.32</v>
      </c>
      <c r="F327" t="s">
        <v>13</v>
      </c>
      <c r="H327" t="s">
        <v>16</v>
      </c>
      <c r="J327">
        <f>indirect(address(327,9))+indirect(address(325,10))-indirect(address(326,10))</f>
        <v>0</v>
      </c>
      <c r="K327">
        <f>indirect(address(327,10))+indirect(address(325,11))-indirect(address(326,11))</f>
        <v>0</v>
      </c>
      <c r="L327">
        <f>indirect(address(327,11))+indirect(address(325,12))-indirect(address(326,12))</f>
        <v>0</v>
      </c>
      <c r="M327">
        <f>indirect(address(327,12))+indirect(address(325,13))-indirect(address(326,13))</f>
        <v>0</v>
      </c>
      <c r="N327">
        <f>indirect(address(327,13))+indirect(address(325,14))-indirect(address(326,14))</f>
        <v>0</v>
      </c>
      <c r="O327">
        <f>indirect(address(327,14))+indirect(address(325,15))-indirect(address(326,15))</f>
        <v>0</v>
      </c>
      <c r="P327">
        <f>indirect(address(327,15))+indirect(address(325,16))-indirect(address(326,16))</f>
        <v>0</v>
      </c>
      <c r="Q327">
        <f>indirect(address(327,16))+indirect(address(325,17))-indirect(address(326,17))</f>
        <v>0</v>
      </c>
      <c r="R327">
        <f>indirect(address(327,17))+indirect(address(325,18))-indirect(address(326,18))</f>
        <v>0</v>
      </c>
      <c r="S327">
        <f>indirect(address(327,18))+indirect(address(325,19))-indirect(address(326,19))</f>
        <v>0</v>
      </c>
      <c r="T327">
        <f>indirect(address(327,19))+indirect(address(325,20))-indirect(address(326,20))</f>
        <v>0</v>
      </c>
      <c r="U327">
        <f>indirect(address(327,20))+indirect(address(325,21))-indirect(address(326,21))</f>
        <v>0</v>
      </c>
      <c r="V327">
        <f>indirect(address(327,21))+indirect(address(325,22))-indirect(address(326,22))</f>
        <v>0</v>
      </c>
      <c r="W327">
        <f>indirect(address(327,22))+indirect(address(325,23))-indirect(address(326,23))</f>
        <v>0</v>
      </c>
      <c r="X327">
        <f>indirect(address(327,23))+indirect(address(325,24))-indirect(address(326,24))</f>
        <v>0</v>
      </c>
      <c r="Y327">
        <f>indirect(address(327,24))+indirect(address(325,25))-indirect(address(326,25))</f>
        <v>0</v>
      </c>
      <c r="Z327">
        <f>indirect(address(327,25))+indirect(address(325,26))-indirect(address(326,26))</f>
        <v>0</v>
      </c>
      <c r="AA327">
        <f>indirect(address(327,26))+indirect(address(325,27))-indirect(address(326,27))</f>
        <v>0</v>
      </c>
      <c r="AB327">
        <f>indirect(address(327,27))+indirect(address(325,28))-indirect(address(326,28))</f>
        <v>0</v>
      </c>
      <c r="AC327">
        <f>indirect(address(327,28))+indirect(address(325,29))-indirect(address(326,29))</f>
        <v>0</v>
      </c>
      <c r="AD327">
        <f>indirect(address(327,29))+indirect(address(325,30))-indirect(address(326,30))</f>
        <v>0</v>
      </c>
      <c r="AE327">
        <f>indirect(address(327,30))+indirect(address(325,31))-indirect(address(326,31))</f>
        <v>0</v>
      </c>
      <c r="AF327">
        <f>indirect(address(327,31))+indirect(address(325,32))-indirect(address(326,32))</f>
        <v>0</v>
      </c>
      <c r="AG327">
        <f>indirect(address(327,32))+indirect(address(325,33))-indirect(address(326,33))</f>
        <v>0</v>
      </c>
      <c r="AH327">
        <f>indirect(address(327,33))+indirect(address(325,34))-indirect(address(326,34))</f>
        <v>0</v>
      </c>
      <c r="AI327">
        <f>indirect(address(327,34))+indirect(address(325,35))-indirect(address(326,35))</f>
        <v>0</v>
      </c>
      <c r="AJ327">
        <f>indirect(address(327,35))+indirect(address(325,36))-indirect(address(326,36))</f>
        <v>0</v>
      </c>
      <c r="AK327">
        <f>indirect(address(327,36))+indirect(address(325,37))-indirect(address(326,37))</f>
        <v>0</v>
      </c>
      <c r="AL327">
        <f>indirect(address(327,37))+indirect(address(325,38))-indirect(address(326,38))</f>
        <v>0</v>
      </c>
      <c r="AM327">
        <f>indirect(address(327,38))+indirect(address(325,39))-indirect(address(326,39))</f>
        <v>0</v>
      </c>
      <c r="AN327">
        <f>indirect(address(327,39))+indirect(address(325,40))-indirect(address(326,40))</f>
        <v>0</v>
      </c>
      <c r="AO327">
        <f>indirect(address(327,40))+indirect(address(325,41))-indirect(address(326,41))</f>
        <v>0</v>
      </c>
    </row>
    <row r="328" spans="1:41">
      <c r="I328" t="s">
        <v>14</v>
      </c>
      <c r="AO328">
        <f>sum(j328:an328)</f>
        <v>0</v>
      </c>
    </row>
    <row r="329" spans="1:41">
      <c r="I329" t="s">
        <v>15</v>
      </c>
      <c r="J329">
        <f>sumif(Plan!B:B,"824-708000-100",Plan!j:j)</f>
        <v>0</v>
      </c>
      <c r="K329">
        <f>sumif(Plan!B:B,"824-708000-100",Plan!k:k)</f>
        <v>0</v>
      </c>
      <c r="L329">
        <f>sumif(Plan!B:B,"824-708000-100",Plan!l:l)</f>
        <v>0</v>
      </c>
      <c r="M329">
        <f>sumif(Plan!B:B,"824-708000-100",Plan!m:m)</f>
        <v>0</v>
      </c>
      <c r="N329">
        <f>sumif(Plan!B:B,"824-708000-100",Plan!n:n)</f>
        <v>0</v>
      </c>
      <c r="O329">
        <f>sumif(Plan!B:B,"824-708000-100",Plan!o:o)</f>
        <v>0</v>
      </c>
      <c r="P329">
        <f>sumif(Plan!B:B,"824-708000-100",Plan!p:p)</f>
        <v>0</v>
      </c>
      <c r="Q329">
        <f>sumif(Plan!B:B,"824-708000-100",Plan!q:q)</f>
        <v>0</v>
      </c>
      <c r="R329">
        <f>sumif(Plan!B:B,"824-708000-100",Plan!r:r)</f>
        <v>0</v>
      </c>
      <c r="S329">
        <f>sumif(Plan!B:B,"824-708000-100",Plan!s:s)</f>
        <v>0</v>
      </c>
      <c r="T329">
        <f>sumif(Plan!B:B,"824-708000-100",Plan!t:t)</f>
        <v>0</v>
      </c>
      <c r="U329">
        <f>sumif(Plan!B:B,"824-708000-100",Plan!u:u)</f>
        <v>0</v>
      </c>
      <c r="V329">
        <f>sumif(Plan!B:B,"824-708000-100",Plan!v:v)</f>
        <v>0</v>
      </c>
      <c r="W329">
        <f>sumif(Plan!B:B,"824-708000-100",Plan!w:w)</f>
        <v>0</v>
      </c>
      <c r="X329">
        <f>sumif(Plan!B:B,"824-708000-100",Plan!x:x)</f>
        <v>0</v>
      </c>
      <c r="Y329">
        <f>sumif(Plan!B:B,"824-708000-100",Plan!y:y)</f>
        <v>0</v>
      </c>
      <c r="Z329">
        <f>sumif(Plan!B:B,"824-708000-100",Plan!z:z)</f>
        <v>0</v>
      </c>
      <c r="AA329">
        <f>sumif(Plan!B:B,"824-708000-100",Plan!aa:aa)</f>
        <v>0</v>
      </c>
      <c r="AB329">
        <f>sumif(Plan!B:B,"824-708000-100",Plan!ab:ab)</f>
        <v>0</v>
      </c>
      <c r="AC329">
        <f>sumif(Plan!B:B,"824-708000-100",Plan!ac:ac)</f>
        <v>0</v>
      </c>
      <c r="AD329">
        <f>sumif(Plan!B:B,"824-708000-100",Plan!ad:ad)</f>
        <v>0</v>
      </c>
      <c r="AE329">
        <f>sumif(Plan!B:B,"824-708000-100",Plan!ae:ae)</f>
        <v>0</v>
      </c>
      <c r="AF329">
        <f>sumif(Plan!B:B,"824-708000-100",Plan!af:af)</f>
        <v>0</v>
      </c>
      <c r="AG329">
        <f>sumif(Plan!B:B,"824-708000-100",Plan!ag:ag)</f>
        <v>0</v>
      </c>
      <c r="AH329">
        <f>sumif(Plan!B:B,"824-708000-100",Plan!ah:ah)</f>
        <v>0</v>
      </c>
      <c r="AI329">
        <f>sumif(Plan!B:B,"824-708000-100",Plan!ai:ai)</f>
        <v>0</v>
      </c>
      <c r="AJ329">
        <f>sumif(Plan!B:B,"824-708000-100",Plan!aj:aj)</f>
        <v>0</v>
      </c>
      <c r="AK329">
        <f>sumif(Plan!B:B,"824-708000-100",Plan!ak:ak)</f>
        <v>0</v>
      </c>
      <c r="AL329">
        <f>sumif(Plan!B:B,"824-708000-100",Plan!al:al)</f>
        <v>0</v>
      </c>
      <c r="AM329">
        <f>sumif(Plan!B:B,"824-708000-100",Plan!am:am)</f>
        <v>0</v>
      </c>
      <c r="AN329">
        <f>sumif(Plan!B:B,"824-708000-100",Plan!an:an)</f>
        <v>0</v>
      </c>
      <c r="AO329">
        <f>sumif(Plan!B:B,"824-708000-100",Plan!ao:ao)</f>
        <v>0</v>
      </c>
    </row>
    <row r="330" spans="1:41">
      <c r="A330" t="s">
        <v>17</v>
      </c>
      <c r="B330" t="s">
        <v>214</v>
      </c>
      <c r="C330" t="s">
        <v>233</v>
      </c>
      <c r="E330">
        <v>1</v>
      </c>
      <c r="F330" t="s">
        <v>13</v>
      </c>
      <c r="H330" t="s">
        <v>16</v>
      </c>
      <c r="J330">
        <f>indirect(address(330,9))+indirect(address(328,10))-indirect(address(329,10))</f>
        <v>0</v>
      </c>
      <c r="K330">
        <f>indirect(address(330,10))+indirect(address(328,11))-indirect(address(329,11))</f>
        <v>0</v>
      </c>
      <c r="L330">
        <f>indirect(address(330,11))+indirect(address(328,12))-indirect(address(329,12))</f>
        <v>0</v>
      </c>
      <c r="M330">
        <f>indirect(address(330,12))+indirect(address(328,13))-indirect(address(329,13))</f>
        <v>0</v>
      </c>
      <c r="N330">
        <f>indirect(address(330,13))+indirect(address(328,14))-indirect(address(329,14))</f>
        <v>0</v>
      </c>
      <c r="O330">
        <f>indirect(address(330,14))+indirect(address(328,15))-indirect(address(329,15))</f>
        <v>0</v>
      </c>
      <c r="P330">
        <f>indirect(address(330,15))+indirect(address(328,16))-indirect(address(329,16))</f>
        <v>0</v>
      </c>
      <c r="Q330">
        <f>indirect(address(330,16))+indirect(address(328,17))-indirect(address(329,17))</f>
        <v>0</v>
      </c>
      <c r="R330">
        <f>indirect(address(330,17))+indirect(address(328,18))-indirect(address(329,18))</f>
        <v>0</v>
      </c>
      <c r="S330">
        <f>indirect(address(330,18))+indirect(address(328,19))-indirect(address(329,19))</f>
        <v>0</v>
      </c>
      <c r="T330">
        <f>indirect(address(330,19))+indirect(address(328,20))-indirect(address(329,20))</f>
        <v>0</v>
      </c>
      <c r="U330">
        <f>indirect(address(330,20))+indirect(address(328,21))-indirect(address(329,21))</f>
        <v>0</v>
      </c>
      <c r="V330">
        <f>indirect(address(330,21))+indirect(address(328,22))-indirect(address(329,22))</f>
        <v>0</v>
      </c>
      <c r="W330">
        <f>indirect(address(330,22))+indirect(address(328,23))-indirect(address(329,23))</f>
        <v>0</v>
      </c>
      <c r="X330">
        <f>indirect(address(330,23))+indirect(address(328,24))-indirect(address(329,24))</f>
        <v>0</v>
      </c>
      <c r="Y330">
        <f>indirect(address(330,24))+indirect(address(328,25))-indirect(address(329,25))</f>
        <v>0</v>
      </c>
      <c r="Z330">
        <f>indirect(address(330,25))+indirect(address(328,26))-indirect(address(329,26))</f>
        <v>0</v>
      </c>
      <c r="AA330">
        <f>indirect(address(330,26))+indirect(address(328,27))-indirect(address(329,27))</f>
        <v>0</v>
      </c>
      <c r="AB330">
        <f>indirect(address(330,27))+indirect(address(328,28))-indirect(address(329,28))</f>
        <v>0</v>
      </c>
      <c r="AC330">
        <f>indirect(address(330,28))+indirect(address(328,29))-indirect(address(329,29))</f>
        <v>0</v>
      </c>
      <c r="AD330">
        <f>indirect(address(330,29))+indirect(address(328,30))-indirect(address(329,30))</f>
        <v>0</v>
      </c>
      <c r="AE330">
        <f>indirect(address(330,30))+indirect(address(328,31))-indirect(address(329,31))</f>
        <v>0</v>
      </c>
      <c r="AF330">
        <f>indirect(address(330,31))+indirect(address(328,32))-indirect(address(329,32))</f>
        <v>0</v>
      </c>
      <c r="AG330">
        <f>indirect(address(330,32))+indirect(address(328,33))-indirect(address(329,33))</f>
        <v>0</v>
      </c>
      <c r="AH330">
        <f>indirect(address(330,33))+indirect(address(328,34))-indirect(address(329,34))</f>
        <v>0</v>
      </c>
      <c r="AI330">
        <f>indirect(address(330,34))+indirect(address(328,35))-indirect(address(329,35))</f>
        <v>0</v>
      </c>
      <c r="AJ330">
        <f>indirect(address(330,35))+indirect(address(328,36))-indirect(address(329,36))</f>
        <v>0</v>
      </c>
      <c r="AK330">
        <f>indirect(address(330,36))+indirect(address(328,37))-indirect(address(329,37))</f>
        <v>0</v>
      </c>
      <c r="AL330">
        <f>indirect(address(330,37))+indirect(address(328,38))-indirect(address(329,38))</f>
        <v>0</v>
      </c>
      <c r="AM330">
        <f>indirect(address(330,38))+indirect(address(328,39))-indirect(address(329,39))</f>
        <v>0</v>
      </c>
      <c r="AN330">
        <f>indirect(address(330,39))+indirect(address(328,40))-indirect(address(329,40))</f>
        <v>0</v>
      </c>
      <c r="AO330">
        <f>indirect(address(330,40))+indirect(address(328,41))-indirect(address(329,41))</f>
        <v>0</v>
      </c>
    </row>
    <row r="331" spans="1:41">
      <c r="I331" t="s">
        <v>14</v>
      </c>
      <c r="AO331">
        <f>sum(j331:an331)</f>
        <v>0</v>
      </c>
    </row>
    <row r="332" spans="1:41">
      <c r="I332" t="s">
        <v>15</v>
      </c>
      <c r="J332">
        <f>sumif(Plan!B:B,"262-000000-027",Plan!j:j)</f>
        <v>0</v>
      </c>
      <c r="K332">
        <f>sumif(Plan!B:B,"262-000000-027",Plan!k:k)</f>
        <v>0</v>
      </c>
      <c r="L332">
        <f>sumif(Plan!B:B,"262-000000-027",Plan!l:l)</f>
        <v>0</v>
      </c>
      <c r="M332">
        <f>sumif(Plan!B:B,"262-000000-027",Plan!m:m)</f>
        <v>0</v>
      </c>
      <c r="N332">
        <f>sumif(Plan!B:B,"262-000000-027",Plan!n:n)</f>
        <v>0</v>
      </c>
      <c r="O332">
        <f>sumif(Plan!B:B,"262-000000-027",Plan!o:o)</f>
        <v>0</v>
      </c>
      <c r="P332">
        <f>sumif(Plan!B:B,"262-000000-027",Plan!p:p)</f>
        <v>0</v>
      </c>
      <c r="Q332">
        <f>sumif(Plan!B:B,"262-000000-027",Plan!q:q)</f>
        <v>0</v>
      </c>
      <c r="R332">
        <f>sumif(Plan!B:B,"262-000000-027",Plan!r:r)</f>
        <v>0</v>
      </c>
      <c r="S332">
        <f>sumif(Plan!B:B,"262-000000-027",Plan!s:s)</f>
        <v>0</v>
      </c>
      <c r="T332">
        <f>sumif(Plan!B:B,"262-000000-027",Plan!t:t)</f>
        <v>0</v>
      </c>
      <c r="U332">
        <f>sumif(Plan!B:B,"262-000000-027",Plan!u:u)</f>
        <v>0</v>
      </c>
      <c r="V332">
        <f>sumif(Plan!B:B,"262-000000-027",Plan!v:v)</f>
        <v>0</v>
      </c>
      <c r="W332">
        <f>sumif(Plan!B:B,"262-000000-027",Plan!w:w)</f>
        <v>0</v>
      </c>
      <c r="X332">
        <f>sumif(Plan!B:B,"262-000000-027",Plan!x:x)</f>
        <v>0</v>
      </c>
      <c r="Y332">
        <f>sumif(Plan!B:B,"262-000000-027",Plan!y:y)</f>
        <v>0</v>
      </c>
      <c r="Z332">
        <f>sumif(Plan!B:B,"262-000000-027",Plan!z:z)</f>
        <v>0</v>
      </c>
      <c r="AA332">
        <f>sumif(Plan!B:B,"262-000000-027",Plan!aa:aa)</f>
        <v>0</v>
      </c>
      <c r="AB332">
        <f>sumif(Plan!B:B,"262-000000-027",Plan!ab:ab)</f>
        <v>0</v>
      </c>
      <c r="AC332">
        <f>sumif(Plan!B:B,"262-000000-027",Plan!ac:ac)</f>
        <v>0</v>
      </c>
      <c r="AD332">
        <f>sumif(Plan!B:B,"262-000000-027",Plan!ad:ad)</f>
        <v>0</v>
      </c>
      <c r="AE332">
        <f>sumif(Plan!B:B,"262-000000-027",Plan!ae:ae)</f>
        <v>0</v>
      </c>
      <c r="AF332">
        <f>sumif(Plan!B:B,"262-000000-027",Plan!af:af)</f>
        <v>0</v>
      </c>
      <c r="AG332">
        <f>sumif(Plan!B:B,"262-000000-027",Plan!ag:ag)</f>
        <v>0</v>
      </c>
      <c r="AH332">
        <f>sumif(Plan!B:B,"262-000000-027",Plan!ah:ah)</f>
        <v>0</v>
      </c>
      <c r="AI332">
        <f>sumif(Plan!B:B,"262-000000-027",Plan!ai:ai)</f>
        <v>0</v>
      </c>
      <c r="AJ332">
        <f>sumif(Plan!B:B,"262-000000-027",Plan!aj:aj)</f>
        <v>0</v>
      </c>
      <c r="AK332">
        <f>sumif(Plan!B:B,"262-000000-027",Plan!ak:ak)</f>
        <v>0</v>
      </c>
      <c r="AL332">
        <f>sumif(Plan!B:B,"262-000000-027",Plan!al:al)</f>
        <v>0</v>
      </c>
      <c r="AM332">
        <f>sumif(Plan!B:B,"262-000000-027",Plan!am:am)</f>
        <v>0</v>
      </c>
      <c r="AN332">
        <f>sumif(Plan!B:B,"262-000000-027",Plan!an:an)</f>
        <v>0</v>
      </c>
      <c r="AO332">
        <f>sumif(Plan!B:B,"262-000000-027",Plan!ao:ao)</f>
        <v>0</v>
      </c>
    </row>
    <row r="333" spans="1:41">
      <c r="A333" t="s">
        <v>17</v>
      </c>
      <c r="B333" t="s">
        <v>216</v>
      </c>
      <c r="C333" t="s">
        <v>234</v>
      </c>
      <c r="E333">
        <v>1</v>
      </c>
      <c r="F333" t="s">
        <v>13</v>
      </c>
      <c r="H333" t="s">
        <v>16</v>
      </c>
      <c r="J333">
        <f>indirect(address(333,9))+indirect(address(331,10))-indirect(address(332,10))</f>
        <v>0</v>
      </c>
      <c r="K333">
        <f>indirect(address(333,10))+indirect(address(331,11))-indirect(address(332,11))</f>
        <v>0</v>
      </c>
      <c r="L333">
        <f>indirect(address(333,11))+indirect(address(331,12))-indirect(address(332,12))</f>
        <v>0</v>
      </c>
      <c r="M333">
        <f>indirect(address(333,12))+indirect(address(331,13))-indirect(address(332,13))</f>
        <v>0</v>
      </c>
      <c r="N333">
        <f>indirect(address(333,13))+indirect(address(331,14))-indirect(address(332,14))</f>
        <v>0</v>
      </c>
      <c r="O333">
        <f>indirect(address(333,14))+indirect(address(331,15))-indirect(address(332,15))</f>
        <v>0</v>
      </c>
      <c r="P333">
        <f>indirect(address(333,15))+indirect(address(331,16))-indirect(address(332,16))</f>
        <v>0</v>
      </c>
      <c r="Q333">
        <f>indirect(address(333,16))+indirect(address(331,17))-indirect(address(332,17))</f>
        <v>0</v>
      </c>
      <c r="R333">
        <f>indirect(address(333,17))+indirect(address(331,18))-indirect(address(332,18))</f>
        <v>0</v>
      </c>
      <c r="S333">
        <f>indirect(address(333,18))+indirect(address(331,19))-indirect(address(332,19))</f>
        <v>0</v>
      </c>
      <c r="T333">
        <f>indirect(address(333,19))+indirect(address(331,20))-indirect(address(332,20))</f>
        <v>0</v>
      </c>
      <c r="U333">
        <f>indirect(address(333,20))+indirect(address(331,21))-indirect(address(332,21))</f>
        <v>0</v>
      </c>
      <c r="V333">
        <f>indirect(address(333,21))+indirect(address(331,22))-indirect(address(332,22))</f>
        <v>0</v>
      </c>
      <c r="W333">
        <f>indirect(address(333,22))+indirect(address(331,23))-indirect(address(332,23))</f>
        <v>0</v>
      </c>
      <c r="X333">
        <f>indirect(address(333,23))+indirect(address(331,24))-indirect(address(332,24))</f>
        <v>0</v>
      </c>
      <c r="Y333">
        <f>indirect(address(333,24))+indirect(address(331,25))-indirect(address(332,25))</f>
        <v>0</v>
      </c>
      <c r="Z333">
        <f>indirect(address(333,25))+indirect(address(331,26))-indirect(address(332,26))</f>
        <v>0</v>
      </c>
      <c r="AA333">
        <f>indirect(address(333,26))+indirect(address(331,27))-indirect(address(332,27))</f>
        <v>0</v>
      </c>
      <c r="AB333">
        <f>indirect(address(333,27))+indirect(address(331,28))-indirect(address(332,28))</f>
        <v>0</v>
      </c>
      <c r="AC333">
        <f>indirect(address(333,28))+indirect(address(331,29))-indirect(address(332,29))</f>
        <v>0</v>
      </c>
      <c r="AD333">
        <f>indirect(address(333,29))+indirect(address(331,30))-indirect(address(332,30))</f>
        <v>0</v>
      </c>
      <c r="AE333">
        <f>indirect(address(333,30))+indirect(address(331,31))-indirect(address(332,31))</f>
        <v>0</v>
      </c>
      <c r="AF333">
        <f>indirect(address(333,31))+indirect(address(331,32))-indirect(address(332,32))</f>
        <v>0</v>
      </c>
      <c r="AG333">
        <f>indirect(address(333,32))+indirect(address(331,33))-indirect(address(332,33))</f>
        <v>0</v>
      </c>
      <c r="AH333">
        <f>indirect(address(333,33))+indirect(address(331,34))-indirect(address(332,34))</f>
        <v>0</v>
      </c>
      <c r="AI333">
        <f>indirect(address(333,34))+indirect(address(331,35))-indirect(address(332,35))</f>
        <v>0</v>
      </c>
      <c r="AJ333">
        <f>indirect(address(333,35))+indirect(address(331,36))-indirect(address(332,36))</f>
        <v>0</v>
      </c>
      <c r="AK333">
        <f>indirect(address(333,36))+indirect(address(331,37))-indirect(address(332,37))</f>
        <v>0</v>
      </c>
      <c r="AL333">
        <f>indirect(address(333,37))+indirect(address(331,38))-indirect(address(332,38))</f>
        <v>0</v>
      </c>
      <c r="AM333">
        <f>indirect(address(333,38))+indirect(address(331,39))-indirect(address(332,39))</f>
        <v>0</v>
      </c>
      <c r="AN333">
        <f>indirect(address(333,39))+indirect(address(331,40))-indirect(address(332,40))</f>
        <v>0</v>
      </c>
      <c r="AO333">
        <f>indirect(address(333,40))+indirect(address(331,41))-indirect(address(332,41))</f>
        <v>0</v>
      </c>
    </row>
    <row r="334" spans="1:41">
      <c r="I334" t="s">
        <v>14</v>
      </c>
      <c r="AO334">
        <f>sum(j334:an334)</f>
        <v>0</v>
      </c>
    </row>
    <row r="335" spans="1:41">
      <c r="I335" t="s">
        <v>15</v>
      </c>
      <c r="J335">
        <f>sumif(Plan!B:B,"262-000000-033",Plan!j:j)</f>
        <v>0</v>
      </c>
      <c r="K335">
        <f>sumif(Plan!B:B,"262-000000-033",Plan!k:k)</f>
        <v>0</v>
      </c>
      <c r="L335">
        <f>sumif(Plan!B:B,"262-000000-033",Plan!l:l)</f>
        <v>0</v>
      </c>
      <c r="M335">
        <f>sumif(Plan!B:B,"262-000000-033",Plan!m:m)</f>
        <v>0</v>
      </c>
      <c r="N335">
        <f>sumif(Plan!B:B,"262-000000-033",Plan!n:n)</f>
        <v>0</v>
      </c>
      <c r="O335">
        <f>sumif(Plan!B:B,"262-000000-033",Plan!o:o)</f>
        <v>0</v>
      </c>
      <c r="P335">
        <f>sumif(Plan!B:B,"262-000000-033",Plan!p:p)</f>
        <v>0</v>
      </c>
      <c r="Q335">
        <f>sumif(Plan!B:B,"262-000000-033",Plan!q:q)</f>
        <v>0</v>
      </c>
      <c r="R335">
        <f>sumif(Plan!B:B,"262-000000-033",Plan!r:r)</f>
        <v>0</v>
      </c>
      <c r="S335">
        <f>sumif(Plan!B:B,"262-000000-033",Plan!s:s)</f>
        <v>0</v>
      </c>
      <c r="T335">
        <f>sumif(Plan!B:B,"262-000000-033",Plan!t:t)</f>
        <v>0</v>
      </c>
      <c r="U335">
        <f>sumif(Plan!B:B,"262-000000-033",Plan!u:u)</f>
        <v>0</v>
      </c>
      <c r="V335">
        <f>sumif(Plan!B:B,"262-000000-033",Plan!v:v)</f>
        <v>0</v>
      </c>
      <c r="W335">
        <f>sumif(Plan!B:B,"262-000000-033",Plan!w:w)</f>
        <v>0</v>
      </c>
      <c r="X335">
        <f>sumif(Plan!B:B,"262-000000-033",Plan!x:x)</f>
        <v>0</v>
      </c>
      <c r="Y335">
        <f>sumif(Plan!B:B,"262-000000-033",Plan!y:y)</f>
        <v>0</v>
      </c>
      <c r="Z335">
        <f>sumif(Plan!B:B,"262-000000-033",Plan!z:z)</f>
        <v>0</v>
      </c>
      <c r="AA335">
        <f>sumif(Plan!B:B,"262-000000-033",Plan!aa:aa)</f>
        <v>0</v>
      </c>
      <c r="AB335">
        <f>sumif(Plan!B:B,"262-000000-033",Plan!ab:ab)</f>
        <v>0</v>
      </c>
      <c r="AC335">
        <f>sumif(Plan!B:B,"262-000000-033",Plan!ac:ac)</f>
        <v>0</v>
      </c>
      <c r="AD335">
        <f>sumif(Plan!B:B,"262-000000-033",Plan!ad:ad)</f>
        <v>0</v>
      </c>
      <c r="AE335">
        <f>sumif(Plan!B:B,"262-000000-033",Plan!ae:ae)</f>
        <v>0</v>
      </c>
      <c r="AF335">
        <f>sumif(Plan!B:B,"262-000000-033",Plan!af:af)</f>
        <v>0</v>
      </c>
      <c r="AG335">
        <f>sumif(Plan!B:B,"262-000000-033",Plan!ag:ag)</f>
        <v>0</v>
      </c>
      <c r="AH335">
        <f>sumif(Plan!B:B,"262-000000-033",Plan!ah:ah)</f>
        <v>0</v>
      </c>
      <c r="AI335">
        <f>sumif(Plan!B:B,"262-000000-033",Plan!ai:ai)</f>
        <v>0</v>
      </c>
      <c r="AJ335">
        <f>sumif(Plan!B:B,"262-000000-033",Plan!aj:aj)</f>
        <v>0</v>
      </c>
      <c r="AK335">
        <f>sumif(Plan!B:B,"262-000000-033",Plan!ak:ak)</f>
        <v>0</v>
      </c>
      <c r="AL335">
        <f>sumif(Plan!B:B,"262-000000-033",Plan!al:al)</f>
        <v>0</v>
      </c>
      <c r="AM335">
        <f>sumif(Plan!B:B,"262-000000-033",Plan!am:am)</f>
        <v>0</v>
      </c>
      <c r="AN335">
        <f>sumif(Plan!B:B,"262-000000-033",Plan!an:an)</f>
        <v>0</v>
      </c>
      <c r="AO335">
        <f>sumif(Plan!B:B,"262-000000-033",Plan!ao:ao)</f>
        <v>0</v>
      </c>
    </row>
    <row r="336" spans="1:41">
      <c r="A336" t="s">
        <v>17</v>
      </c>
      <c r="B336" t="s">
        <v>218</v>
      </c>
      <c r="C336" t="s">
        <v>219</v>
      </c>
      <c r="E336">
        <v>2</v>
      </c>
      <c r="F336" t="s">
        <v>13</v>
      </c>
      <c r="H336" t="s">
        <v>16</v>
      </c>
      <c r="J336">
        <f>indirect(address(336,9))+indirect(address(334,10))-indirect(address(335,10))</f>
        <v>0</v>
      </c>
      <c r="K336">
        <f>indirect(address(336,10))+indirect(address(334,11))-indirect(address(335,11))</f>
        <v>0</v>
      </c>
      <c r="L336">
        <f>indirect(address(336,11))+indirect(address(334,12))-indirect(address(335,12))</f>
        <v>0</v>
      </c>
      <c r="M336">
        <f>indirect(address(336,12))+indirect(address(334,13))-indirect(address(335,13))</f>
        <v>0</v>
      </c>
      <c r="N336">
        <f>indirect(address(336,13))+indirect(address(334,14))-indirect(address(335,14))</f>
        <v>0</v>
      </c>
      <c r="O336">
        <f>indirect(address(336,14))+indirect(address(334,15))-indirect(address(335,15))</f>
        <v>0</v>
      </c>
      <c r="P336">
        <f>indirect(address(336,15))+indirect(address(334,16))-indirect(address(335,16))</f>
        <v>0</v>
      </c>
      <c r="Q336">
        <f>indirect(address(336,16))+indirect(address(334,17))-indirect(address(335,17))</f>
        <v>0</v>
      </c>
      <c r="R336">
        <f>indirect(address(336,17))+indirect(address(334,18))-indirect(address(335,18))</f>
        <v>0</v>
      </c>
      <c r="S336">
        <f>indirect(address(336,18))+indirect(address(334,19))-indirect(address(335,19))</f>
        <v>0</v>
      </c>
      <c r="T336">
        <f>indirect(address(336,19))+indirect(address(334,20))-indirect(address(335,20))</f>
        <v>0</v>
      </c>
      <c r="U336">
        <f>indirect(address(336,20))+indirect(address(334,21))-indirect(address(335,21))</f>
        <v>0</v>
      </c>
      <c r="V336">
        <f>indirect(address(336,21))+indirect(address(334,22))-indirect(address(335,22))</f>
        <v>0</v>
      </c>
      <c r="W336">
        <f>indirect(address(336,22))+indirect(address(334,23))-indirect(address(335,23))</f>
        <v>0</v>
      </c>
      <c r="X336">
        <f>indirect(address(336,23))+indirect(address(334,24))-indirect(address(335,24))</f>
        <v>0</v>
      </c>
      <c r="Y336">
        <f>indirect(address(336,24))+indirect(address(334,25))-indirect(address(335,25))</f>
        <v>0</v>
      </c>
      <c r="Z336">
        <f>indirect(address(336,25))+indirect(address(334,26))-indirect(address(335,26))</f>
        <v>0</v>
      </c>
      <c r="AA336">
        <f>indirect(address(336,26))+indirect(address(334,27))-indirect(address(335,27))</f>
        <v>0</v>
      </c>
      <c r="AB336">
        <f>indirect(address(336,27))+indirect(address(334,28))-indirect(address(335,28))</f>
        <v>0</v>
      </c>
      <c r="AC336">
        <f>indirect(address(336,28))+indirect(address(334,29))-indirect(address(335,29))</f>
        <v>0</v>
      </c>
      <c r="AD336">
        <f>indirect(address(336,29))+indirect(address(334,30))-indirect(address(335,30))</f>
        <v>0</v>
      </c>
      <c r="AE336">
        <f>indirect(address(336,30))+indirect(address(334,31))-indirect(address(335,31))</f>
        <v>0</v>
      </c>
      <c r="AF336">
        <f>indirect(address(336,31))+indirect(address(334,32))-indirect(address(335,32))</f>
        <v>0</v>
      </c>
      <c r="AG336">
        <f>indirect(address(336,32))+indirect(address(334,33))-indirect(address(335,33))</f>
        <v>0</v>
      </c>
      <c r="AH336">
        <f>indirect(address(336,33))+indirect(address(334,34))-indirect(address(335,34))</f>
        <v>0</v>
      </c>
      <c r="AI336">
        <f>indirect(address(336,34))+indirect(address(334,35))-indirect(address(335,35))</f>
        <v>0</v>
      </c>
      <c r="AJ336">
        <f>indirect(address(336,35))+indirect(address(334,36))-indirect(address(335,36))</f>
        <v>0</v>
      </c>
      <c r="AK336">
        <f>indirect(address(336,36))+indirect(address(334,37))-indirect(address(335,37))</f>
        <v>0</v>
      </c>
      <c r="AL336">
        <f>indirect(address(336,37))+indirect(address(334,38))-indirect(address(335,38))</f>
        <v>0</v>
      </c>
      <c r="AM336">
        <f>indirect(address(336,38))+indirect(address(334,39))-indirect(address(335,39))</f>
        <v>0</v>
      </c>
      <c r="AN336">
        <f>indirect(address(336,39))+indirect(address(334,40))-indirect(address(335,40))</f>
        <v>0</v>
      </c>
      <c r="AO336">
        <f>indirect(address(336,40))+indirect(address(334,41))-indirect(address(335,41))</f>
        <v>0</v>
      </c>
    </row>
    <row r="337" spans="1:41">
      <c r="I337" t="s">
        <v>14</v>
      </c>
      <c r="AO337">
        <f>sum(j337:an337)</f>
        <v>0</v>
      </c>
    </row>
    <row r="338" spans="1:41">
      <c r="I338" t="s">
        <v>15</v>
      </c>
      <c r="J338">
        <f>sumif(Plan!B:B,"261-000000-009",Plan!j:j)</f>
        <v>0</v>
      </c>
      <c r="K338">
        <f>sumif(Plan!B:B,"261-000000-009",Plan!k:k)</f>
        <v>0</v>
      </c>
      <c r="L338">
        <f>sumif(Plan!B:B,"261-000000-009",Plan!l:l)</f>
        <v>0</v>
      </c>
      <c r="M338">
        <f>sumif(Plan!B:B,"261-000000-009",Plan!m:m)</f>
        <v>0</v>
      </c>
      <c r="N338">
        <f>sumif(Plan!B:B,"261-000000-009",Plan!n:n)</f>
        <v>0</v>
      </c>
      <c r="O338">
        <f>sumif(Plan!B:B,"261-000000-009",Plan!o:o)</f>
        <v>0</v>
      </c>
      <c r="P338">
        <f>sumif(Plan!B:B,"261-000000-009",Plan!p:p)</f>
        <v>0</v>
      </c>
      <c r="Q338">
        <f>sumif(Plan!B:B,"261-000000-009",Plan!q:q)</f>
        <v>0</v>
      </c>
      <c r="R338">
        <f>sumif(Plan!B:B,"261-000000-009",Plan!r:r)</f>
        <v>0</v>
      </c>
      <c r="S338">
        <f>sumif(Plan!B:B,"261-000000-009",Plan!s:s)</f>
        <v>0</v>
      </c>
      <c r="T338">
        <f>sumif(Plan!B:B,"261-000000-009",Plan!t:t)</f>
        <v>0</v>
      </c>
      <c r="U338">
        <f>sumif(Plan!B:B,"261-000000-009",Plan!u:u)</f>
        <v>0</v>
      </c>
      <c r="V338">
        <f>sumif(Plan!B:B,"261-000000-009",Plan!v:v)</f>
        <v>0</v>
      </c>
      <c r="W338">
        <f>sumif(Plan!B:B,"261-000000-009",Plan!w:w)</f>
        <v>0</v>
      </c>
      <c r="X338">
        <f>sumif(Plan!B:B,"261-000000-009",Plan!x:x)</f>
        <v>0</v>
      </c>
      <c r="Y338">
        <f>sumif(Plan!B:B,"261-000000-009",Plan!y:y)</f>
        <v>0</v>
      </c>
      <c r="Z338">
        <f>sumif(Plan!B:B,"261-000000-009",Plan!z:z)</f>
        <v>0</v>
      </c>
      <c r="AA338">
        <f>sumif(Plan!B:B,"261-000000-009",Plan!aa:aa)</f>
        <v>0</v>
      </c>
      <c r="AB338">
        <f>sumif(Plan!B:B,"261-000000-009",Plan!ab:ab)</f>
        <v>0</v>
      </c>
      <c r="AC338">
        <f>sumif(Plan!B:B,"261-000000-009",Plan!ac:ac)</f>
        <v>0</v>
      </c>
      <c r="AD338">
        <f>sumif(Plan!B:B,"261-000000-009",Plan!ad:ad)</f>
        <v>0</v>
      </c>
      <c r="AE338">
        <f>sumif(Plan!B:B,"261-000000-009",Plan!ae:ae)</f>
        <v>0</v>
      </c>
      <c r="AF338">
        <f>sumif(Plan!B:B,"261-000000-009",Plan!af:af)</f>
        <v>0</v>
      </c>
      <c r="AG338">
        <f>sumif(Plan!B:B,"261-000000-009",Plan!ag:ag)</f>
        <v>0</v>
      </c>
      <c r="AH338">
        <f>sumif(Plan!B:B,"261-000000-009",Plan!ah:ah)</f>
        <v>0</v>
      </c>
      <c r="AI338">
        <f>sumif(Plan!B:B,"261-000000-009",Plan!ai:ai)</f>
        <v>0</v>
      </c>
      <c r="AJ338">
        <f>sumif(Plan!B:B,"261-000000-009",Plan!aj:aj)</f>
        <v>0</v>
      </c>
      <c r="AK338">
        <f>sumif(Plan!B:B,"261-000000-009",Plan!ak:ak)</f>
        <v>0</v>
      </c>
      <c r="AL338">
        <f>sumif(Plan!B:B,"261-000000-009",Plan!al:al)</f>
        <v>0</v>
      </c>
      <c r="AM338">
        <f>sumif(Plan!B:B,"261-000000-009",Plan!am:am)</f>
        <v>0</v>
      </c>
      <c r="AN338">
        <f>sumif(Plan!B:B,"261-000000-009",Plan!an:an)</f>
        <v>0</v>
      </c>
      <c r="AO338">
        <f>sumif(Plan!B:B,"261-000000-009",Plan!ao:ao)</f>
        <v>0</v>
      </c>
    </row>
    <row r="339" spans="1:41">
      <c r="A339" t="s">
        <v>22</v>
      </c>
      <c r="B339" t="s">
        <v>205</v>
      </c>
      <c r="C339" t="s">
        <v>235</v>
      </c>
      <c r="E339">
        <v>8</v>
      </c>
      <c r="F339" t="s">
        <v>13</v>
      </c>
      <c r="H339" t="s">
        <v>16</v>
      </c>
      <c r="J339">
        <f>indirect(address(339,9))+indirect(address(337,10))-indirect(address(338,10))</f>
        <v>0</v>
      </c>
      <c r="K339">
        <f>indirect(address(339,10))+indirect(address(337,11))-indirect(address(338,11))</f>
        <v>0</v>
      </c>
      <c r="L339">
        <f>indirect(address(339,11))+indirect(address(337,12))-indirect(address(338,12))</f>
        <v>0</v>
      </c>
      <c r="M339">
        <f>indirect(address(339,12))+indirect(address(337,13))-indirect(address(338,13))</f>
        <v>0</v>
      </c>
      <c r="N339">
        <f>indirect(address(339,13))+indirect(address(337,14))-indirect(address(338,14))</f>
        <v>0</v>
      </c>
      <c r="O339">
        <f>indirect(address(339,14))+indirect(address(337,15))-indirect(address(338,15))</f>
        <v>0</v>
      </c>
      <c r="P339">
        <f>indirect(address(339,15))+indirect(address(337,16))-indirect(address(338,16))</f>
        <v>0</v>
      </c>
      <c r="Q339">
        <f>indirect(address(339,16))+indirect(address(337,17))-indirect(address(338,17))</f>
        <v>0</v>
      </c>
      <c r="R339">
        <f>indirect(address(339,17))+indirect(address(337,18))-indirect(address(338,18))</f>
        <v>0</v>
      </c>
      <c r="S339">
        <f>indirect(address(339,18))+indirect(address(337,19))-indirect(address(338,19))</f>
        <v>0</v>
      </c>
      <c r="T339">
        <f>indirect(address(339,19))+indirect(address(337,20))-indirect(address(338,20))</f>
        <v>0</v>
      </c>
      <c r="U339">
        <f>indirect(address(339,20))+indirect(address(337,21))-indirect(address(338,21))</f>
        <v>0</v>
      </c>
      <c r="V339">
        <f>indirect(address(339,21))+indirect(address(337,22))-indirect(address(338,22))</f>
        <v>0</v>
      </c>
      <c r="W339">
        <f>indirect(address(339,22))+indirect(address(337,23))-indirect(address(338,23))</f>
        <v>0</v>
      </c>
      <c r="X339">
        <f>indirect(address(339,23))+indirect(address(337,24))-indirect(address(338,24))</f>
        <v>0</v>
      </c>
      <c r="Y339">
        <f>indirect(address(339,24))+indirect(address(337,25))-indirect(address(338,25))</f>
        <v>0</v>
      </c>
      <c r="Z339">
        <f>indirect(address(339,25))+indirect(address(337,26))-indirect(address(338,26))</f>
        <v>0</v>
      </c>
      <c r="AA339">
        <f>indirect(address(339,26))+indirect(address(337,27))-indirect(address(338,27))</f>
        <v>0</v>
      </c>
      <c r="AB339">
        <f>indirect(address(339,27))+indirect(address(337,28))-indirect(address(338,28))</f>
        <v>0</v>
      </c>
      <c r="AC339">
        <f>indirect(address(339,28))+indirect(address(337,29))-indirect(address(338,29))</f>
        <v>0</v>
      </c>
      <c r="AD339">
        <f>indirect(address(339,29))+indirect(address(337,30))-indirect(address(338,30))</f>
        <v>0</v>
      </c>
      <c r="AE339">
        <f>indirect(address(339,30))+indirect(address(337,31))-indirect(address(338,31))</f>
        <v>0</v>
      </c>
      <c r="AF339">
        <f>indirect(address(339,31))+indirect(address(337,32))-indirect(address(338,32))</f>
        <v>0</v>
      </c>
      <c r="AG339">
        <f>indirect(address(339,32))+indirect(address(337,33))-indirect(address(338,33))</f>
        <v>0</v>
      </c>
      <c r="AH339">
        <f>indirect(address(339,33))+indirect(address(337,34))-indirect(address(338,34))</f>
        <v>0</v>
      </c>
      <c r="AI339">
        <f>indirect(address(339,34))+indirect(address(337,35))-indirect(address(338,35))</f>
        <v>0</v>
      </c>
      <c r="AJ339">
        <f>indirect(address(339,35))+indirect(address(337,36))-indirect(address(338,36))</f>
        <v>0</v>
      </c>
      <c r="AK339">
        <f>indirect(address(339,36))+indirect(address(337,37))-indirect(address(338,37))</f>
        <v>0</v>
      </c>
      <c r="AL339">
        <f>indirect(address(339,37))+indirect(address(337,38))-indirect(address(338,38))</f>
        <v>0</v>
      </c>
      <c r="AM339">
        <f>indirect(address(339,38))+indirect(address(337,39))-indirect(address(338,39))</f>
        <v>0</v>
      </c>
      <c r="AN339">
        <f>indirect(address(339,39))+indirect(address(337,40))-indirect(address(338,40))</f>
        <v>0</v>
      </c>
      <c r="AO339">
        <f>indirect(address(339,40))+indirect(address(337,41))-indirect(address(338,41))</f>
        <v>0</v>
      </c>
    </row>
    <row r="340" spans="1:41">
      <c r="I340" t="s">
        <v>14</v>
      </c>
      <c r="AO340">
        <f>sum(j340:an340)</f>
        <v>0</v>
      </c>
    </row>
    <row r="341" spans="1:41">
      <c r="I341" t="s">
        <v>15</v>
      </c>
      <c r="J341">
        <f>sumif(Plan!B:B,"262-000000-021",Plan!j:j)</f>
        <v>0</v>
      </c>
      <c r="K341">
        <f>sumif(Plan!B:B,"262-000000-021",Plan!k:k)</f>
        <v>0</v>
      </c>
      <c r="L341">
        <f>sumif(Plan!B:B,"262-000000-021",Plan!l:l)</f>
        <v>0</v>
      </c>
      <c r="M341">
        <f>sumif(Plan!B:B,"262-000000-021",Plan!m:m)</f>
        <v>0</v>
      </c>
      <c r="N341">
        <f>sumif(Plan!B:B,"262-000000-021",Plan!n:n)</f>
        <v>0</v>
      </c>
      <c r="O341">
        <f>sumif(Plan!B:B,"262-000000-021",Plan!o:o)</f>
        <v>0</v>
      </c>
      <c r="P341">
        <f>sumif(Plan!B:B,"262-000000-021",Plan!p:p)</f>
        <v>0</v>
      </c>
      <c r="Q341">
        <f>sumif(Plan!B:B,"262-000000-021",Plan!q:q)</f>
        <v>0</v>
      </c>
      <c r="R341">
        <f>sumif(Plan!B:B,"262-000000-021",Plan!r:r)</f>
        <v>0</v>
      </c>
      <c r="S341">
        <f>sumif(Plan!B:B,"262-000000-021",Plan!s:s)</f>
        <v>0</v>
      </c>
      <c r="T341">
        <f>sumif(Plan!B:B,"262-000000-021",Plan!t:t)</f>
        <v>0</v>
      </c>
      <c r="U341">
        <f>sumif(Plan!B:B,"262-000000-021",Plan!u:u)</f>
        <v>0</v>
      </c>
      <c r="V341">
        <f>sumif(Plan!B:B,"262-000000-021",Plan!v:v)</f>
        <v>0</v>
      </c>
      <c r="W341">
        <f>sumif(Plan!B:B,"262-000000-021",Plan!w:w)</f>
        <v>0</v>
      </c>
      <c r="X341">
        <f>sumif(Plan!B:B,"262-000000-021",Plan!x:x)</f>
        <v>0</v>
      </c>
      <c r="Y341">
        <f>sumif(Plan!B:B,"262-000000-021",Plan!y:y)</f>
        <v>0</v>
      </c>
      <c r="Z341">
        <f>sumif(Plan!B:B,"262-000000-021",Plan!z:z)</f>
        <v>0</v>
      </c>
      <c r="AA341">
        <f>sumif(Plan!B:B,"262-000000-021",Plan!aa:aa)</f>
        <v>0</v>
      </c>
      <c r="AB341">
        <f>sumif(Plan!B:B,"262-000000-021",Plan!ab:ab)</f>
        <v>0</v>
      </c>
      <c r="AC341">
        <f>sumif(Plan!B:B,"262-000000-021",Plan!ac:ac)</f>
        <v>0</v>
      </c>
      <c r="AD341">
        <f>sumif(Plan!B:B,"262-000000-021",Plan!ad:ad)</f>
        <v>0</v>
      </c>
      <c r="AE341">
        <f>sumif(Plan!B:B,"262-000000-021",Plan!ae:ae)</f>
        <v>0</v>
      </c>
      <c r="AF341">
        <f>sumif(Plan!B:B,"262-000000-021",Plan!af:af)</f>
        <v>0</v>
      </c>
      <c r="AG341">
        <f>sumif(Plan!B:B,"262-000000-021",Plan!ag:ag)</f>
        <v>0</v>
      </c>
      <c r="AH341">
        <f>sumif(Plan!B:B,"262-000000-021",Plan!ah:ah)</f>
        <v>0</v>
      </c>
      <c r="AI341">
        <f>sumif(Plan!B:B,"262-000000-021",Plan!ai:ai)</f>
        <v>0</v>
      </c>
      <c r="AJ341">
        <f>sumif(Plan!B:B,"262-000000-021",Plan!aj:aj)</f>
        <v>0</v>
      </c>
      <c r="AK341">
        <f>sumif(Plan!B:B,"262-000000-021",Plan!ak:ak)</f>
        <v>0</v>
      </c>
      <c r="AL341">
        <f>sumif(Plan!B:B,"262-000000-021",Plan!al:al)</f>
        <v>0</v>
      </c>
      <c r="AM341">
        <f>sumif(Plan!B:B,"262-000000-021",Plan!am:am)</f>
        <v>0</v>
      </c>
      <c r="AN341">
        <f>sumif(Plan!B:B,"262-000000-021",Plan!an:an)</f>
        <v>0</v>
      </c>
      <c r="AO341">
        <f>sumif(Plan!B:B,"262-000000-021",Plan!ao:ao)</f>
        <v>0</v>
      </c>
    </row>
    <row r="342" spans="1:41">
      <c r="A342" t="s">
        <v>22</v>
      </c>
      <c r="B342" t="s">
        <v>220</v>
      </c>
      <c r="C342" t="s">
        <v>236</v>
      </c>
      <c r="E342">
        <v>2</v>
      </c>
      <c r="F342" t="s">
        <v>13</v>
      </c>
      <c r="H342" t="s">
        <v>16</v>
      </c>
      <c r="J342">
        <f>indirect(address(342,9))+indirect(address(340,10))-indirect(address(341,10))</f>
        <v>0</v>
      </c>
      <c r="K342">
        <f>indirect(address(342,10))+indirect(address(340,11))-indirect(address(341,11))</f>
        <v>0</v>
      </c>
      <c r="L342">
        <f>indirect(address(342,11))+indirect(address(340,12))-indirect(address(341,12))</f>
        <v>0</v>
      </c>
      <c r="M342">
        <f>indirect(address(342,12))+indirect(address(340,13))-indirect(address(341,13))</f>
        <v>0</v>
      </c>
      <c r="N342">
        <f>indirect(address(342,13))+indirect(address(340,14))-indirect(address(341,14))</f>
        <v>0</v>
      </c>
      <c r="O342">
        <f>indirect(address(342,14))+indirect(address(340,15))-indirect(address(341,15))</f>
        <v>0</v>
      </c>
      <c r="P342">
        <f>indirect(address(342,15))+indirect(address(340,16))-indirect(address(341,16))</f>
        <v>0</v>
      </c>
      <c r="Q342">
        <f>indirect(address(342,16))+indirect(address(340,17))-indirect(address(341,17))</f>
        <v>0</v>
      </c>
      <c r="R342">
        <f>indirect(address(342,17))+indirect(address(340,18))-indirect(address(341,18))</f>
        <v>0</v>
      </c>
      <c r="S342">
        <f>indirect(address(342,18))+indirect(address(340,19))-indirect(address(341,19))</f>
        <v>0</v>
      </c>
      <c r="T342">
        <f>indirect(address(342,19))+indirect(address(340,20))-indirect(address(341,20))</f>
        <v>0</v>
      </c>
      <c r="U342">
        <f>indirect(address(342,20))+indirect(address(340,21))-indirect(address(341,21))</f>
        <v>0</v>
      </c>
      <c r="V342">
        <f>indirect(address(342,21))+indirect(address(340,22))-indirect(address(341,22))</f>
        <v>0</v>
      </c>
      <c r="W342">
        <f>indirect(address(342,22))+indirect(address(340,23))-indirect(address(341,23))</f>
        <v>0</v>
      </c>
      <c r="X342">
        <f>indirect(address(342,23))+indirect(address(340,24))-indirect(address(341,24))</f>
        <v>0</v>
      </c>
      <c r="Y342">
        <f>indirect(address(342,24))+indirect(address(340,25))-indirect(address(341,25))</f>
        <v>0</v>
      </c>
      <c r="Z342">
        <f>indirect(address(342,25))+indirect(address(340,26))-indirect(address(341,26))</f>
        <v>0</v>
      </c>
      <c r="AA342">
        <f>indirect(address(342,26))+indirect(address(340,27))-indirect(address(341,27))</f>
        <v>0</v>
      </c>
      <c r="AB342">
        <f>indirect(address(342,27))+indirect(address(340,28))-indirect(address(341,28))</f>
        <v>0</v>
      </c>
      <c r="AC342">
        <f>indirect(address(342,28))+indirect(address(340,29))-indirect(address(341,29))</f>
        <v>0</v>
      </c>
      <c r="AD342">
        <f>indirect(address(342,29))+indirect(address(340,30))-indirect(address(341,30))</f>
        <v>0</v>
      </c>
      <c r="AE342">
        <f>indirect(address(342,30))+indirect(address(340,31))-indirect(address(341,31))</f>
        <v>0</v>
      </c>
      <c r="AF342">
        <f>indirect(address(342,31))+indirect(address(340,32))-indirect(address(341,32))</f>
        <v>0</v>
      </c>
      <c r="AG342">
        <f>indirect(address(342,32))+indirect(address(340,33))-indirect(address(341,33))</f>
        <v>0</v>
      </c>
      <c r="AH342">
        <f>indirect(address(342,33))+indirect(address(340,34))-indirect(address(341,34))</f>
        <v>0</v>
      </c>
      <c r="AI342">
        <f>indirect(address(342,34))+indirect(address(340,35))-indirect(address(341,35))</f>
        <v>0</v>
      </c>
      <c r="AJ342">
        <f>indirect(address(342,35))+indirect(address(340,36))-indirect(address(341,36))</f>
        <v>0</v>
      </c>
      <c r="AK342">
        <f>indirect(address(342,36))+indirect(address(340,37))-indirect(address(341,37))</f>
        <v>0</v>
      </c>
      <c r="AL342">
        <f>indirect(address(342,37))+indirect(address(340,38))-indirect(address(341,38))</f>
        <v>0</v>
      </c>
      <c r="AM342">
        <f>indirect(address(342,38))+indirect(address(340,39))-indirect(address(341,39))</f>
        <v>0</v>
      </c>
      <c r="AN342">
        <f>indirect(address(342,39))+indirect(address(340,40))-indirect(address(341,40))</f>
        <v>0</v>
      </c>
      <c r="AO342">
        <f>indirect(address(342,40))+indirect(address(340,41))-indirect(address(341,41))</f>
        <v>0</v>
      </c>
    </row>
    <row r="343" spans="1:41">
      <c r="I343" t="s">
        <v>14</v>
      </c>
      <c r="AO343">
        <f>sum(j343:an343)</f>
        <v>0</v>
      </c>
    </row>
    <row r="344" spans="1:41">
      <c r="I344" t="s">
        <v>15</v>
      </c>
      <c r="J344">
        <f>sumif(Plan!B:B,"262-000000-007",Plan!j:j)</f>
        <v>0</v>
      </c>
      <c r="K344">
        <f>sumif(Plan!B:B,"262-000000-007",Plan!k:k)</f>
        <v>0</v>
      </c>
      <c r="L344">
        <f>sumif(Plan!B:B,"262-000000-007",Plan!l:l)</f>
        <v>0</v>
      </c>
      <c r="M344">
        <f>sumif(Plan!B:B,"262-000000-007",Plan!m:m)</f>
        <v>0</v>
      </c>
      <c r="N344">
        <f>sumif(Plan!B:B,"262-000000-007",Plan!n:n)</f>
        <v>0</v>
      </c>
      <c r="O344">
        <f>sumif(Plan!B:B,"262-000000-007",Plan!o:o)</f>
        <v>0</v>
      </c>
      <c r="P344">
        <f>sumif(Plan!B:B,"262-000000-007",Plan!p:p)</f>
        <v>0</v>
      </c>
      <c r="Q344">
        <f>sumif(Plan!B:B,"262-000000-007",Plan!q:q)</f>
        <v>0</v>
      </c>
      <c r="R344">
        <f>sumif(Plan!B:B,"262-000000-007",Plan!r:r)</f>
        <v>0</v>
      </c>
      <c r="S344">
        <f>sumif(Plan!B:B,"262-000000-007",Plan!s:s)</f>
        <v>0</v>
      </c>
      <c r="T344">
        <f>sumif(Plan!B:B,"262-000000-007",Plan!t:t)</f>
        <v>0</v>
      </c>
      <c r="U344">
        <f>sumif(Plan!B:B,"262-000000-007",Plan!u:u)</f>
        <v>0</v>
      </c>
      <c r="V344">
        <f>sumif(Plan!B:B,"262-000000-007",Plan!v:v)</f>
        <v>0</v>
      </c>
      <c r="W344">
        <f>sumif(Plan!B:B,"262-000000-007",Plan!w:w)</f>
        <v>0</v>
      </c>
      <c r="X344">
        <f>sumif(Plan!B:B,"262-000000-007",Plan!x:x)</f>
        <v>0</v>
      </c>
      <c r="Y344">
        <f>sumif(Plan!B:B,"262-000000-007",Plan!y:y)</f>
        <v>0</v>
      </c>
      <c r="Z344">
        <f>sumif(Plan!B:B,"262-000000-007",Plan!z:z)</f>
        <v>0</v>
      </c>
      <c r="AA344">
        <f>sumif(Plan!B:B,"262-000000-007",Plan!aa:aa)</f>
        <v>0</v>
      </c>
      <c r="AB344">
        <f>sumif(Plan!B:B,"262-000000-007",Plan!ab:ab)</f>
        <v>0</v>
      </c>
      <c r="AC344">
        <f>sumif(Plan!B:B,"262-000000-007",Plan!ac:ac)</f>
        <v>0</v>
      </c>
      <c r="AD344">
        <f>sumif(Plan!B:B,"262-000000-007",Plan!ad:ad)</f>
        <v>0</v>
      </c>
      <c r="AE344">
        <f>sumif(Plan!B:B,"262-000000-007",Plan!ae:ae)</f>
        <v>0</v>
      </c>
      <c r="AF344">
        <f>sumif(Plan!B:B,"262-000000-007",Plan!af:af)</f>
        <v>0</v>
      </c>
      <c r="AG344">
        <f>sumif(Plan!B:B,"262-000000-007",Plan!ag:ag)</f>
        <v>0</v>
      </c>
      <c r="AH344">
        <f>sumif(Plan!B:B,"262-000000-007",Plan!ah:ah)</f>
        <v>0</v>
      </c>
      <c r="AI344">
        <f>sumif(Plan!B:B,"262-000000-007",Plan!ai:ai)</f>
        <v>0</v>
      </c>
      <c r="AJ344">
        <f>sumif(Plan!B:B,"262-000000-007",Plan!aj:aj)</f>
        <v>0</v>
      </c>
      <c r="AK344">
        <f>sumif(Plan!B:B,"262-000000-007",Plan!ak:ak)</f>
        <v>0</v>
      </c>
      <c r="AL344">
        <f>sumif(Plan!B:B,"262-000000-007",Plan!al:al)</f>
        <v>0</v>
      </c>
      <c r="AM344">
        <f>sumif(Plan!B:B,"262-000000-007",Plan!am:am)</f>
        <v>0</v>
      </c>
      <c r="AN344">
        <f>sumif(Plan!B:B,"262-000000-007",Plan!an:an)</f>
        <v>0</v>
      </c>
      <c r="AO344">
        <f>sumif(Plan!B:B,"262-000000-007",Plan!ao:ao)</f>
        <v>0</v>
      </c>
    </row>
    <row r="345" spans="1:41">
      <c r="A345" t="s">
        <v>22</v>
      </c>
      <c r="B345" t="s">
        <v>222</v>
      </c>
      <c r="C345" t="s">
        <v>237</v>
      </c>
      <c r="E345">
        <v>8</v>
      </c>
      <c r="F345" t="s">
        <v>13</v>
      </c>
      <c r="H345" t="s">
        <v>16</v>
      </c>
      <c r="J345">
        <f>indirect(address(345,9))+indirect(address(343,10))-indirect(address(344,10))</f>
        <v>0</v>
      </c>
      <c r="K345">
        <f>indirect(address(345,10))+indirect(address(343,11))-indirect(address(344,11))</f>
        <v>0</v>
      </c>
      <c r="L345">
        <f>indirect(address(345,11))+indirect(address(343,12))-indirect(address(344,12))</f>
        <v>0</v>
      </c>
      <c r="M345">
        <f>indirect(address(345,12))+indirect(address(343,13))-indirect(address(344,13))</f>
        <v>0</v>
      </c>
      <c r="N345">
        <f>indirect(address(345,13))+indirect(address(343,14))-indirect(address(344,14))</f>
        <v>0</v>
      </c>
      <c r="O345">
        <f>indirect(address(345,14))+indirect(address(343,15))-indirect(address(344,15))</f>
        <v>0</v>
      </c>
      <c r="P345">
        <f>indirect(address(345,15))+indirect(address(343,16))-indirect(address(344,16))</f>
        <v>0</v>
      </c>
      <c r="Q345">
        <f>indirect(address(345,16))+indirect(address(343,17))-indirect(address(344,17))</f>
        <v>0</v>
      </c>
      <c r="R345">
        <f>indirect(address(345,17))+indirect(address(343,18))-indirect(address(344,18))</f>
        <v>0</v>
      </c>
      <c r="S345">
        <f>indirect(address(345,18))+indirect(address(343,19))-indirect(address(344,19))</f>
        <v>0</v>
      </c>
      <c r="T345">
        <f>indirect(address(345,19))+indirect(address(343,20))-indirect(address(344,20))</f>
        <v>0</v>
      </c>
      <c r="U345">
        <f>indirect(address(345,20))+indirect(address(343,21))-indirect(address(344,21))</f>
        <v>0</v>
      </c>
      <c r="V345">
        <f>indirect(address(345,21))+indirect(address(343,22))-indirect(address(344,22))</f>
        <v>0</v>
      </c>
      <c r="W345">
        <f>indirect(address(345,22))+indirect(address(343,23))-indirect(address(344,23))</f>
        <v>0</v>
      </c>
      <c r="X345">
        <f>indirect(address(345,23))+indirect(address(343,24))-indirect(address(344,24))</f>
        <v>0</v>
      </c>
      <c r="Y345">
        <f>indirect(address(345,24))+indirect(address(343,25))-indirect(address(344,25))</f>
        <v>0</v>
      </c>
      <c r="Z345">
        <f>indirect(address(345,25))+indirect(address(343,26))-indirect(address(344,26))</f>
        <v>0</v>
      </c>
      <c r="AA345">
        <f>indirect(address(345,26))+indirect(address(343,27))-indirect(address(344,27))</f>
        <v>0</v>
      </c>
      <c r="AB345">
        <f>indirect(address(345,27))+indirect(address(343,28))-indirect(address(344,28))</f>
        <v>0</v>
      </c>
      <c r="AC345">
        <f>indirect(address(345,28))+indirect(address(343,29))-indirect(address(344,29))</f>
        <v>0</v>
      </c>
      <c r="AD345">
        <f>indirect(address(345,29))+indirect(address(343,30))-indirect(address(344,30))</f>
        <v>0</v>
      </c>
      <c r="AE345">
        <f>indirect(address(345,30))+indirect(address(343,31))-indirect(address(344,31))</f>
        <v>0</v>
      </c>
      <c r="AF345">
        <f>indirect(address(345,31))+indirect(address(343,32))-indirect(address(344,32))</f>
        <v>0</v>
      </c>
      <c r="AG345">
        <f>indirect(address(345,32))+indirect(address(343,33))-indirect(address(344,33))</f>
        <v>0</v>
      </c>
      <c r="AH345">
        <f>indirect(address(345,33))+indirect(address(343,34))-indirect(address(344,34))</f>
        <v>0</v>
      </c>
      <c r="AI345">
        <f>indirect(address(345,34))+indirect(address(343,35))-indirect(address(344,35))</f>
        <v>0</v>
      </c>
      <c r="AJ345">
        <f>indirect(address(345,35))+indirect(address(343,36))-indirect(address(344,36))</f>
        <v>0</v>
      </c>
      <c r="AK345">
        <f>indirect(address(345,36))+indirect(address(343,37))-indirect(address(344,37))</f>
        <v>0</v>
      </c>
      <c r="AL345">
        <f>indirect(address(345,37))+indirect(address(343,38))-indirect(address(344,38))</f>
        <v>0</v>
      </c>
      <c r="AM345">
        <f>indirect(address(345,38))+indirect(address(343,39))-indirect(address(344,39))</f>
        <v>0</v>
      </c>
      <c r="AN345">
        <f>indirect(address(345,39))+indirect(address(343,40))-indirect(address(344,40))</f>
        <v>0</v>
      </c>
      <c r="AO345">
        <f>indirect(address(345,40))+indirect(address(343,41))-indirect(address(344,41))</f>
        <v>0</v>
      </c>
    </row>
    <row r="346" spans="1:41">
      <c r="I346" t="s">
        <v>14</v>
      </c>
      <c r="AO346">
        <f>sum(j346:an346)</f>
        <v>0</v>
      </c>
    </row>
    <row r="347" spans="1:41">
      <c r="I347" t="s">
        <v>15</v>
      </c>
      <c r="J347">
        <f>sumif(Plan!B:B,"262-000000-022",Plan!j:j)</f>
        <v>0</v>
      </c>
      <c r="K347">
        <f>sumif(Plan!B:B,"262-000000-022",Plan!k:k)</f>
        <v>0</v>
      </c>
      <c r="L347">
        <f>sumif(Plan!B:B,"262-000000-022",Plan!l:l)</f>
        <v>0</v>
      </c>
      <c r="M347">
        <f>sumif(Plan!B:B,"262-000000-022",Plan!m:m)</f>
        <v>0</v>
      </c>
      <c r="N347">
        <f>sumif(Plan!B:B,"262-000000-022",Plan!n:n)</f>
        <v>0</v>
      </c>
      <c r="O347">
        <f>sumif(Plan!B:B,"262-000000-022",Plan!o:o)</f>
        <v>0</v>
      </c>
      <c r="P347">
        <f>sumif(Plan!B:B,"262-000000-022",Plan!p:p)</f>
        <v>0</v>
      </c>
      <c r="Q347">
        <f>sumif(Plan!B:B,"262-000000-022",Plan!q:q)</f>
        <v>0</v>
      </c>
      <c r="R347">
        <f>sumif(Plan!B:B,"262-000000-022",Plan!r:r)</f>
        <v>0</v>
      </c>
      <c r="S347">
        <f>sumif(Plan!B:B,"262-000000-022",Plan!s:s)</f>
        <v>0</v>
      </c>
      <c r="T347">
        <f>sumif(Plan!B:B,"262-000000-022",Plan!t:t)</f>
        <v>0</v>
      </c>
      <c r="U347">
        <f>sumif(Plan!B:B,"262-000000-022",Plan!u:u)</f>
        <v>0</v>
      </c>
      <c r="V347">
        <f>sumif(Plan!B:B,"262-000000-022",Plan!v:v)</f>
        <v>0</v>
      </c>
      <c r="W347">
        <f>sumif(Plan!B:B,"262-000000-022",Plan!w:w)</f>
        <v>0</v>
      </c>
      <c r="X347">
        <f>sumif(Plan!B:B,"262-000000-022",Plan!x:x)</f>
        <v>0</v>
      </c>
      <c r="Y347">
        <f>sumif(Plan!B:B,"262-000000-022",Plan!y:y)</f>
        <v>0</v>
      </c>
      <c r="Z347">
        <f>sumif(Plan!B:B,"262-000000-022",Plan!z:z)</f>
        <v>0</v>
      </c>
      <c r="AA347">
        <f>sumif(Plan!B:B,"262-000000-022",Plan!aa:aa)</f>
        <v>0</v>
      </c>
      <c r="AB347">
        <f>sumif(Plan!B:B,"262-000000-022",Plan!ab:ab)</f>
        <v>0</v>
      </c>
      <c r="AC347">
        <f>sumif(Plan!B:B,"262-000000-022",Plan!ac:ac)</f>
        <v>0</v>
      </c>
      <c r="AD347">
        <f>sumif(Plan!B:B,"262-000000-022",Plan!ad:ad)</f>
        <v>0</v>
      </c>
      <c r="AE347">
        <f>sumif(Plan!B:B,"262-000000-022",Plan!ae:ae)</f>
        <v>0</v>
      </c>
      <c r="AF347">
        <f>sumif(Plan!B:B,"262-000000-022",Plan!af:af)</f>
        <v>0</v>
      </c>
      <c r="AG347">
        <f>sumif(Plan!B:B,"262-000000-022",Plan!ag:ag)</f>
        <v>0</v>
      </c>
      <c r="AH347">
        <f>sumif(Plan!B:B,"262-000000-022",Plan!ah:ah)</f>
        <v>0</v>
      </c>
      <c r="AI347">
        <f>sumif(Plan!B:B,"262-000000-022",Plan!ai:ai)</f>
        <v>0</v>
      </c>
      <c r="AJ347">
        <f>sumif(Plan!B:B,"262-000000-022",Plan!aj:aj)</f>
        <v>0</v>
      </c>
      <c r="AK347">
        <f>sumif(Plan!B:B,"262-000000-022",Plan!ak:ak)</f>
        <v>0</v>
      </c>
      <c r="AL347">
        <f>sumif(Plan!B:B,"262-000000-022",Plan!al:al)</f>
        <v>0</v>
      </c>
      <c r="AM347">
        <f>sumif(Plan!B:B,"262-000000-022",Plan!am:am)</f>
        <v>0</v>
      </c>
      <c r="AN347">
        <f>sumif(Plan!B:B,"262-000000-022",Plan!an:an)</f>
        <v>0</v>
      </c>
      <c r="AO347">
        <f>sumif(Plan!B:B,"262-000000-022",Plan!ao:ao)</f>
        <v>0</v>
      </c>
    </row>
    <row r="348" spans="1:41">
      <c r="A348" t="s">
        <v>22</v>
      </c>
      <c r="B348" t="s">
        <v>224</v>
      </c>
      <c r="C348" t="s">
        <v>238</v>
      </c>
      <c r="E348">
        <v>1</v>
      </c>
      <c r="F348" t="s">
        <v>13</v>
      </c>
      <c r="H348" t="s">
        <v>16</v>
      </c>
      <c r="J348">
        <f>indirect(address(348,9))+indirect(address(346,10))-indirect(address(347,10))</f>
        <v>0</v>
      </c>
      <c r="K348">
        <f>indirect(address(348,10))+indirect(address(346,11))-indirect(address(347,11))</f>
        <v>0</v>
      </c>
      <c r="L348">
        <f>indirect(address(348,11))+indirect(address(346,12))-indirect(address(347,12))</f>
        <v>0</v>
      </c>
      <c r="M348">
        <f>indirect(address(348,12))+indirect(address(346,13))-indirect(address(347,13))</f>
        <v>0</v>
      </c>
      <c r="N348">
        <f>indirect(address(348,13))+indirect(address(346,14))-indirect(address(347,14))</f>
        <v>0</v>
      </c>
      <c r="O348">
        <f>indirect(address(348,14))+indirect(address(346,15))-indirect(address(347,15))</f>
        <v>0</v>
      </c>
      <c r="P348">
        <f>indirect(address(348,15))+indirect(address(346,16))-indirect(address(347,16))</f>
        <v>0</v>
      </c>
      <c r="Q348">
        <f>indirect(address(348,16))+indirect(address(346,17))-indirect(address(347,17))</f>
        <v>0</v>
      </c>
      <c r="R348">
        <f>indirect(address(348,17))+indirect(address(346,18))-indirect(address(347,18))</f>
        <v>0</v>
      </c>
      <c r="S348">
        <f>indirect(address(348,18))+indirect(address(346,19))-indirect(address(347,19))</f>
        <v>0</v>
      </c>
      <c r="T348">
        <f>indirect(address(348,19))+indirect(address(346,20))-indirect(address(347,20))</f>
        <v>0</v>
      </c>
      <c r="U348">
        <f>indirect(address(348,20))+indirect(address(346,21))-indirect(address(347,21))</f>
        <v>0</v>
      </c>
      <c r="V348">
        <f>indirect(address(348,21))+indirect(address(346,22))-indirect(address(347,22))</f>
        <v>0</v>
      </c>
      <c r="W348">
        <f>indirect(address(348,22))+indirect(address(346,23))-indirect(address(347,23))</f>
        <v>0</v>
      </c>
      <c r="X348">
        <f>indirect(address(348,23))+indirect(address(346,24))-indirect(address(347,24))</f>
        <v>0</v>
      </c>
      <c r="Y348">
        <f>indirect(address(348,24))+indirect(address(346,25))-indirect(address(347,25))</f>
        <v>0</v>
      </c>
      <c r="Z348">
        <f>indirect(address(348,25))+indirect(address(346,26))-indirect(address(347,26))</f>
        <v>0</v>
      </c>
      <c r="AA348">
        <f>indirect(address(348,26))+indirect(address(346,27))-indirect(address(347,27))</f>
        <v>0</v>
      </c>
      <c r="AB348">
        <f>indirect(address(348,27))+indirect(address(346,28))-indirect(address(347,28))</f>
        <v>0</v>
      </c>
      <c r="AC348">
        <f>indirect(address(348,28))+indirect(address(346,29))-indirect(address(347,29))</f>
        <v>0</v>
      </c>
      <c r="AD348">
        <f>indirect(address(348,29))+indirect(address(346,30))-indirect(address(347,30))</f>
        <v>0</v>
      </c>
      <c r="AE348">
        <f>indirect(address(348,30))+indirect(address(346,31))-indirect(address(347,31))</f>
        <v>0</v>
      </c>
      <c r="AF348">
        <f>indirect(address(348,31))+indirect(address(346,32))-indirect(address(347,32))</f>
        <v>0</v>
      </c>
      <c r="AG348">
        <f>indirect(address(348,32))+indirect(address(346,33))-indirect(address(347,33))</f>
        <v>0</v>
      </c>
      <c r="AH348">
        <f>indirect(address(348,33))+indirect(address(346,34))-indirect(address(347,34))</f>
        <v>0</v>
      </c>
      <c r="AI348">
        <f>indirect(address(348,34))+indirect(address(346,35))-indirect(address(347,35))</f>
        <v>0</v>
      </c>
      <c r="AJ348">
        <f>indirect(address(348,35))+indirect(address(346,36))-indirect(address(347,36))</f>
        <v>0</v>
      </c>
      <c r="AK348">
        <f>indirect(address(348,36))+indirect(address(346,37))-indirect(address(347,37))</f>
        <v>0</v>
      </c>
      <c r="AL348">
        <f>indirect(address(348,37))+indirect(address(346,38))-indirect(address(347,38))</f>
        <v>0</v>
      </c>
      <c r="AM348">
        <f>indirect(address(348,38))+indirect(address(346,39))-indirect(address(347,39))</f>
        <v>0</v>
      </c>
      <c r="AN348">
        <f>indirect(address(348,39))+indirect(address(346,40))-indirect(address(347,40))</f>
        <v>0</v>
      </c>
      <c r="AO348">
        <f>indirect(address(348,40))+indirect(address(346,41))-indirect(address(347,41))</f>
        <v>0</v>
      </c>
    </row>
    <row r="349" spans="1:41">
      <c r="I349" t="s">
        <v>14</v>
      </c>
      <c r="AO349">
        <f>sum(j349:an349)</f>
        <v>0</v>
      </c>
    </row>
    <row r="350" spans="1:41">
      <c r="I350" t="s">
        <v>15</v>
      </c>
      <c r="J350">
        <f>sumif(Plan!B:B,"263-000000-017",Plan!j:j)</f>
        <v>0</v>
      </c>
      <c r="K350">
        <f>sumif(Plan!B:B,"263-000000-017",Plan!k:k)</f>
        <v>0</v>
      </c>
      <c r="L350">
        <f>sumif(Plan!B:B,"263-000000-017",Plan!l:l)</f>
        <v>0</v>
      </c>
      <c r="M350">
        <f>sumif(Plan!B:B,"263-000000-017",Plan!m:m)</f>
        <v>0</v>
      </c>
      <c r="N350">
        <f>sumif(Plan!B:B,"263-000000-017",Plan!n:n)</f>
        <v>0</v>
      </c>
      <c r="O350">
        <f>sumif(Plan!B:B,"263-000000-017",Plan!o:o)</f>
        <v>0</v>
      </c>
      <c r="P350">
        <f>sumif(Plan!B:B,"263-000000-017",Plan!p:p)</f>
        <v>0</v>
      </c>
      <c r="Q350">
        <f>sumif(Plan!B:B,"263-000000-017",Plan!q:q)</f>
        <v>0</v>
      </c>
      <c r="R350">
        <f>sumif(Plan!B:B,"263-000000-017",Plan!r:r)</f>
        <v>0</v>
      </c>
      <c r="S350">
        <f>sumif(Plan!B:B,"263-000000-017",Plan!s:s)</f>
        <v>0</v>
      </c>
      <c r="T350">
        <f>sumif(Plan!B:B,"263-000000-017",Plan!t:t)</f>
        <v>0</v>
      </c>
      <c r="U350">
        <f>sumif(Plan!B:B,"263-000000-017",Plan!u:u)</f>
        <v>0</v>
      </c>
      <c r="V350">
        <f>sumif(Plan!B:B,"263-000000-017",Plan!v:v)</f>
        <v>0</v>
      </c>
      <c r="W350">
        <f>sumif(Plan!B:B,"263-000000-017",Plan!w:w)</f>
        <v>0</v>
      </c>
      <c r="X350">
        <f>sumif(Plan!B:B,"263-000000-017",Plan!x:x)</f>
        <v>0</v>
      </c>
      <c r="Y350">
        <f>sumif(Plan!B:B,"263-000000-017",Plan!y:y)</f>
        <v>0</v>
      </c>
      <c r="Z350">
        <f>sumif(Plan!B:B,"263-000000-017",Plan!z:z)</f>
        <v>0</v>
      </c>
      <c r="AA350">
        <f>sumif(Plan!B:B,"263-000000-017",Plan!aa:aa)</f>
        <v>0</v>
      </c>
      <c r="AB350">
        <f>sumif(Plan!B:B,"263-000000-017",Plan!ab:ab)</f>
        <v>0</v>
      </c>
      <c r="AC350">
        <f>sumif(Plan!B:B,"263-000000-017",Plan!ac:ac)</f>
        <v>0</v>
      </c>
      <c r="AD350">
        <f>sumif(Plan!B:B,"263-000000-017",Plan!ad:ad)</f>
        <v>0</v>
      </c>
      <c r="AE350">
        <f>sumif(Plan!B:B,"263-000000-017",Plan!ae:ae)</f>
        <v>0</v>
      </c>
      <c r="AF350">
        <f>sumif(Plan!B:B,"263-000000-017",Plan!af:af)</f>
        <v>0</v>
      </c>
      <c r="AG350">
        <f>sumif(Plan!B:B,"263-000000-017",Plan!ag:ag)</f>
        <v>0</v>
      </c>
      <c r="AH350">
        <f>sumif(Plan!B:B,"263-000000-017",Plan!ah:ah)</f>
        <v>0</v>
      </c>
      <c r="AI350">
        <f>sumif(Plan!B:B,"263-000000-017",Plan!ai:ai)</f>
        <v>0</v>
      </c>
      <c r="AJ350">
        <f>sumif(Plan!B:B,"263-000000-017",Plan!aj:aj)</f>
        <v>0</v>
      </c>
      <c r="AK350">
        <f>sumif(Plan!B:B,"263-000000-017",Plan!ak:ak)</f>
        <v>0</v>
      </c>
      <c r="AL350">
        <f>sumif(Plan!B:B,"263-000000-017",Plan!al:al)</f>
        <v>0</v>
      </c>
      <c r="AM350">
        <f>sumif(Plan!B:B,"263-000000-017",Plan!am:am)</f>
        <v>0</v>
      </c>
      <c r="AN350">
        <f>sumif(Plan!B:B,"263-000000-017",Plan!an:an)</f>
        <v>0</v>
      </c>
      <c r="AO350">
        <f>sumif(Plan!B:B,"263-000000-017",Plan!ao:ao)</f>
        <v>0</v>
      </c>
    </row>
    <row r="351" spans="1:41">
      <c r="A351" t="s">
        <v>22</v>
      </c>
      <c r="B351" t="s">
        <v>226</v>
      </c>
      <c r="C351" t="s">
        <v>239</v>
      </c>
      <c r="E351">
        <v>1</v>
      </c>
      <c r="F351" t="s">
        <v>13</v>
      </c>
      <c r="H351" t="s">
        <v>16</v>
      </c>
      <c r="J351">
        <f>indirect(address(351,9))+indirect(address(349,10))-indirect(address(350,10))</f>
        <v>0</v>
      </c>
      <c r="K351">
        <f>indirect(address(351,10))+indirect(address(349,11))-indirect(address(350,11))</f>
        <v>0</v>
      </c>
      <c r="L351">
        <f>indirect(address(351,11))+indirect(address(349,12))-indirect(address(350,12))</f>
        <v>0</v>
      </c>
      <c r="M351">
        <f>indirect(address(351,12))+indirect(address(349,13))-indirect(address(350,13))</f>
        <v>0</v>
      </c>
      <c r="N351">
        <f>indirect(address(351,13))+indirect(address(349,14))-indirect(address(350,14))</f>
        <v>0</v>
      </c>
      <c r="O351">
        <f>indirect(address(351,14))+indirect(address(349,15))-indirect(address(350,15))</f>
        <v>0</v>
      </c>
      <c r="P351">
        <f>indirect(address(351,15))+indirect(address(349,16))-indirect(address(350,16))</f>
        <v>0</v>
      </c>
      <c r="Q351">
        <f>indirect(address(351,16))+indirect(address(349,17))-indirect(address(350,17))</f>
        <v>0</v>
      </c>
      <c r="R351">
        <f>indirect(address(351,17))+indirect(address(349,18))-indirect(address(350,18))</f>
        <v>0</v>
      </c>
      <c r="S351">
        <f>indirect(address(351,18))+indirect(address(349,19))-indirect(address(350,19))</f>
        <v>0</v>
      </c>
      <c r="T351">
        <f>indirect(address(351,19))+indirect(address(349,20))-indirect(address(350,20))</f>
        <v>0</v>
      </c>
      <c r="U351">
        <f>indirect(address(351,20))+indirect(address(349,21))-indirect(address(350,21))</f>
        <v>0</v>
      </c>
      <c r="V351">
        <f>indirect(address(351,21))+indirect(address(349,22))-indirect(address(350,22))</f>
        <v>0</v>
      </c>
      <c r="W351">
        <f>indirect(address(351,22))+indirect(address(349,23))-indirect(address(350,23))</f>
        <v>0</v>
      </c>
      <c r="X351">
        <f>indirect(address(351,23))+indirect(address(349,24))-indirect(address(350,24))</f>
        <v>0</v>
      </c>
      <c r="Y351">
        <f>indirect(address(351,24))+indirect(address(349,25))-indirect(address(350,25))</f>
        <v>0</v>
      </c>
      <c r="Z351">
        <f>indirect(address(351,25))+indirect(address(349,26))-indirect(address(350,26))</f>
        <v>0</v>
      </c>
      <c r="AA351">
        <f>indirect(address(351,26))+indirect(address(349,27))-indirect(address(350,27))</f>
        <v>0</v>
      </c>
      <c r="AB351">
        <f>indirect(address(351,27))+indirect(address(349,28))-indirect(address(350,28))</f>
        <v>0</v>
      </c>
      <c r="AC351">
        <f>indirect(address(351,28))+indirect(address(349,29))-indirect(address(350,29))</f>
        <v>0</v>
      </c>
      <c r="AD351">
        <f>indirect(address(351,29))+indirect(address(349,30))-indirect(address(350,30))</f>
        <v>0</v>
      </c>
      <c r="AE351">
        <f>indirect(address(351,30))+indirect(address(349,31))-indirect(address(350,31))</f>
        <v>0</v>
      </c>
      <c r="AF351">
        <f>indirect(address(351,31))+indirect(address(349,32))-indirect(address(350,32))</f>
        <v>0</v>
      </c>
      <c r="AG351">
        <f>indirect(address(351,32))+indirect(address(349,33))-indirect(address(350,33))</f>
        <v>0</v>
      </c>
      <c r="AH351">
        <f>indirect(address(351,33))+indirect(address(349,34))-indirect(address(350,34))</f>
        <v>0</v>
      </c>
      <c r="AI351">
        <f>indirect(address(351,34))+indirect(address(349,35))-indirect(address(350,35))</f>
        <v>0</v>
      </c>
      <c r="AJ351">
        <f>indirect(address(351,35))+indirect(address(349,36))-indirect(address(350,36))</f>
        <v>0</v>
      </c>
      <c r="AK351">
        <f>indirect(address(351,36))+indirect(address(349,37))-indirect(address(350,37))</f>
        <v>0</v>
      </c>
      <c r="AL351">
        <f>indirect(address(351,37))+indirect(address(349,38))-indirect(address(350,38))</f>
        <v>0</v>
      </c>
      <c r="AM351">
        <f>indirect(address(351,38))+indirect(address(349,39))-indirect(address(350,39))</f>
        <v>0</v>
      </c>
      <c r="AN351">
        <f>indirect(address(351,39))+indirect(address(349,40))-indirect(address(350,40))</f>
        <v>0</v>
      </c>
      <c r="AO351">
        <f>indirect(address(351,40))+indirect(address(349,41))-indirect(address(350,41))</f>
        <v>0</v>
      </c>
    </row>
    <row r="352" spans="1:41">
      <c r="I352" t="s">
        <v>14</v>
      </c>
      <c r="AO352">
        <f>sum(j352:an352)</f>
        <v>0</v>
      </c>
    </row>
    <row r="353" spans="1:41">
      <c r="I353" t="s">
        <v>15</v>
      </c>
      <c r="J353">
        <f>sumif(Plan!B:B,"263-000000-018",Plan!j:j)</f>
        <v>0</v>
      </c>
      <c r="K353">
        <f>sumif(Plan!B:B,"263-000000-018",Plan!k:k)</f>
        <v>0</v>
      </c>
      <c r="L353">
        <f>sumif(Plan!B:B,"263-000000-018",Plan!l:l)</f>
        <v>0</v>
      </c>
      <c r="M353">
        <f>sumif(Plan!B:B,"263-000000-018",Plan!m:m)</f>
        <v>0</v>
      </c>
      <c r="N353">
        <f>sumif(Plan!B:B,"263-000000-018",Plan!n:n)</f>
        <v>0</v>
      </c>
      <c r="O353">
        <f>sumif(Plan!B:B,"263-000000-018",Plan!o:o)</f>
        <v>0</v>
      </c>
      <c r="P353">
        <f>sumif(Plan!B:B,"263-000000-018",Plan!p:p)</f>
        <v>0</v>
      </c>
      <c r="Q353">
        <f>sumif(Plan!B:B,"263-000000-018",Plan!q:q)</f>
        <v>0</v>
      </c>
      <c r="R353">
        <f>sumif(Plan!B:B,"263-000000-018",Plan!r:r)</f>
        <v>0</v>
      </c>
      <c r="S353">
        <f>sumif(Plan!B:B,"263-000000-018",Plan!s:s)</f>
        <v>0</v>
      </c>
      <c r="T353">
        <f>sumif(Plan!B:B,"263-000000-018",Plan!t:t)</f>
        <v>0</v>
      </c>
      <c r="U353">
        <f>sumif(Plan!B:B,"263-000000-018",Plan!u:u)</f>
        <v>0</v>
      </c>
      <c r="V353">
        <f>sumif(Plan!B:B,"263-000000-018",Plan!v:v)</f>
        <v>0</v>
      </c>
      <c r="W353">
        <f>sumif(Plan!B:B,"263-000000-018",Plan!w:w)</f>
        <v>0</v>
      </c>
      <c r="X353">
        <f>sumif(Plan!B:B,"263-000000-018",Plan!x:x)</f>
        <v>0</v>
      </c>
      <c r="Y353">
        <f>sumif(Plan!B:B,"263-000000-018",Plan!y:y)</f>
        <v>0</v>
      </c>
      <c r="Z353">
        <f>sumif(Plan!B:B,"263-000000-018",Plan!z:z)</f>
        <v>0</v>
      </c>
      <c r="AA353">
        <f>sumif(Plan!B:B,"263-000000-018",Plan!aa:aa)</f>
        <v>0</v>
      </c>
      <c r="AB353">
        <f>sumif(Plan!B:B,"263-000000-018",Plan!ab:ab)</f>
        <v>0</v>
      </c>
      <c r="AC353">
        <f>sumif(Plan!B:B,"263-000000-018",Plan!ac:ac)</f>
        <v>0</v>
      </c>
      <c r="AD353">
        <f>sumif(Plan!B:B,"263-000000-018",Plan!ad:ad)</f>
        <v>0</v>
      </c>
      <c r="AE353">
        <f>sumif(Plan!B:B,"263-000000-018",Plan!ae:ae)</f>
        <v>0</v>
      </c>
      <c r="AF353">
        <f>sumif(Plan!B:B,"263-000000-018",Plan!af:af)</f>
        <v>0</v>
      </c>
      <c r="AG353">
        <f>sumif(Plan!B:B,"263-000000-018",Plan!ag:ag)</f>
        <v>0</v>
      </c>
      <c r="AH353">
        <f>sumif(Plan!B:B,"263-000000-018",Plan!ah:ah)</f>
        <v>0</v>
      </c>
      <c r="AI353">
        <f>sumif(Plan!B:B,"263-000000-018",Plan!ai:ai)</f>
        <v>0</v>
      </c>
      <c r="AJ353">
        <f>sumif(Plan!B:B,"263-000000-018",Plan!aj:aj)</f>
        <v>0</v>
      </c>
      <c r="AK353">
        <f>sumif(Plan!B:B,"263-000000-018",Plan!ak:ak)</f>
        <v>0</v>
      </c>
      <c r="AL353">
        <f>sumif(Plan!B:B,"263-000000-018",Plan!al:al)</f>
        <v>0</v>
      </c>
      <c r="AM353">
        <f>sumif(Plan!B:B,"263-000000-018",Plan!am:am)</f>
        <v>0</v>
      </c>
      <c r="AN353">
        <f>sumif(Plan!B:B,"263-000000-018",Plan!an:an)</f>
        <v>0</v>
      </c>
      <c r="AO353">
        <f>sumif(Plan!B:B,"263-000000-018",Plan!ao:ao)</f>
        <v>0</v>
      </c>
    </row>
    <row r="354" spans="1:41">
      <c r="A354" t="s">
        <v>22</v>
      </c>
      <c r="B354" t="s">
        <v>228</v>
      </c>
      <c r="C354" t="s">
        <v>240</v>
      </c>
      <c r="E354">
        <v>2</v>
      </c>
      <c r="F354" t="s">
        <v>13</v>
      </c>
      <c r="H354" t="s">
        <v>16</v>
      </c>
      <c r="J354">
        <f>indirect(address(354,9))+indirect(address(352,10))-indirect(address(353,10))</f>
        <v>0</v>
      </c>
      <c r="K354">
        <f>indirect(address(354,10))+indirect(address(352,11))-indirect(address(353,11))</f>
        <v>0</v>
      </c>
      <c r="L354">
        <f>indirect(address(354,11))+indirect(address(352,12))-indirect(address(353,12))</f>
        <v>0</v>
      </c>
      <c r="M354">
        <f>indirect(address(354,12))+indirect(address(352,13))-indirect(address(353,13))</f>
        <v>0</v>
      </c>
      <c r="N354">
        <f>indirect(address(354,13))+indirect(address(352,14))-indirect(address(353,14))</f>
        <v>0</v>
      </c>
      <c r="O354">
        <f>indirect(address(354,14))+indirect(address(352,15))-indirect(address(353,15))</f>
        <v>0</v>
      </c>
      <c r="P354">
        <f>indirect(address(354,15))+indirect(address(352,16))-indirect(address(353,16))</f>
        <v>0</v>
      </c>
      <c r="Q354">
        <f>indirect(address(354,16))+indirect(address(352,17))-indirect(address(353,17))</f>
        <v>0</v>
      </c>
      <c r="R354">
        <f>indirect(address(354,17))+indirect(address(352,18))-indirect(address(353,18))</f>
        <v>0</v>
      </c>
      <c r="S354">
        <f>indirect(address(354,18))+indirect(address(352,19))-indirect(address(353,19))</f>
        <v>0</v>
      </c>
      <c r="T354">
        <f>indirect(address(354,19))+indirect(address(352,20))-indirect(address(353,20))</f>
        <v>0</v>
      </c>
      <c r="U354">
        <f>indirect(address(354,20))+indirect(address(352,21))-indirect(address(353,21))</f>
        <v>0</v>
      </c>
      <c r="V354">
        <f>indirect(address(354,21))+indirect(address(352,22))-indirect(address(353,22))</f>
        <v>0</v>
      </c>
      <c r="W354">
        <f>indirect(address(354,22))+indirect(address(352,23))-indirect(address(353,23))</f>
        <v>0</v>
      </c>
      <c r="X354">
        <f>indirect(address(354,23))+indirect(address(352,24))-indirect(address(353,24))</f>
        <v>0</v>
      </c>
      <c r="Y354">
        <f>indirect(address(354,24))+indirect(address(352,25))-indirect(address(353,25))</f>
        <v>0</v>
      </c>
      <c r="Z354">
        <f>indirect(address(354,25))+indirect(address(352,26))-indirect(address(353,26))</f>
        <v>0</v>
      </c>
      <c r="AA354">
        <f>indirect(address(354,26))+indirect(address(352,27))-indirect(address(353,27))</f>
        <v>0</v>
      </c>
      <c r="AB354">
        <f>indirect(address(354,27))+indirect(address(352,28))-indirect(address(353,28))</f>
        <v>0</v>
      </c>
      <c r="AC354">
        <f>indirect(address(354,28))+indirect(address(352,29))-indirect(address(353,29))</f>
        <v>0</v>
      </c>
      <c r="AD354">
        <f>indirect(address(354,29))+indirect(address(352,30))-indirect(address(353,30))</f>
        <v>0</v>
      </c>
      <c r="AE354">
        <f>indirect(address(354,30))+indirect(address(352,31))-indirect(address(353,31))</f>
        <v>0</v>
      </c>
      <c r="AF354">
        <f>indirect(address(354,31))+indirect(address(352,32))-indirect(address(353,32))</f>
        <v>0</v>
      </c>
      <c r="AG354">
        <f>indirect(address(354,32))+indirect(address(352,33))-indirect(address(353,33))</f>
        <v>0</v>
      </c>
      <c r="AH354">
        <f>indirect(address(354,33))+indirect(address(352,34))-indirect(address(353,34))</f>
        <v>0</v>
      </c>
      <c r="AI354">
        <f>indirect(address(354,34))+indirect(address(352,35))-indirect(address(353,35))</f>
        <v>0</v>
      </c>
      <c r="AJ354">
        <f>indirect(address(354,35))+indirect(address(352,36))-indirect(address(353,36))</f>
        <v>0</v>
      </c>
      <c r="AK354">
        <f>indirect(address(354,36))+indirect(address(352,37))-indirect(address(353,37))</f>
        <v>0</v>
      </c>
      <c r="AL354">
        <f>indirect(address(354,37))+indirect(address(352,38))-indirect(address(353,38))</f>
        <v>0</v>
      </c>
      <c r="AM354">
        <f>indirect(address(354,38))+indirect(address(352,39))-indirect(address(353,39))</f>
        <v>0</v>
      </c>
      <c r="AN354">
        <f>indirect(address(354,39))+indirect(address(352,40))-indirect(address(353,40))</f>
        <v>0</v>
      </c>
      <c r="AO354">
        <f>indirect(address(354,40))+indirect(address(352,41))-indirect(address(353,41))</f>
        <v>0</v>
      </c>
    </row>
    <row r="355" spans="1:41">
      <c r="I355" t="s">
        <v>14</v>
      </c>
      <c r="AO355">
        <f>sum(j355:an355)</f>
        <v>0</v>
      </c>
    </row>
    <row r="356" spans="1:41">
      <c r="I356" t="s">
        <v>15</v>
      </c>
      <c r="J356">
        <f>sumif(Plan!B:B,"21-000000-007",Plan!j:j)</f>
        <v>0</v>
      </c>
      <c r="K356">
        <f>sumif(Plan!B:B,"21-000000-007",Plan!k:k)</f>
        <v>0</v>
      </c>
      <c r="L356">
        <f>sumif(Plan!B:B,"21-000000-007",Plan!l:l)</f>
        <v>0</v>
      </c>
      <c r="M356">
        <f>sumif(Plan!B:B,"21-000000-007",Plan!m:m)</f>
        <v>0</v>
      </c>
      <c r="N356">
        <f>sumif(Plan!B:B,"21-000000-007",Plan!n:n)</f>
        <v>0</v>
      </c>
      <c r="O356">
        <f>sumif(Plan!B:B,"21-000000-007",Plan!o:o)</f>
        <v>0</v>
      </c>
      <c r="P356">
        <f>sumif(Plan!B:B,"21-000000-007",Plan!p:p)</f>
        <v>0</v>
      </c>
      <c r="Q356">
        <f>sumif(Plan!B:B,"21-000000-007",Plan!q:q)</f>
        <v>0</v>
      </c>
      <c r="R356">
        <f>sumif(Plan!B:B,"21-000000-007",Plan!r:r)</f>
        <v>0</v>
      </c>
      <c r="S356">
        <f>sumif(Plan!B:B,"21-000000-007",Plan!s:s)</f>
        <v>0</v>
      </c>
      <c r="T356">
        <f>sumif(Plan!B:B,"21-000000-007",Plan!t:t)</f>
        <v>0</v>
      </c>
      <c r="U356">
        <f>sumif(Plan!B:B,"21-000000-007",Plan!u:u)</f>
        <v>0</v>
      </c>
      <c r="V356">
        <f>sumif(Plan!B:B,"21-000000-007",Plan!v:v)</f>
        <v>0</v>
      </c>
      <c r="W356">
        <f>sumif(Plan!B:B,"21-000000-007",Plan!w:w)</f>
        <v>0</v>
      </c>
      <c r="X356">
        <f>sumif(Plan!B:B,"21-000000-007",Plan!x:x)</f>
        <v>0</v>
      </c>
      <c r="Y356">
        <f>sumif(Plan!B:B,"21-000000-007",Plan!y:y)</f>
        <v>0</v>
      </c>
      <c r="Z356">
        <f>sumif(Plan!B:B,"21-000000-007",Plan!z:z)</f>
        <v>0</v>
      </c>
      <c r="AA356">
        <f>sumif(Plan!B:B,"21-000000-007",Plan!aa:aa)</f>
        <v>0</v>
      </c>
      <c r="AB356">
        <f>sumif(Plan!B:B,"21-000000-007",Plan!ab:ab)</f>
        <v>0</v>
      </c>
      <c r="AC356">
        <f>sumif(Plan!B:B,"21-000000-007",Plan!ac:ac)</f>
        <v>0</v>
      </c>
      <c r="AD356">
        <f>sumif(Plan!B:B,"21-000000-007",Plan!ad:ad)</f>
        <v>0</v>
      </c>
      <c r="AE356">
        <f>sumif(Plan!B:B,"21-000000-007",Plan!ae:ae)</f>
        <v>0</v>
      </c>
      <c r="AF356">
        <f>sumif(Plan!B:B,"21-000000-007",Plan!af:af)</f>
        <v>0</v>
      </c>
      <c r="AG356">
        <f>sumif(Plan!B:B,"21-000000-007",Plan!ag:ag)</f>
        <v>0</v>
      </c>
      <c r="AH356">
        <f>sumif(Plan!B:B,"21-000000-007",Plan!ah:ah)</f>
        <v>0</v>
      </c>
      <c r="AI356">
        <f>sumif(Plan!B:B,"21-000000-007",Plan!ai:ai)</f>
        <v>0</v>
      </c>
      <c r="AJ356">
        <f>sumif(Plan!B:B,"21-000000-007",Plan!aj:aj)</f>
        <v>0</v>
      </c>
      <c r="AK356">
        <f>sumif(Plan!B:B,"21-000000-007",Plan!ak:ak)</f>
        <v>0</v>
      </c>
      <c r="AL356">
        <f>sumif(Plan!B:B,"21-000000-007",Plan!al:al)</f>
        <v>0</v>
      </c>
      <c r="AM356">
        <f>sumif(Plan!B:B,"21-000000-007",Plan!am:am)</f>
        <v>0</v>
      </c>
      <c r="AN356">
        <f>sumif(Plan!B:B,"21-000000-007",Plan!an:an)</f>
        <v>0</v>
      </c>
      <c r="AO356">
        <f>sumif(Plan!B:B,"21-000000-007",Plan!ao:ao)</f>
        <v>0</v>
      </c>
    </row>
    <row r="357" spans="1:41">
      <c r="A357" t="s">
        <v>22</v>
      </c>
      <c r="B357" t="s">
        <v>241</v>
      </c>
      <c r="C357" t="s">
        <v>242</v>
      </c>
      <c r="E357">
        <v>12</v>
      </c>
      <c r="F357" t="s">
        <v>13</v>
      </c>
      <c r="H357" t="s">
        <v>16</v>
      </c>
      <c r="J357">
        <f>indirect(address(357,9))+indirect(address(355,10))-indirect(address(356,10))</f>
        <v>0</v>
      </c>
      <c r="K357">
        <f>indirect(address(357,10))+indirect(address(355,11))-indirect(address(356,11))</f>
        <v>0</v>
      </c>
      <c r="L357">
        <f>indirect(address(357,11))+indirect(address(355,12))-indirect(address(356,12))</f>
        <v>0</v>
      </c>
      <c r="M357">
        <f>indirect(address(357,12))+indirect(address(355,13))-indirect(address(356,13))</f>
        <v>0</v>
      </c>
      <c r="N357">
        <f>indirect(address(357,13))+indirect(address(355,14))-indirect(address(356,14))</f>
        <v>0</v>
      </c>
      <c r="O357">
        <f>indirect(address(357,14))+indirect(address(355,15))-indirect(address(356,15))</f>
        <v>0</v>
      </c>
      <c r="P357">
        <f>indirect(address(357,15))+indirect(address(355,16))-indirect(address(356,16))</f>
        <v>0</v>
      </c>
      <c r="Q357">
        <f>indirect(address(357,16))+indirect(address(355,17))-indirect(address(356,17))</f>
        <v>0</v>
      </c>
      <c r="R357">
        <f>indirect(address(357,17))+indirect(address(355,18))-indirect(address(356,18))</f>
        <v>0</v>
      </c>
      <c r="S357">
        <f>indirect(address(357,18))+indirect(address(355,19))-indirect(address(356,19))</f>
        <v>0</v>
      </c>
      <c r="T357">
        <f>indirect(address(357,19))+indirect(address(355,20))-indirect(address(356,20))</f>
        <v>0</v>
      </c>
      <c r="U357">
        <f>indirect(address(357,20))+indirect(address(355,21))-indirect(address(356,21))</f>
        <v>0</v>
      </c>
      <c r="V357">
        <f>indirect(address(357,21))+indirect(address(355,22))-indirect(address(356,22))</f>
        <v>0</v>
      </c>
      <c r="W357">
        <f>indirect(address(357,22))+indirect(address(355,23))-indirect(address(356,23))</f>
        <v>0</v>
      </c>
      <c r="X357">
        <f>indirect(address(357,23))+indirect(address(355,24))-indirect(address(356,24))</f>
        <v>0</v>
      </c>
      <c r="Y357">
        <f>indirect(address(357,24))+indirect(address(355,25))-indirect(address(356,25))</f>
        <v>0</v>
      </c>
      <c r="Z357">
        <f>indirect(address(357,25))+indirect(address(355,26))-indirect(address(356,26))</f>
        <v>0</v>
      </c>
      <c r="AA357">
        <f>indirect(address(357,26))+indirect(address(355,27))-indirect(address(356,27))</f>
        <v>0</v>
      </c>
      <c r="AB357">
        <f>indirect(address(357,27))+indirect(address(355,28))-indirect(address(356,28))</f>
        <v>0</v>
      </c>
      <c r="AC357">
        <f>indirect(address(357,28))+indirect(address(355,29))-indirect(address(356,29))</f>
        <v>0</v>
      </c>
      <c r="AD357">
        <f>indirect(address(357,29))+indirect(address(355,30))-indirect(address(356,30))</f>
        <v>0</v>
      </c>
      <c r="AE357">
        <f>indirect(address(357,30))+indirect(address(355,31))-indirect(address(356,31))</f>
        <v>0</v>
      </c>
      <c r="AF357">
        <f>indirect(address(357,31))+indirect(address(355,32))-indirect(address(356,32))</f>
        <v>0</v>
      </c>
      <c r="AG357">
        <f>indirect(address(357,32))+indirect(address(355,33))-indirect(address(356,33))</f>
        <v>0</v>
      </c>
      <c r="AH357">
        <f>indirect(address(357,33))+indirect(address(355,34))-indirect(address(356,34))</f>
        <v>0</v>
      </c>
      <c r="AI357">
        <f>indirect(address(357,34))+indirect(address(355,35))-indirect(address(356,35))</f>
        <v>0</v>
      </c>
      <c r="AJ357">
        <f>indirect(address(357,35))+indirect(address(355,36))-indirect(address(356,36))</f>
        <v>0</v>
      </c>
      <c r="AK357">
        <f>indirect(address(357,36))+indirect(address(355,37))-indirect(address(356,37))</f>
        <v>0</v>
      </c>
      <c r="AL357">
        <f>indirect(address(357,37))+indirect(address(355,38))-indirect(address(356,38))</f>
        <v>0</v>
      </c>
      <c r="AM357">
        <f>indirect(address(357,38))+indirect(address(355,39))-indirect(address(356,39))</f>
        <v>0</v>
      </c>
      <c r="AN357">
        <f>indirect(address(357,39))+indirect(address(355,40))-indirect(address(356,40))</f>
        <v>0</v>
      </c>
      <c r="AO357">
        <f>indirect(address(357,40))+indirect(address(355,41))-indirect(address(356,41))</f>
        <v>0</v>
      </c>
    </row>
    <row r="358" spans="1:41">
      <c r="I358" t="s">
        <v>14</v>
      </c>
      <c r="AO358">
        <f>sum(j358:an358)</f>
        <v>0</v>
      </c>
    </row>
    <row r="359" spans="1:41">
      <c r="I359" t="s">
        <v>15</v>
      </c>
      <c r="J359">
        <f>sumif(Plan!B:B,"262-000000-109",Plan!j:j)</f>
        <v>0</v>
      </c>
      <c r="K359">
        <f>sumif(Plan!B:B,"262-000000-109",Plan!k:k)</f>
        <v>0</v>
      </c>
      <c r="L359">
        <f>sumif(Plan!B:B,"262-000000-109",Plan!l:l)</f>
        <v>0</v>
      </c>
      <c r="M359">
        <f>sumif(Plan!B:B,"262-000000-109",Plan!m:m)</f>
        <v>0</v>
      </c>
      <c r="N359">
        <f>sumif(Plan!B:B,"262-000000-109",Plan!n:n)</f>
        <v>0</v>
      </c>
      <c r="O359">
        <f>sumif(Plan!B:B,"262-000000-109",Plan!o:o)</f>
        <v>0</v>
      </c>
      <c r="P359">
        <f>sumif(Plan!B:B,"262-000000-109",Plan!p:p)</f>
        <v>0</v>
      </c>
      <c r="Q359">
        <f>sumif(Plan!B:B,"262-000000-109",Plan!q:q)</f>
        <v>0</v>
      </c>
      <c r="R359">
        <f>sumif(Plan!B:B,"262-000000-109",Plan!r:r)</f>
        <v>0</v>
      </c>
      <c r="S359">
        <f>sumif(Plan!B:B,"262-000000-109",Plan!s:s)</f>
        <v>0</v>
      </c>
      <c r="T359">
        <f>sumif(Plan!B:B,"262-000000-109",Plan!t:t)</f>
        <v>0</v>
      </c>
      <c r="U359">
        <f>sumif(Plan!B:B,"262-000000-109",Plan!u:u)</f>
        <v>0</v>
      </c>
      <c r="V359">
        <f>sumif(Plan!B:B,"262-000000-109",Plan!v:v)</f>
        <v>0</v>
      </c>
      <c r="W359">
        <f>sumif(Plan!B:B,"262-000000-109",Plan!w:w)</f>
        <v>0</v>
      </c>
      <c r="X359">
        <f>sumif(Plan!B:B,"262-000000-109",Plan!x:x)</f>
        <v>0</v>
      </c>
      <c r="Y359">
        <f>sumif(Plan!B:B,"262-000000-109",Plan!y:y)</f>
        <v>0</v>
      </c>
      <c r="Z359">
        <f>sumif(Plan!B:B,"262-000000-109",Plan!z:z)</f>
        <v>0</v>
      </c>
      <c r="AA359">
        <f>sumif(Plan!B:B,"262-000000-109",Plan!aa:aa)</f>
        <v>0</v>
      </c>
      <c r="AB359">
        <f>sumif(Plan!B:B,"262-000000-109",Plan!ab:ab)</f>
        <v>0</v>
      </c>
      <c r="AC359">
        <f>sumif(Plan!B:B,"262-000000-109",Plan!ac:ac)</f>
        <v>0</v>
      </c>
      <c r="AD359">
        <f>sumif(Plan!B:B,"262-000000-109",Plan!ad:ad)</f>
        <v>0</v>
      </c>
      <c r="AE359">
        <f>sumif(Plan!B:B,"262-000000-109",Plan!ae:ae)</f>
        <v>0</v>
      </c>
      <c r="AF359">
        <f>sumif(Plan!B:B,"262-000000-109",Plan!af:af)</f>
        <v>0</v>
      </c>
      <c r="AG359">
        <f>sumif(Plan!B:B,"262-000000-109",Plan!ag:ag)</f>
        <v>0</v>
      </c>
      <c r="AH359">
        <f>sumif(Plan!B:B,"262-000000-109",Plan!ah:ah)</f>
        <v>0</v>
      </c>
      <c r="AI359">
        <f>sumif(Plan!B:B,"262-000000-109",Plan!ai:ai)</f>
        <v>0</v>
      </c>
      <c r="AJ359">
        <f>sumif(Plan!B:B,"262-000000-109",Plan!aj:aj)</f>
        <v>0</v>
      </c>
      <c r="AK359">
        <f>sumif(Plan!B:B,"262-000000-109",Plan!ak:ak)</f>
        <v>0</v>
      </c>
      <c r="AL359">
        <f>sumif(Plan!B:B,"262-000000-109",Plan!al:al)</f>
        <v>0</v>
      </c>
      <c r="AM359">
        <f>sumif(Plan!B:B,"262-000000-109",Plan!am:am)</f>
        <v>0</v>
      </c>
      <c r="AN359">
        <f>sumif(Plan!B:B,"262-000000-109",Plan!an:an)</f>
        <v>0</v>
      </c>
      <c r="AO359">
        <f>sumif(Plan!B:B,"262-000000-109",Plan!ao:ao)</f>
        <v>0</v>
      </c>
    </row>
    <row r="360" spans="1:41">
      <c r="A360" t="s">
        <v>22</v>
      </c>
      <c r="B360" t="s">
        <v>243</v>
      </c>
      <c r="C360" t="s">
        <v>244</v>
      </c>
      <c r="E360">
        <v>1</v>
      </c>
      <c r="F360" t="s">
        <v>13</v>
      </c>
      <c r="H360" t="s">
        <v>16</v>
      </c>
      <c r="J360">
        <f>indirect(address(360,9))+indirect(address(358,10))-indirect(address(359,10))</f>
        <v>0</v>
      </c>
      <c r="K360">
        <f>indirect(address(360,10))+indirect(address(358,11))-indirect(address(359,11))</f>
        <v>0</v>
      </c>
      <c r="L360">
        <f>indirect(address(360,11))+indirect(address(358,12))-indirect(address(359,12))</f>
        <v>0</v>
      </c>
      <c r="M360">
        <f>indirect(address(360,12))+indirect(address(358,13))-indirect(address(359,13))</f>
        <v>0</v>
      </c>
      <c r="N360">
        <f>indirect(address(360,13))+indirect(address(358,14))-indirect(address(359,14))</f>
        <v>0</v>
      </c>
      <c r="O360">
        <f>indirect(address(360,14))+indirect(address(358,15))-indirect(address(359,15))</f>
        <v>0</v>
      </c>
      <c r="P360">
        <f>indirect(address(360,15))+indirect(address(358,16))-indirect(address(359,16))</f>
        <v>0</v>
      </c>
      <c r="Q360">
        <f>indirect(address(360,16))+indirect(address(358,17))-indirect(address(359,17))</f>
        <v>0</v>
      </c>
      <c r="R360">
        <f>indirect(address(360,17))+indirect(address(358,18))-indirect(address(359,18))</f>
        <v>0</v>
      </c>
      <c r="S360">
        <f>indirect(address(360,18))+indirect(address(358,19))-indirect(address(359,19))</f>
        <v>0</v>
      </c>
      <c r="T360">
        <f>indirect(address(360,19))+indirect(address(358,20))-indirect(address(359,20))</f>
        <v>0</v>
      </c>
      <c r="U360">
        <f>indirect(address(360,20))+indirect(address(358,21))-indirect(address(359,21))</f>
        <v>0</v>
      </c>
      <c r="V360">
        <f>indirect(address(360,21))+indirect(address(358,22))-indirect(address(359,22))</f>
        <v>0</v>
      </c>
      <c r="W360">
        <f>indirect(address(360,22))+indirect(address(358,23))-indirect(address(359,23))</f>
        <v>0</v>
      </c>
      <c r="X360">
        <f>indirect(address(360,23))+indirect(address(358,24))-indirect(address(359,24))</f>
        <v>0</v>
      </c>
      <c r="Y360">
        <f>indirect(address(360,24))+indirect(address(358,25))-indirect(address(359,25))</f>
        <v>0</v>
      </c>
      <c r="Z360">
        <f>indirect(address(360,25))+indirect(address(358,26))-indirect(address(359,26))</f>
        <v>0</v>
      </c>
      <c r="AA360">
        <f>indirect(address(360,26))+indirect(address(358,27))-indirect(address(359,27))</f>
        <v>0</v>
      </c>
      <c r="AB360">
        <f>indirect(address(360,27))+indirect(address(358,28))-indirect(address(359,28))</f>
        <v>0</v>
      </c>
      <c r="AC360">
        <f>indirect(address(360,28))+indirect(address(358,29))-indirect(address(359,29))</f>
        <v>0</v>
      </c>
      <c r="AD360">
        <f>indirect(address(360,29))+indirect(address(358,30))-indirect(address(359,30))</f>
        <v>0</v>
      </c>
      <c r="AE360">
        <f>indirect(address(360,30))+indirect(address(358,31))-indirect(address(359,31))</f>
        <v>0</v>
      </c>
      <c r="AF360">
        <f>indirect(address(360,31))+indirect(address(358,32))-indirect(address(359,32))</f>
        <v>0</v>
      </c>
      <c r="AG360">
        <f>indirect(address(360,32))+indirect(address(358,33))-indirect(address(359,33))</f>
        <v>0</v>
      </c>
      <c r="AH360">
        <f>indirect(address(360,33))+indirect(address(358,34))-indirect(address(359,34))</f>
        <v>0</v>
      </c>
      <c r="AI360">
        <f>indirect(address(360,34))+indirect(address(358,35))-indirect(address(359,35))</f>
        <v>0</v>
      </c>
      <c r="AJ360">
        <f>indirect(address(360,35))+indirect(address(358,36))-indirect(address(359,36))</f>
        <v>0</v>
      </c>
      <c r="AK360">
        <f>indirect(address(360,36))+indirect(address(358,37))-indirect(address(359,37))</f>
        <v>0</v>
      </c>
      <c r="AL360">
        <f>indirect(address(360,37))+indirect(address(358,38))-indirect(address(359,38))</f>
        <v>0</v>
      </c>
      <c r="AM360">
        <f>indirect(address(360,38))+indirect(address(358,39))-indirect(address(359,39))</f>
        <v>0</v>
      </c>
      <c r="AN360">
        <f>indirect(address(360,39))+indirect(address(358,40))-indirect(address(359,40))</f>
        <v>0</v>
      </c>
      <c r="AO360">
        <f>indirect(address(360,40))+indirect(address(358,41))-indirect(address(359,41))</f>
        <v>0</v>
      </c>
    </row>
    <row r="361" spans="1:41">
      <c r="I361" t="s">
        <v>14</v>
      </c>
      <c r="AO361">
        <f>sum(j361:an361)</f>
        <v>0</v>
      </c>
    </row>
    <row r="362" spans="1:41">
      <c r="I362" t="s">
        <v>15</v>
      </c>
      <c r="J362">
        <f>sumif(Plan!B:B,"262-000000-109",Plan!j:j)</f>
        <v>0</v>
      </c>
      <c r="K362">
        <f>sumif(Plan!B:B,"262-000000-109",Plan!k:k)</f>
        <v>0</v>
      </c>
      <c r="L362">
        <f>sumif(Plan!B:B,"262-000000-109",Plan!l:l)</f>
        <v>0</v>
      </c>
      <c r="M362">
        <f>sumif(Plan!B:B,"262-000000-109",Plan!m:m)</f>
        <v>0</v>
      </c>
      <c r="N362">
        <f>sumif(Plan!B:B,"262-000000-109",Plan!n:n)</f>
        <v>0</v>
      </c>
      <c r="O362">
        <f>sumif(Plan!B:B,"262-000000-109",Plan!o:o)</f>
        <v>0</v>
      </c>
      <c r="P362">
        <f>sumif(Plan!B:B,"262-000000-109",Plan!p:p)</f>
        <v>0</v>
      </c>
      <c r="Q362">
        <f>sumif(Plan!B:B,"262-000000-109",Plan!q:q)</f>
        <v>0</v>
      </c>
      <c r="R362">
        <f>sumif(Plan!B:B,"262-000000-109",Plan!r:r)</f>
        <v>0</v>
      </c>
      <c r="S362">
        <f>sumif(Plan!B:B,"262-000000-109",Plan!s:s)</f>
        <v>0</v>
      </c>
      <c r="T362">
        <f>sumif(Plan!B:B,"262-000000-109",Plan!t:t)</f>
        <v>0</v>
      </c>
      <c r="U362">
        <f>sumif(Plan!B:B,"262-000000-109",Plan!u:u)</f>
        <v>0</v>
      </c>
      <c r="V362">
        <f>sumif(Plan!B:B,"262-000000-109",Plan!v:v)</f>
        <v>0</v>
      </c>
      <c r="W362">
        <f>sumif(Plan!B:B,"262-000000-109",Plan!w:w)</f>
        <v>0</v>
      </c>
      <c r="X362">
        <f>sumif(Plan!B:B,"262-000000-109",Plan!x:x)</f>
        <v>0</v>
      </c>
      <c r="Y362">
        <f>sumif(Plan!B:B,"262-000000-109",Plan!y:y)</f>
        <v>0</v>
      </c>
      <c r="Z362">
        <f>sumif(Plan!B:B,"262-000000-109",Plan!z:z)</f>
        <v>0</v>
      </c>
      <c r="AA362">
        <f>sumif(Plan!B:B,"262-000000-109",Plan!aa:aa)</f>
        <v>0</v>
      </c>
      <c r="AB362">
        <f>sumif(Plan!B:B,"262-000000-109",Plan!ab:ab)</f>
        <v>0</v>
      </c>
      <c r="AC362">
        <f>sumif(Plan!B:B,"262-000000-109",Plan!ac:ac)</f>
        <v>0</v>
      </c>
      <c r="AD362">
        <f>sumif(Plan!B:B,"262-000000-109",Plan!ad:ad)</f>
        <v>0</v>
      </c>
      <c r="AE362">
        <f>sumif(Plan!B:B,"262-000000-109",Plan!ae:ae)</f>
        <v>0</v>
      </c>
      <c r="AF362">
        <f>sumif(Plan!B:B,"262-000000-109",Plan!af:af)</f>
        <v>0</v>
      </c>
      <c r="AG362">
        <f>sumif(Plan!B:B,"262-000000-109",Plan!ag:ag)</f>
        <v>0</v>
      </c>
      <c r="AH362">
        <f>sumif(Plan!B:B,"262-000000-109",Plan!ah:ah)</f>
        <v>0</v>
      </c>
      <c r="AI362">
        <f>sumif(Plan!B:B,"262-000000-109",Plan!ai:ai)</f>
        <v>0</v>
      </c>
      <c r="AJ362">
        <f>sumif(Plan!B:B,"262-000000-109",Plan!aj:aj)</f>
        <v>0</v>
      </c>
      <c r="AK362">
        <f>sumif(Plan!B:B,"262-000000-109",Plan!ak:ak)</f>
        <v>0</v>
      </c>
      <c r="AL362">
        <f>sumif(Plan!B:B,"262-000000-109",Plan!al:al)</f>
        <v>0</v>
      </c>
      <c r="AM362">
        <f>sumif(Plan!B:B,"262-000000-109",Plan!am:am)</f>
        <v>0</v>
      </c>
      <c r="AN362">
        <f>sumif(Plan!B:B,"262-000000-109",Plan!an:an)</f>
        <v>0</v>
      </c>
      <c r="AO362">
        <f>sumif(Plan!B:B,"262-000000-109",Plan!ao:ao)</f>
        <v>0</v>
      </c>
    </row>
    <row r="363" spans="1:41">
      <c r="A363" t="s">
        <v>22</v>
      </c>
      <c r="B363" t="s">
        <v>243</v>
      </c>
      <c r="C363" t="s">
        <v>245</v>
      </c>
      <c r="E363">
        <v>1</v>
      </c>
      <c r="F363" t="s">
        <v>13</v>
      </c>
      <c r="H363" t="s">
        <v>16</v>
      </c>
      <c r="J363">
        <f>indirect(address(363,9))+indirect(address(361,10))-indirect(address(362,10))</f>
        <v>0</v>
      </c>
      <c r="K363">
        <f>indirect(address(363,10))+indirect(address(361,11))-indirect(address(362,11))</f>
        <v>0</v>
      </c>
      <c r="L363">
        <f>indirect(address(363,11))+indirect(address(361,12))-indirect(address(362,12))</f>
        <v>0</v>
      </c>
      <c r="M363">
        <f>indirect(address(363,12))+indirect(address(361,13))-indirect(address(362,13))</f>
        <v>0</v>
      </c>
      <c r="N363">
        <f>indirect(address(363,13))+indirect(address(361,14))-indirect(address(362,14))</f>
        <v>0</v>
      </c>
      <c r="O363">
        <f>indirect(address(363,14))+indirect(address(361,15))-indirect(address(362,15))</f>
        <v>0</v>
      </c>
      <c r="P363">
        <f>indirect(address(363,15))+indirect(address(361,16))-indirect(address(362,16))</f>
        <v>0</v>
      </c>
      <c r="Q363">
        <f>indirect(address(363,16))+indirect(address(361,17))-indirect(address(362,17))</f>
        <v>0</v>
      </c>
      <c r="R363">
        <f>indirect(address(363,17))+indirect(address(361,18))-indirect(address(362,18))</f>
        <v>0</v>
      </c>
      <c r="S363">
        <f>indirect(address(363,18))+indirect(address(361,19))-indirect(address(362,19))</f>
        <v>0</v>
      </c>
      <c r="T363">
        <f>indirect(address(363,19))+indirect(address(361,20))-indirect(address(362,20))</f>
        <v>0</v>
      </c>
      <c r="U363">
        <f>indirect(address(363,20))+indirect(address(361,21))-indirect(address(362,21))</f>
        <v>0</v>
      </c>
      <c r="V363">
        <f>indirect(address(363,21))+indirect(address(361,22))-indirect(address(362,22))</f>
        <v>0</v>
      </c>
      <c r="W363">
        <f>indirect(address(363,22))+indirect(address(361,23))-indirect(address(362,23))</f>
        <v>0</v>
      </c>
      <c r="X363">
        <f>indirect(address(363,23))+indirect(address(361,24))-indirect(address(362,24))</f>
        <v>0</v>
      </c>
      <c r="Y363">
        <f>indirect(address(363,24))+indirect(address(361,25))-indirect(address(362,25))</f>
        <v>0</v>
      </c>
      <c r="Z363">
        <f>indirect(address(363,25))+indirect(address(361,26))-indirect(address(362,26))</f>
        <v>0</v>
      </c>
      <c r="AA363">
        <f>indirect(address(363,26))+indirect(address(361,27))-indirect(address(362,27))</f>
        <v>0</v>
      </c>
      <c r="AB363">
        <f>indirect(address(363,27))+indirect(address(361,28))-indirect(address(362,28))</f>
        <v>0</v>
      </c>
      <c r="AC363">
        <f>indirect(address(363,28))+indirect(address(361,29))-indirect(address(362,29))</f>
        <v>0</v>
      </c>
      <c r="AD363">
        <f>indirect(address(363,29))+indirect(address(361,30))-indirect(address(362,30))</f>
        <v>0</v>
      </c>
      <c r="AE363">
        <f>indirect(address(363,30))+indirect(address(361,31))-indirect(address(362,31))</f>
        <v>0</v>
      </c>
      <c r="AF363">
        <f>indirect(address(363,31))+indirect(address(361,32))-indirect(address(362,32))</f>
        <v>0</v>
      </c>
      <c r="AG363">
        <f>indirect(address(363,32))+indirect(address(361,33))-indirect(address(362,33))</f>
        <v>0</v>
      </c>
      <c r="AH363">
        <f>indirect(address(363,33))+indirect(address(361,34))-indirect(address(362,34))</f>
        <v>0</v>
      </c>
      <c r="AI363">
        <f>indirect(address(363,34))+indirect(address(361,35))-indirect(address(362,35))</f>
        <v>0</v>
      </c>
      <c r="AJ363">
        <f>indirect(address(363,35))+indirect(address(361,36))-indirect(address(362,36))</f>
        <v>0</v>
      </c>
      <c r="AK363">
        <f>indirect(address(363,36))+indirect(address(361,37))-indirect(address(362,37))</f>
        <v>0</v>
      </c>
      <c r="AL363">
        <f>indirect(address(363,37))+indirect(address(361,38))-indirect(address(362,38))</f>
        <v>0</v>
      </c>
      <c r="AM363">
        <f>indirect(address(363,38))+indirect(address(361,39))-indirect(address(362,39))</f>
        <v>0</v>
      </c>
      <c r="AN363">
        <f>indirect(address(363,39))+indirect(address(361,40))-indirect(address(362,40))</f>
        <v>0</v>
      </c>
      <c r="AO363">
        <f>indirect(address(363,40))+indirect(address(361,41))-indirect(address(362,41))</f>
        <v>0</v>
      </c>
    </row>
    <row r="364" spans="1:41">
      <c r="I364" t="s">
        <v>14</v>
      </c>
      <c r="AO364">
        <f>sum(j364:an364)</f>
        <v>0</v>
      </c>
    </row>
    <row r="365" spans="1:41">
      <c r="I365" t="s">
        <v>15</v>
      </c>
      <c r="J365">
        <f>sumif(Plan!B:B,"204-00725",Plan!j:j)</f>
        <v>0</v>
      </c>
      <c r="K365">
        <f>sumif(Plan!B:B,"204-00725",Plan!k:k)</f>
        <v>0</v>
      </c>
      <c r="L365">
        <f>sumif(Plan!B:B,"204-00725",Plan!l:l)</f>
        <v>0</v>
      </c>
      <c r="M365">
        <f>sumif(Plan!B:B,"204-00725",Plan!m:m)</f>
        <v>0</v>
      </c>
      <c r="N365">
        <f>sumif(Plan!B:B,"204-00725",Plan!n:n)</f>
        <v>0</v>
      </c>
      <c r="O365">
        <f>sumif(Plan!B:B,"204-00725",Plan!o:o)</f>
        <v>0</v>
      </c>
      <c r="P365">
        <f>sumif(Plan!B:B,"204-00725",Plan!p:p)</f>
        <v>0</v>
      </c>
      <c r="Q365">
        <f>sumif(Plan!B:B,"204-00725",Plan!q:q)</f>
        <v>0</v>
      </c>
      <c r="R365">
        <f>sumif(Plan!B:B,"204-00725",Plan!r:r)</f>
        <v>0</v>
      </c>
      <c r="S365">
        <f>sumif(Plan!B:B,"204-00725",Plan!s:s)</f>
        <v>0</v>
      </c>
      <c r="T365">
        <f>sumif(Plan!B:B,"204-00725",Plan!t:t)</f>
        <v>0</v>
      </c>
      <c r="U365">
        <f>sumif(Plan!B:B,"204-00725",Plan!u:u)</f>
        <v>0</v>
      </c>
      <c r="V365">
        <f>sumif(Plan!B:B,"204-00725",Plan!v:v)</f>
        <v>0</v>
      </c>
      <c r="W365">
        <f>sumif(Plan!B:B,"204-00725",Plan!w:w)</f>
        <v>0</v>
      </c>
      <c r="X365">
        <f>sumif(Plan!B:B,"204-00725",Plan!x:x)</f>
        <v>0</v>
      </c>
      <c r="Y365">
        <f>sumif(Plan!B:B,"204-00725",Plan!y:y)</f>
        <v>0</v>
      </c>
      <c r="Z365">
        <f>sumif(Plan!B:B,"204-00725",Plan!z:z)</f>
        <v>0</v>
      </c>
      <c r="AA365">
        <f>sumif(Plan!B:B,"204-00725",Plan!aa:aa)</f>
        <v>0</v>
      </c>
      <c r="AB365">
        <f>sumif(Plan!B:B,"204-00725",Plan!ab:ab)</f>
        <v>0</v>
      </c>
      <c r="AC365">
        <f>sumif(Plan!B:B,"204-00725",Plan!ac:ac)</f>
        <v>0</v>
      </c>
      <c r="AD365">
        <f>sumif(Plan!B:B,"204-00725",Plan!ad:ad)</f>
        <v>0</v>
      </c>
      <c r="AE365">
        <f>sumif(Plan!B:B,"204-00725",Plan!ae:ae)</f>
        <v>0</v>
      </c>
      <c r="AF365">
        <f>sumif(Plan!B:B,"204-00725",Plan!af:af)</f>
        <v>0</v>
      </c>
      <c r="AG365">
        <f>sumif(Plan!B:B,"204-00725",Plan!ag:ag)</f>
        <v>0</v>
      </c>
      <c r="AH365">
        <f>sumif(Plan!B:B,"204-00725",Plan!ah:ah)</f>
        <v>0</v>
      </c>
      <c r="AI365">
        <f>sumif(Plan!B:B,"204-00725",Plan!ai:ai)</f>
        <v>0</v>
      </c>
      <c r="AJ365">
        <f>sumif(Plan!B:B,"204-00725",Plan!aj:aj)</f>
        <v>0</v>
      </c>
      <c r="AK365">
        <f>sumif(Plan!B:B,"204-00725",Plan!ak:ak)</f>
        <v>0</v>
      </c>
      <c r="AL365">
        <f>sumif(Plan!B:B,"204-00725",Plan!al:al)</f>
        <v>0</v>
      </c>
      <c r="AM365">
        <f>sumif(Plan!B:B,"204-00725",Plan!am:am)</f>
        <v>0</v>
      </c>
      <c r="AN365">
        <f>sumif(Plan!B:B,"204-00725",Plan!an:an)</f>
        <v>0</v>
      </c>
      <c r="AO365">
        <f>sumif(Plan!B:B,"204-00725",Plan!ao:ao)</f>
        <v>0</v>
      </c>
    </row>
    <row r="366" spans="1:41">
      <c r="A366" t="s">
        <v>22</v>
      </c>
      <c r="B366" t="s">
        <v>246</v>
      </c>
      <c r="C366" t="s">
        <v>247</v>
      </c>
      <c r="E366">
        <v>0.083333333</v>
      </c>
      <c r="F366" t="s">
        <v>13</v>
      </c>
      <c r="H366" t="s">
        <v>16</v>
      </c>
      <c r="J366">
        <f>indirect(address(366,9))+indirect(address(364,10))-indirect(address(365,10))</f>
        <v>0</v>
      </c>
      <c r="K366">
        <f>indirect(address(366,10))+indirect(address(364,11))-indirect(address(365,11))</f>
        <v>0</v>
      </c>
      <c r="L366">
        <f>indirect(address(366,11))+indirect(address(364,12))-indirect(address(365,12))</f>
        <v>0</v>
      </c>
      <c r="M366">
        <f>indirect(address(366,12))+indirect(address(364,13))-indirect(address(365,13))</f>
        <v>0</v>
      </c>
      <c r="N366">
        <f>indirect(address(366,13))+indirect(address(364,14))-indirect(address(365,14))</f>
        <v>0</v>
      </c>
      <c r="O366">
        <f>indirect(address(366,14))+indirect(address(364,15))-indirect(address(365,15))</f>
        <v>0</v>
      </c>
      <c r="P366">
        <f>indirect(address(366,15))+indirect(address(364,16))-indirect(address(365,16))</f>
        <v>0</v>
      </c>
      <c r="Q366">
        <f>indirect(address(366,16))+indirect(address(364,17))-indirect(address(365,17))</f>
        <v>0</v>
      </c>
      <c r="R366">
        <f>indirect(address(366,17))+indirect(address(364,18))-indirect(address(365,18))</f>
        <v>0</v>
      </c>
      <c r="S366">
        <f>indirect(address(366,18))+indirect(address(364,19))-indirect(address(365,19))</f>
        <v>0</v>
      </c>
      <c r="T366">
        <f>indirect(address(366,19))+indirect(address(364,20))-indirect(address(365,20))</f>
        <v>0</v>
      </c>
      <c r="U366">
        <f>indirect(address(366,20))+indirect(address(364,21))-indirect(address(365,21))</f>
        <v>0</v>
      </c>
      <c r="V366">
        <f>indirect(address(366,21))+indirect(address(364,22))-indirect(address(365,22))</f>
        <v>0</v>
      </c>
      <c r="W366">
        <f>indirect(address(366,22))+indirect(address(364,23))-indirect(address(365,23))</f>
        <v>0</v>
      </c>
      <c r="X366">
        <f>indirect(address(366,23))+indirect(address(364,24))-indirect(address(365,24))</f>
        <v>0</v>
      </c>
      <c r="Y366">
        <f>indirect(address(366,24))+indirect(address(364,25))-indirect(address(365,25))</f>
        <v>0</v>
      </c>
      <c r="Z366">
        <f>indirect(address(366,25))+indirect(address(364,26))-indirect(address(365,26))</f>
        <v>0</v>
      </c>
      <c r="AA366">
        <f>indirect(address(366,26))+indirect(address(364,27))-indirect(address(365,27))</f>
        <v>0</v>
      </c>
      <c r="AB366">
        <f>indirect(address(366,27))+indirect(address(364,28))-indirect(address(365,28))</f>
        <v>0</v>
      </c>
      <c r="AC366">
        <f>indirect(address(366,28))+indirect(address(364,29))-indirect(address(365,29))</f>
        <v>0</v>
      </c>
      <c r="AD366">
        <f>indirect(address(366,29))+indirect(address(364,30))-indirect(address(365,30))</f>
        <v>0</v>
      </c>
      <c r="AE366">
        <f>indirect(address(366,30))+indirect(address(364,31))-indirect(address(365,31))</f>
        <v>0</v>
      </c>
      <c r="AF366">
        <f>indirect(address(366,31))+indirect(address(364,32))-indirect(address(365,32))</f>
        <v>0</v>
      </c>
      <c r="AG366">
        <f>indirect(address(366,32))+indirect(address(364,33))-indirect(address(365,33))</f>
        <v>0</v>
      </c>
      <c r="AH366">
        <f>indirect(address(366,33))+indirect(address(364,34))-indirect(address(365,34))</f>
        <v>0</v>
      </c>
      <c r="AI366">
        <f>indirect(address(366,34))+indirect(address(364,35))-indirect(address(365,35))</f>
        <v>0</v>
      </c>
      <c r="AJ366">
        <f>indirect(address(366,35))+indirect(address(364,36))-indirect(address(365,36))</f>
        <v>0</v>
      </c>
      <c r="AK366">
        <f>indirect(address(366,36))+indirect(address(364,37))-indirect(address(365,37))</f>
        <v>0</v>
      </c>
      <c r="AL366">
        <f>indirect(address(366,37))+indirect(address(364,38))-indirect(address(365,38))</f>
        <v>0</v>
      </c>
      <c r="AM366">
        <f>indirect(address(366,38))+indirect(address(364,39))-indirect(address(365,39))</f>
        <v>0</v>
      </c>
      <c r="AN366">
        <f>indirect(address(366,39))+indirect(address(364,40))-indirect(address(365,40))</f>
        <v>0</v>
      </c>
      <c r="AO366">
        <f>indirect(address(366,40))+indirect(address(364,41))-indirect(address(365,41))</f>
        <v>0</v>
      </c>
    </row>
    <row r="367" spans="1:41">
      <c r="I367" t="s">
        <v>14</v>
      </c>
      <c r="AO367">
        <f>sum(j367:an367)</f>
        <v>0</v>
      </c>
    </row>
    <row r="368" spans="1:41">
      <c r="I368" t="s">
        <v>15</v>
      </c>
      <c r="J368">
        <f>sumif(Plan!B:B,"824-702000-100",Plan!j:j)</f>
        <v>0</v>
      </c>
      <c r="K368">
        <f>sumif(Plan!B:B,"824-702000-100",Plan!k:k)</f>
        <v>0</v>
      </c>
      <c r="L368">
        <f>sumif(Plan!B:B,"824-702000-100",Plan!l:l)</f>
        <v>0</v>
      </c>
      <c r="M368">
        <f>sumif(Plan!B:B,"824-702000-100",Plan!m:m)</f>
        <v>0</v>
      </c>
      <c r="N368">
        <f>sumif(Plan!B:B,"824-702000-100",Plan!n:n)</f>
        <v>0</v>
      </c>
      <c r="O368">
        <f>sumif(Plan!B:B,"824-702000-100",Plan!o:o)</f>
        <v>0</v>
      </c>
      <c r="P368">
        <f>sumif(Plan!B:B,"824-702000-100",Plan!p:p)</f>
        <v>0</v>
      </c>
      <c r="Q368">
        <f>sumif(Plan!B:B,"824-702000-100",Plan!q:q)</f>
        <v>0</v>
      </c>
      <c r="R368">
        <f>sumif(Plan!B:B,"824-702000-100",Plan!r:r)</f>
        <v>0</v>
      </c>
      <c r="S368">
        <f>sumif(Plan!B:B,"824-702000-100",Plan!s:s)</f>
        <v>0</v>
      </c>
      <c r="T368">
        <f>sumif(Plan!B:B,"824-702000-100",Plan!t:t)</f>
        <v>0</v>
      </c>
      <c r="U368">
        <f>sumif(Plan!B:B,"824-702000-100",Plan!u:u)</f>
        <v>0</v>
      </c>
      <c r="V368">
        <f>sumif(Plan!B:B,"824-702000-100",Plan!v:v)</f>
        <v>0</v>
      </c>
      <c r="W368">
        <f>sumif(Plan!B:B,"824-702000-100",Plan!w:w)</f>
        <v>0</v>
      </c>
      <c r="X368">
        <f>sumif(Plan!B:B,"824-702000-100",Plan!x:x)</f>
        <v>0</v>
      </c>
      <c r="Y368">
        <f>sumif(Plan!B:B,"824-702000-100",Plan!y:y)</f>
        <v>0</v>
      </c>
      <c r="Z368">
        <f>sumif(Plan!B:B,"824-702000-100",Plan!z:z)</f>
        <v>0</v>
      </c>
      <c r="AA368">
        <f>sumif(Plan!B:B,"824-702000-100",Plan!aa:aa)</f>
        <v>0</v>
      </c>
      <c r="AB368">
        <f>sumif(Plan!B:B,"824-702000-100",Plan!ab:ab)</f>
        <v>0</v>
      </c>
      <c r="AC368">
        <f>sumif(Plan!B:B,"824-702000-100",Plan!ac:ac)</f>
        <v>0</v>
      </c>
      <c r="AD368">
        <f>sumif(Plan!B:B,"824-702000-100",Plan!ad:ad)</f>
        <v>0</v>
      </c>
      <c r="AE368">
        <f>sumif(Plan!B:B,"824-702000-100",Plan!ae:ae)</f>
        <v>0</v>
      </c>
      <c r="AF368">
        <f>sumif(Plan!B:B,"824-702000-100",Plan!af:af)</f>
        <v>0</v>
      </c>
      <c r="AG368">
        <f>sumif(Plan!B:B,"824-702000-100",Plan!ag:ag)</f>
        <v>0</v>
      </c>
      <c r="AH368">
        <f>sumif(Plan!B:B,"824-702000-100",Plan!ah:ah)</f>
        <v>0</v>
      </c>
      <c r="AI368">
        <f>sumif(Plan!B:B,"824-702000-100",Plan!ai:ai)</f>
        <v>0</v>
      </c>
      <c r="AJ368">
        <f>sumif(Plan!B:B,"824-702000-100",Plan!aj:aj)</f>
        <v>0</v>
      </c>
      <c r="AK368">
        <f>sumif(Plan!B:B,"824-702000-100",Plan!ak:ak)</f>
        <v>0</v>
      </c>
      <c r="AL368">
        <f>sumif(Plan!B:B,"824-702000-100",Plan!al:al)</f>
        <v>0</v>
      </c>
      <c r="AM368">
        <f>sumif(Plan!B:B,"824-702000-100",Plan!am:am)</f>
        <v>0</v>
      </c>
      <c r="AN368">
        <f>sumif(Plan!B:B,"824-702000-100",Plan!an:an)</f>
        <v>0</v>
      </c>
      <c r="AO368">
        <f>sumif(Plan!B:B,"824-702000-100",Plan!ao:ao)</f>
        <v>0</v>
      </c>
    </row>
    <row r="369" spans="1:41">
      <c r="A369" t="s">
        <v>17</v>
      </c>
      <c r="B369" t="s">
        <v>250</v>
      </c>
      <c r="C369" t="s">
        <v>251</v>
      </c>
      <c r="E369">
        <v>1</v>
      </c>
      <c r="F369" t="s">
        <v>13</v>
      </c>
      <c r="H369" t="s">
        <v>16</v>
      </c>
      <c r="J369">
        <f>indirect(address(369,9))+indirect(address(367,10))-indirect(address(368,10))</f>
        <v>0</v>
      </c>
      <c r="K369">
        <f>indirect(address(369,10))+indirect(address(367,11))-indirect(address(368,11))</f>
        <v>0</v>
      </c>
      <c r="L369">
        <f>indirect(address(369,11))+indirect(address(367,12))-indirect(address(368,12))</f>
        <v>0</v>
      </c>
      <c r="M369">
        <f>indirect(address(369,12))+indirect(address(367,13))-indirect(address(368,13))</f>
        <v>0</v>
      </c>
      <c r="N369">
        <f>indirect(address(369,13))+indirect(address(367,14))-indirect(address(368,14))</f>
        <v>0</v>
      </c>
      <c r="O369">
        <f>indirect(address(369,14))+indirect(address(367,15))-indirect(address(368,15))</f>
        <v>0</v>
      </c>
      <c r="P369">
        <f>indirect(address(369,15))+indirect(address(367,16))-indirect(address(368,16))</f>
        <v>0</v>
      </c>
      <c r="Q369">
        <f>indirect(address(369,16))+indirect(address(367,17))-indirect(address(368,17))</f>
        <v>0</v>
      </c>
      <c r="R369">
        <f>indirect(address(369,17))+indirect(address(367,18))-indirect(address(368,18))</f>
        <v>0</v>
      </c>
      <c r="S369">
        <f>indirect(address(369,18))+indirect(address(367,19))-indirect(address(368,19))</f>
        <v>0</v>
      </c>
      <c r="T369">
        <f>indirect(address(369,19))+indirect(address(367,20))-indirect(address(368,20))</f>
        <v>0</v>
      </c>
      <c r="U369">
        <f>indirect(address(369,20))+indirect(address(367,21))-indirect(address(368,21))</f>
        <v>0</v>
      </c>
      <c r="V369">
        <f>indirect(address(369,21))+indirect(address(367,22))-indirect(address(368,22))</f>
        <v>0</v>
      </c>
      <c r="W369">
        <f>indirect(address(369,22))+indirect(address(367,23))-indirect(address(368,23))</f>
        <v>0</v>
      </c>
      <c r="X369">
        <f>indirect(address(369,23))+indirect(address(367,24))-indirect(address(368,24))</f>
        <v>0</v>
      </c>
      <c r="Y369">
        <f>indirect(address(369,24))+indirect(address(367,25))-indirect(address(368,25))</f>
        <v>0</v>
      </c>
      <c r="Z369">
        <f>indirect(address(369,25))+indirect(address(367,26))-indirect(address(368,26))</f>
        <v>0</v>
      </c>
      <c r="AA369">
        <f>indirect(address(369,26))+indirect(address(367,27))-indirect(address(368,27))</f>
        <v>0</v>
      </c>
      <c r="AB369">
        <f>indirect(address(369,27))+indirect(address(367,28))-indirect(address(368,28))</f>
        <v>0</v>
      </c>
      <c r="AC369">
        <f>indirect(address(369,28))+indirect(address(367,29))-indirect(address(368,29))</f>
        <v>0</v>
      </c>
      <c r="AD369">
        <f>indirect(address(369,29))+indirect(address(367,30))-indirect(address(368,30))</f>
        <v>0</v>
      </c>
      <c r="AE369">
        <f>indirect(address(369,30))+indirect(address(367,31))-indirect(address(368,31))</f>
        <v>0</v>
      </c>
      <c r="AF369">
        <f>indirect(address(369,31))+indirect(address(367,32))-indirect(address(368,32))</f>
        <v>0</v>
      </c>
      <c r="AG369">
        <f>indirect(address(369,32))+indirect(address(367,33))-indirect(address(368,33))</f>
        <v>0</v>
      </c>
      <c r="AH369">
        <f>indirect(address(369,33))+indirect(address(367,34))-indirect(address(368,34))</f>
        <v>0</v>
      </c>
      <c r="AI369">
        <f>indirect(address(369,34))+indirect(address(367,35))-indirect(address(368,35))</f>
        <v>0</v>
      </c>
      <c r="AJ369">
        <f>indirect(address(369,35))+indirect(address(367,36))-indirect(address(368,36))</f>
        <v>0</v>
      </c>
      <c r="AK369">
        <f>indirect(address(369,36))+indirect(address(367,37))-indirect(address(368,37))</f>
        <v>0</v>
      </c>
      <c r="AL369">
        <f>indirect(address(369,37))+indirect(address(367,38))-indirect(address(368,38))</f>
        <v>0</v>
      </c>
      <c r="AM369">
        <f>indirect(address(369,38))+indirect(address(367,39))-indirect(address(368,39))</f>
        <v>0</v>
      </c>
      <c r="AN369">
        <f>indirect(address(369,39))+indirect(address(367,40))-indirect(address(368,40))</f>
        <v>0</v>
      </c>
      <c r="AO369">
        <f>indirect(address(369,40))+indirect(address(367,41))-indirect(address(368,41))</f>
        <v>0</v>
      </c>
    </row>
    <row r="370" spans="1:41">
      <c r="I370" t="s">
        <v>14</v>
      </c>
      <c r="AO370">
        <f>sum(j370:an370)</f>
        <v>0</v>
      </c>
    </row>
    <row r="371" spans="1:41">
      <c r="I371" t="s">
        <v>15</v>
      </c>
      <c r="J371">
        <f>sumif(Plan!B:B,"824-709000-100",Plan!j:j)</f>
        <v>0</v>
      </c>
      <c r="K371">
        <f>sumif(Plan!B:B,"824-709000-100",Plan!k:k)</f>
        <v>0</v>
      </c>
      <c r="L371">
        <f>sumif(Plan!B:B,"824-709000-100",Plan!l:l)</f>
        <v>0</v>
      </c>
      <c r="M371">
        <f>sumif(Plan!B:B,"824-709000-100",Plan!m:m)</f>
        <v>0</v>
      </c>
      <c r="N371">
        <f>sumif(Plan!B:B,"824-709000-100",Plan!n:n)</f>
        <v>0</v>
      </c>
      <c r="O371">
        <f>sumif(Plan!B:B,"824-709000-100",Plan!o:o)</f>
        <v>0</v>
      </c>
      <c r="P371">
        <f>sumif(Plan!B:B,"824-709000-100",Plan!p:p)</f>
        <v>0</v>
      </c>
      <c r="Q371">
        <f>sumif(Plan!B:B,"824-709000-100",Plan!q:q)</f>
        <v>0</v>
      </c>
      <c r="R371">
        <f>sumif(Plan!B:B,"824-709000-100",Plan!r:r)</f>
        <v>0</v>
      </c>
      <c r="S371">
        <f>sumif(Plan!B:B,"824-709000-100",Plan!s:s)</f>
        <v>0</v>
      </c>
      <c r="T371">
        <f>sumif(Plan!B:B,"824-709000-100",Plan!t:t)</f>
        <v>0</v>
      </c>
      <c r="U371">
        <f>sumif(Plan!B:B,"824-709000-100",Plan!u:u)</f>
        <v>0</v>
      </c>
      <c r="V371">
        <f>sumif(Plan!B:B,"824-709000-100",Plan!v:v)</f>
        <v>0</v>
      </c>
      <c r="W371">
        <f>sumif(Plan!B:B,"824-709000-100",Plan!w:w)</f>
        <v>0</v>
      </c>
      <c r="X371">
        <f>sumif(Plan!B:B,"824-709000-100",Plan!x:x)</f>
        <v>0</v>
      </c>
      <c r="Y371">
        <f>sumif(Plan!B:B,"824-709000-100",Plan!y:y)</f>
        <v>0</v>
      </c>
      <c r="Z371">
        <f>sumif(Plan!B:B,"824-709000-100",Plan!z:z)</f>
        <v>0</v>
      </c>
      <c r="AA371">
        <f>sumif(Plan!B:B,"824-709000-100",Plan!aa:aa)</f>
        <v>0</v>
      </c>
      <c r="AB371">
        <f>sumif(Plan!B:B,"824-709000-100",Plan!ab:ab)</f>
        <v>0</v>
      </c>
      <c r="AC371">
        <f>sumif(Plan!B:B,"824-709000-100",Plan!ac:ac)</f>
        <v>0</v>
      </c>
      <c r="AD371">
        <f>sumif(Plan!B:B,"824-709000-100",Plan!ad:ad)</f>
        <v>0</v>
      </c>
      <c r="AE371">
        <f>sumif(Plan!B:B,"824-709000-100",Plan!ae:ae)</f>
        <v>0</v>
      </c>
      <c r="AF371">
        <f>sumif(Plan!B:B,"824-709000-100",Plan!af:af)</f>
        <v>0</v>
      </c>
      <c r="AG371">
        <f>sumif(Plan!B:B,"824-709000-100",Plan!ag:ag)</f>
        <v>0</v>
      </c>
      <c r="AH371">
        <f>sumif(Plan!B:B,"824-709000-100",Plan!ah:ah)</f>
        <v>0</v>
      </c>
      <c r="AI371">
        <f>sumif(Plan!B:B,"824-709000-100",Plan!ai:ai)</f>
        <v>0</v>
      </c>
      <c r="AJ371">
        <f>sumif(Plan!B:B,"824-709000-100",Plan!aj:aj)</f>
        <v>0</v>
      </c>
      <c r="AK371">
        <f>sumif(Plan!B:B,"824-709000-100",Plan!ak:ak)</f>
        <v>0</v>
      </c>
      <c r="AL371">
        <f>sumif(Plan!B:B,"824-709000-100",Plan!al:al)</f>
        <v>0</v>
      </c>
      <c r="AM371">
        <f>sumif(Plan!B:B,"824-709000-100",Plan!am:am)</f>
        <v>0</v>
      </c>
      <c r="AN371">
        <f>sumif(Plan!B:B,"824-709000-100",Plan!an:an)</f>
        <v>0</v>
      </c>
      <c r="AO371">
        <f>sumif(Plan!B:B,"824-709000-100",Plan!ao:ao)</f>
        <v>0</v>
      </c>
    </row>
    <row r="372" spans="1:41">
      <c r="A372" t="s">
        <v>17</v>
      </c>
      <c r="B372" t="s">
        <v>252</v>
      </c>
      <c r="C372" t="s">
        <v>253</v>
      </c>
      <c r="E372">
        <v>1</v>
      </c>
      <c r="F372" t="s">
        <v>13</v>
      </c>
      <c r="H372" t="s">
        <v>16</v>
      </c>
      <c r="J372">
        <f>indirect(address(372,9))+indirect(address(370,10))-indirect(address(371,10))</f>
        <v>0</v>
      </c>
      <c r="K372">
        <f>indirect(address(372,10))+indirect(address(370,11))-indirect(address(371,11))</f>
        <v>0</v>
      </c>
      <c r="L372">
        <f>indirect(address(372,11))+indirect(address(370,12))-indirect(address(371,12))</f>
        <v>0</v>
      </c>
      <c r="M372">
        <f>indirect(address(372,12))+indirect(address(370,13))-indirect(address(371,13))</f>
        <v>0</v>
      </c>
      <c r="N372">
        <f>indirect(address(372,13))+indirect(address(370,14))-indirect(address(371,14))</f>
        <v>0</v>
      </c>
      <c r="O372">
        <f>indirect(address(372,14))+indirect(address(370,15))-indirect(address(371,15))</f>
        <v>0</v>
      </c>
      <c r="P372">
        <f>indirect(address(372,15))+indirect(address(370,16))-indirect(address(371,16))</f>
        <v>0</v>
      </c>
      <c r="Q372">
        <f>indirect(address(372,16))+indirect(address(370,17))-indirect(address(371,17))</f>
        <v>0</v>
      </c>
      <c r="R372">
        <f>indirect(address(372,17))+indirect(address(370,18))-indirect(address(371,18))</f>
        <v>0</v>
      </c>
      <c r="S372">
        <f>indirect(address(372,18))+indirect(address(370,19))-indirect(address(371,19))</f>
        <v>0</v>
      </c>
      <c r="T372">
        <f>indirect(address(372,19))+indirect(address(370,20))-indirect(address(371,20))</f>
        <v>0</v>
      </c>
      <c r="U372">
        <f>indirect(address(372,20))+indirect(address(370,21))-indirect(address(371,21))</f>
        <v>0</v>
      </c>
      <c r="V372">
        <f>indirect(address(372,21))+indirect(address(370,22))-indirect(address(371,22))</f>
        <v>0</v>
      </c>
      <c r="W372">
        <f>indirect(address(372,22))+indirect(address(370,23))-indirect(address(371,23))</f>
        <v>0</v>
      </c>
      <c r="X372">
        <f>indirect(address(372,23))+indirect(address(370,24))-indirect(address(371,24))</f>
        <v>0</v>
      </c>
      <c r="Y372">
        <f>indirect(address(372,24))+indirect(address(370,25))-indirect(address(371,25))</f>
        <v>0</v>
      </c>
      <c r="Z372">
        <f>indirect(address(372,25))+indirect(address(370,26))-indirect(address(371,26))</f>
        <v>0</v>
      </c>
      <c r="AA372">
        <f>indirect(address(372,26))+indirect(address(370,27))-indirect(address(371,27))</f>
        <v>0</v>
      </c>
      <c r="AB372">
        <f>indirect(address(372,27))+indirect(address(370,28))-indirect(address(371,28))</f>
        <v>0</v>
      </c>
      <c r="AC372">
        <f>indirect(address(372,28))+indirect(address(370,29))-indirect(address(371,29))</f>
        <v>0</v>
      </c>
      <c r="AD372">
        <f>indirect(address(372,29))+indirect(address(370,30))-indirect(address(371,30))</f>
        <v>0</v>
      </c>
      <c r="AE372">
        <f>indirect(address(372,30))+indirect(address(370,31))-indirect(address(371,31))</f>
        <v>0</v>
      </c>
      <c r="AF372">
        <f>indirect(address(372,31))+indirect(address(370,32))-indirect(address(371,32))</f>
        <v>0</v>
      </c>
      <c r="AG372">
        <f>indirect(address(372,32))+indirect(address(370,33))-indirect(address(371,33))</f>
        <v>0</v>
      </c>
      <c r="AH372">
        <f>indirect(address(372,33))+indirect(address(370,34))-indirect(address(371,34))</f>
        <v>0</v>
      </c>
      <c r="AI372">
        <f>indirect(address(372,34))+indirect(address(370,35))-indirect(address(371,35))</f>
        <v>0</v>
      </c>
      <c r="AJ372">
        <f>indirect(address(372,35))+indirect(address(370,36))-indirect(address(371,36))</f>
        <v>0</v>
      </c>
      <c r="AK372">
        <f>indirect(address(372,36))+indirect(address(370,37))-indirect(address(371,37))</f>
        <v>0</v>
      </c>
      <c r="AL372">
        <f>indirect(address(372,37))+indirect(address(370,38))-indirect(address(371,38))</f>
        <v>0</v>
      </c>
      <c r="AM372">
        <f>indirect(address(372,38))+indirect(address(370,39))-indirect(address(371,39))</f>
        <v>0</v>
      </c>
      <c r="AN372">
        <f>indirect(address(372,39))+indirect(address(370,40))-indirect(address(371,40))</f>
        <v>0</v>
      </c>
      <c r="AO372">
        <f>indirect(address(372,40))+indirect(address(370,41))-indirect(address(371,41))</f>
        <v>0</v>
      </c>
    </row>
    <row r="373" spans="1:41">
      <c r="I373" t="s">
        <v>14</v>
      </c>
      <c r="AO373">
        <f>sum(j373:an373)</f>
        <v>0</v>
      </c>
    </row>
    <row r="374" spans="1:41">
      <c r="I374" t="s">
        <v>15</v>
      </c>
      <c r="J374">
        <f>sumif(Plan!B:B,"824-709000-300",Plan!j:j)</f>
        <v>0</v>
      </c>
      <c r="K374">
        <f>sumif(Plan!B:B,"824-709000-300",Plan!k:k)</f>
        <v>0</v>
      </c>
      <c r="L374">
        <f>sumif(Plan!B:B,"824-709000-300",Plan!l:l)</f>
        <v>0</v>
      </c>
      <c r="M374">
        <f>sumif(Plan!B:B,"824-709000-300",Plan!m:m)</f>
        <v>0</v>
      </c>
      <c r="N374">
        <f>sumif(Plan!B:B,"824-709000-300",Plan!n:n)</f>
        <v>0</v>
      </c>
      <c r="O374">
        <f>sumif(Plan!B:B,"824-709000-300",Plan!o:o)</f>
        <v>0</v>
      </c>
      <c r="P374">
        <f>sumif(Plan!B:B,"824-709000-300",Plan!p:p)</f>
        <v>0</v>
      </c>
      <c r="Q374">
        <f>sumif(Plan!B:B,"824-709000-300",Plan!q:q)</f>
        <v>0</v>
      </c>
      <c r="R374">
        <f>sumif(Plan!B:B,"824-709000-300",Plan!r:r)</f>
        <v>0</v>
      </c>
      <c r="S374">
        <f>sumif(Plan!B:B,"824-709000-300",Plan!s:s)</f>
        <v>0</v>
      </c>
      <c r="T374">
        <f>sumif(Plan!B:B,"824-709000-300",Plan!t:t)</f>
        <v>0</v>
      </c>
      <c r="U374">
        <f>sumif(Plan!B:B,"824-709000-300",Plan!u:u)</f>
        <v>0</v>
      </c>
      <c r="V374">
        <f>sumif(Plan!B:B,"824-709000-300",Plan!v:v)</f>
        <v>0</v>
      </c>
      <c r="W374">
        <f>sumif(Plan!B:B,"824-709000-300",Plan!w:w)</f>
        <v>0</v>
      </c>
      <c r="X374">
        <f>sumif(Plan!B:B,"824-709000-300",Plan!x:x)</f>
        <v>0</v>
      </c>
      <c r="Y374">
        <f>sumif(Plan!B:B,"824-709000-300",Plan!y:y)</f>
        <v>0</v>
      </c>
      <c r="Z374">
        <f>sumif(Plan!B:B,"824-709000-300",Plan!z:z)</f>
        <v>0</v>
      </c>
      <c r="AA374">
        <f>sumif(Plan!B:B,"824-709000-300",Plan!aa:aa)</f>
        <v>0</v>
      </c>
      <c r="AB374">
        <f>sumif(Plan!B:B,"824-709000-300",Plan!ab:ab)</f>
        <v>0</v>
      </c>
      <c r="AC374">
        <f>sumif(Plan!B:B,"824-709000-300",Plan!ac:ac)</f>
        <v>0</v>
      </c>
      <c r="AD374">
        <f>sumif(Plan!B:B,"824-709000-300",Plan!ad:ad)</f>
        <v>0</v>
      </c>
      <c r="AE374">
        <f>sumif(Plan!B:B,"824-709000-300",Plan!ae:ae)</f>
        <v>0</v>
      </c>
      <c r="AF374">
        <f>sumif(Plan!B:B,"824-709000-300",Plan!af:af)</f>
        <v>0</v>
      </c>
      <c r="AG374">
        <f>sumif(Plan!B:B,"824-709000-300",Plan!ag:ag)</f>
        <v>0</v>
      </c>
      <c r="AH374">
        <f>sumif(Plan!B:B,"824-709000-300",Plan!ah:ah)</f>
        <v>0</v>
      </c>
      <c r="AI374">
        <f>sumif(Plan!B:B,"824-709000-300",Plan!ai:ai)</f>
        <v>0</v>
      </c>
      <c r="AJ374">
        <f>sumif(Plan!B:B,"824-709000-300",Plan!aj:aj)</f>
        <v>0</v>
      </c>
      <c r="AK374">
        <f>sumif(Plan!B:B,"824-709000-300",Plan!ak:ak)</f>
        <v>0</v>
      </c>
      <c r="AL374">
        <f>sumif(Plan!B:B,"824-709000-300",Plan!al:al)</f>
        <v>0</v>
      </c>
      <c r="AM374">
        <f>sumif(Plan!B:B,"824-709000-300",Plan!am:am)</f>
        <v>0</v>
      </c>
      <c r="AN374">
        <f>sumif(Plan!B:B,"824-709000-300",Plan!an:an)</f>
        <v>0</v>
      </c>
      <c r="AO374">
        <f>sumif(Plan!B:B,"824-709000-300",Plan!ao:ao)</f>
        <v>0</v>
      </c>
    </row>
    <row r="375" spans="1:41">
      <c r="A375" t="s">
        <v>17</v>
      </c>
      <c r="B375" t="s">
        <v>254</v>
      </c>
      <c r="C375" t="s">
        <v>253</v>
      </c>
      <c r="E375">
        <v>1</v>
      </c>
      <c r="F375" t="s">
        <v>13</v>
      </c>
      <c r="H375" t="s">
        <v>16</v>
      </c>
      <c r="J375">
        <f>indirect(address(375,9))+indirect(address(373,10))-indirect(address(374,10))</f>
        <v>0</v>
      </c>
      <c r="K375">
        <f>indirect(address(375,10))+indirect(address(373,11))-indirect(address(374,11))</f>
        <v>0</v>
      </c>
      <c r="L375">
        <f>indirect(address(375,11))+indirect(address(373,12))-indirect(address(374,12))</f>
        <v>0</v>
      </c>
      <c r="M375">
        <f>indirect(address(375,12))+indirect(address(373,13))-indirect(address(374,13))</f>
        <v>0</v>
      </c>
      <c r="N375">
        <f>indirect(address(375,13))+indirect(address(373,14))-indirect(address(374,14))</f>
        <v>0</v>
      </c>
      <c r="O375">
        <f>indirect(address(375,14))+indirect(address(373,15))-indirect(address(374,15))</f>
        <v>0</v>
      </c>
      <c r="P375">
        <f>indirect(address(375,15))+indirect(address(373,16))-indirect(address(374,16))</f>
        <v>0</v>
      </c>
      <c r="Q375">
        <f>indirect(address(375,16))+indirect(address(373,17))-indirect(address(374,17))</f>
        <v>0</v>
      </c>
      <c r="R375">
        <f>indirect(address(375,17))+indirect(address(373,18))-indirect(address(374,18))</f>
        <v>0</v>
      </c>
      <c r="S375">
        <f>indirect(address(375,18))+indirect(address(373,19))-indirect(address(374,19))</f>
        <v>0</v>
      </c>
      <c r="T375">
        <f>indirect(address(375,19))+indirect(address(373,20))-indirect(address(374,20))</f>
        <v>0</v>
      </c>
      <c r="U375">
        <f>indirect(address(375,20))+indirect(address(373,21))-indirect(address(374,21))</f>
        <v>0</v>
      </c>
      <c r="V375">
        <f>indirect(address(375,21))+indirect(address(373,22))-indirect(address(374,22))</f>
        <v>0</v>
      </c>
      <c r="W375">
        <f>indirect(address(375,22))+indirect(address(373,23))-indirect(address(374,23))</f>
        <v>0</v>
      </c>
      <c r="X375">
        <f>indirect(address(375,23))+indirect(address(373,24))-indirect(address(374,24))</f>
        <v>0</v>
      </c>
      <c r="Y375">
        <f>indirect(address(375,24))+indirect(address(373,25))-indirect(address(374,25))</f>
        <v>0</v>
      </c>
      <c r="Z375">
        <f>indirect(address(375,25))+indirect(address(373,26))-indirect(address(374,26))</f>
        <v>0</v>
      </c>
      <c r="AA375">
        <f>indirect(address(375,26))+indirect(address(373,27))-indirect(address(374,27))</f>
        <v>0</v>
      </c>
      <c r="AB375">
        <f>indirect(address(375,27))+indirect(address(373,28))-indirect(address(374,28))</f>
        <v>0</v>
      </c>
      <c r="AC375">
        <f>indirect(address(375,28))+indirect(address(373,29))-indirect(address(374,29))</f>
        <v>0</v>
      </c>
      <c r="AD375">
        <f>indirect(address(375,29))+indirect(address(373,30))-indirect(address(374,30))</f>
        <v>0</v>
      </c>
      <c r="AE375">
        <f>indirect(address(375,30))+indirect(address(373,31))-indirect(address(374,31))</f>
        <v>0</v>
      </c>
      <c r="AF375">
        <f>indirect(address(375,31))+indirect(address(373,32))-indirect(address(374,32))</f>
        <v>0</v>
      </c>
      <c r="AG375">
        <f>indirect(address(375,32))+indirect(address(373,33))-indirect(address(374,33))</f>
        <v>0</v>
      </c>
      <c r="AH375">
        <f>indirect(address(375,33))+indirect(address(373,34))-indirect(address(374,34))</f>
        <v>0</v>
      </c>
      <c r="AI375">
        <f>indirect(address(375,34))+indirect(address(373,35))-indirect(address(374,35))</f>
        <v>0</v>
      </c>
      <c r="AJ375">
        <f>indirect(address(375,35))+indirect(address(373,36))-indirect(address(374,36))</f>
        <v>0</v>
      </c>
      <c r="AK375">
        <f>indirect(address(375,36))+indirect(address(373,37))-indirect(address(374,37))</f>
        <v>0</v>
      </c>
      <c r="AL375">
        <f>indirect(address(375,37))+indirect(address(373,38))-indirect(address(374,38))</f>
        <v>0</v>
      </c>
      <c r="AM375">
        <f>indirect(address(375,38))+indirect(address(373,39))-indirect(address(374,39))</f>
        <v>0</v>
      </c>
      <c r="AN375">
        <f>indirect(address(375,39))+indirect(address(373,40))-indirect(address(374,40))</f>
        <v>0</v>
      </c>
      <c r="AO375">
        <f>indirect(address(375,40))+indirect(address(373,41))-indirect(address(374,41))</f>
        <v>0</v>
      </c>
    </row>
    <row r="376" spans="1:41">
      <c r="I376" t="s">
        <v>14</v>
      </c>
      <c r="AO376">
        <f>sum(j376:an376)</f>
        <v>0</v>
      </c>
    </row>
    <row r="377" spans="1:41">
      <c r="I377" t="s">
        <v>15</v>
      </c>
      <c r="J377">
        <f>sumif(Plan!B:B,"824-709000-200",Plan!j:j)</f>
        <v>0</v>
      </c>
      <c r="K377">
        <f>sumif(Plan!B:B,"824-709000-200",Plan!k:k)</f>
        <v>0</v>
      </c>
      <c r="L377">
        <f>sumif(Plan!B:B,"824-709000-200",Plan!l:l)</f>
        <v>0</v>
      </c>
      <c r="M377">
        <f>sumif(Plan!B:B,"824-709000-200",Plan!m:m)</f>
        <v>0</v>
      </c>
      <c r="N377">
        <f>sumif(Plan!B:B,"824-709000-200",Plan!n:n)</f>
        <v>0</v>
      </c>
      <c r="O377">
        <f>sumif(Plan!B:B,"824-709000-200",Plan!o:o)</f>
        <v>0</v>
      </c>
      <c r="P377">
        <f>sumif(Plan!B:B,"824-709000-200",Plan!p:p)</f>
        <v>0</v>
      </c>
      <c r="Q377">
        <f>sumif(Plan!B:B,"824-709000-200",Plan!q:q)</f>
        <v>0</v>
      </c>
      <c r="R377">
        <f>sumif(Plan!B:B,"824-709000-200",Plan!r:r)</f>
        <v>0</v>
      </c>
      <c r="S377">
        <f>sumif(Plan!B:B,"824-709000-200",Plan!s:s)</f>
        <v>0</v>
      </c>
      <c r="T377">
        <f>sumif(Plan!B:B,"824-709000-200",Plan!t:t)</f>
        <v>0</v>
      </c>
      <c r="U377">
        <f>sumif(Plan!B:B,"824-709000-200",Plan!u:u)</f>
        <v>0</v>
      </c>
      <c r="V377">
        <f>sumif(Plan!B:B,"824-709000-200",Plan!v:v)</f>
        <v>0</v>
      </c>
      <c r="W377">
        <f>sumif(Plan!B:B,"824-709000-200",Plan!w:w)</f>
        <v>0</v>
      </c>
      <c r="X377">
        <f>sumif(Plan!B:B,"824-709000-200",Plan!x:x)</f>
        <v>0</v>
      </c>
      <c r="Y377">
        <f>sumif(Plan!B:B,"824-709000-200",Plan!y:y)</f>
        <v>0</v>
      </c>
      <c r="Z377">
        <f>sumif(Plan!B:B,"824-709000-200",Plan!z:z)</f>
        <v>0</v>
      </c>
      <c r="AA377">
        <f>sumif(Plan!B:B,"824-709000-200",Plan!aa:aa)</f>
        <v>0</v>
      </c>
      <c r="AB377">
        <f>sumif(Plan!B:B,"824-709000-200",Plan!ab:ab)</f>
        <v>0</v>
      </c>
      <c r="AC377">
        <f>sumif(Plan!B:B,"824-709000-200",Plan!ac:ac)</f>
        <v>0</v>
      </c>
      <c r="AD377">
        <f>sumif(Plan!B:B,"824-709000-200",Plan!ad:ad)</f>
        <v>0</v>
      </c>
      <c r="AE377">
        <f>sumif(Plan!B:B,"824-709000-200",Plan!ae:ae)</f>
        <v>0</v>
      </c>
      <c r="AF377">
        <f>sumif(Plan!B:B,"824-709000-200",Plan!af:af)</f>
        <v>0</v>
      </c>
      <c r="AG377">
        <f>sumif(Plan!B:B,"824-709000-200",Plan!ag:ag)</f>
        <v>0</v>
      </c>
      <c r="AH377">
        <f>sumif(Plan!B:B,"824-709000-200",Plan!ah:ah)</f>
        <v>0</v>
      </c>
      <c r="AI377">
        <f>sumif(Plan!B:B,"824-709000-200",Plan!ai:ai)</f>
        <v>0</v>
      </c>
      <c r="AJ377">
        <f>sumif(Plan!B:B,"824-709000-200",Plan!aj:aj)</f>
        <v>0</v>
      </c>
      <c r="AK377">
        <f>sumif(Plan!B:B,"824-709000-200",Plan!ak:ak)</f>
        <v>0</v>
      </c>
      <c r="AL377">
        <f>sumif(Plan!B:B,"824-709000-200",Plan!al:al)</f>
        <v>0</v>
      </c>
      <c r="AM377">
        <f>sumif(Plan!B:B,"824-709000-200",Plan!am:am)</f>
        <v>0</v>
      </c>
      <c r="AN377">
        <f>sumif(Plan!B:B,"824-709000-200",Plan!an:an)</f>
        <v>0</v>
      </c>
      <c r="AO377">
        <f>sumif(Plan!B:B,"824-709000-200",Plan!ao:ao)</f>
        <v>0</v>
      </c>
    </row>
    <row r="378" spans="1:41">
      <c r="A378" t="s">
        <v>17</v>
      </c>
      <c r="B378" t="s">
        <v>255</v>
      </c>
      <c r="C378" t="s">
        <v>253</v>
      </c>
      <c r="E378">
        <v>1</v>
      </c>
      <c r="F378" t="s">
        <v>13</v>
      </c>
      <c r="H378" t="s">
        <v>16</v>
      </c>
      <c r="J378">
        <f>indirect(address(378,9))+indirect(address(376,10))-indirect(address(377,10))</f>
        <v>0</v>
      </c>
      <c r="K378">
        <f>indirect(address(378,10))+indirect(address(376,11))-indirect(address(377,11))</f>
        <v>0</v>
      </c>
      <c r="L378">
        <f>indirect(address(378,11))+indirect(address(376,12))-indirect(address(377,12))</f>
        <v>0</v>
      </c>
      <c r="M378">
        <f>indirect(address(378,12))+indirect(address(376,13))-indirect(address(377,13))</f>
        <v>0</v>
      </c>
      <c r="N378">
        <f>indirect(address(378,13))+indirect(address(376,14))-indirect(address(377,14))</f>
        <v>0</v>
      </c>
      <c r="O378">
        <f>indirect(address(378,14))+indirect(address(376,15))-indirect(address(377,15))</f>
        <v>0</v>
      </c>
      <c r="P378">
        <f>indirect(address(378,15))+indirect(address(376,16))-indirect(address(377,16))</f>
        <v>0</v>
      </c>
      <c r="Q378">
        <f>indirect(address(378,16))+indirect(address(376,17))-indirect(address(377,17))</f>
        <v>0</v>
      </c>
      <c r="R378">
        <f>indirect(address(378,17))+indirect(address(376,18))-indirect(address(377,18))</f>
        <v>0</v>
      </c>
      <c r="S378">
        <f>indirect(address(378,18))+indirect(address(376,19))-indirect(address(377,19))</f>
        <v>0</v>
      </c>
      <c r="T378">
        <f>indirect(address(378,19))+indirect(address(376,20))-indirect(address(377,20))</f>
        <v>0</v>
      </c>
      <c r="U378">
        <f>indirect(address(378,20))+indirect(address(376,21))-indirect(address(377,21))</f>
        <v>0</v>
      </c>
      <c r="V378">
        <f>indirect(address(378,21))+indirect(address(376,22))-indirect(address(377,22))</f>
        <v>0</v>
      </c>
      <c r="W378">
        <f>indirect(address(378,22))+indirect(address(376,23))-indirect(address(377,23))</f>
        <v>0</v>
      </c>
      <c r="X378">
        <f>indirect(address(378,23))+indirect(address(376,24))-indirect(address(377,24))</f>
        <v>0</v>
      </c>
      <c r="Y378">
        <f>indirect(address(378,24))+indirect(address(376,25))-indirect(address(377,25))</f>
        <v>0</v>
      </c>
      <c r="Z378">
        <f>indirect(address(378,25))+indirect(address(376,26))-indirect(address(377,26))</f>
        <v>0</v>
      </c>
      <c r="AA378">
        <f>indirect(address(378,26))+indirect(address(376,27))-indirect(address(377,27))</f>
        <v>0</v>
      </c>
      <c r="AB378">
        <f>indirect(address(378,27))+indirect(address(376,28))-indirect(address(377,28))</f>
        <v>0</v>
      </c>
      <c r="AC378">
        <f>indirect(address(378,28))+indirect(address(376,29))-indirect(address(377,29))</f>
        <v>0</v>
      </c>
      <c r="AD378">
        <f>indirect(address(378,29))+indirect(address(376,30))-indirect(address(377,30))</f>
        <v>0</v>
      </c>
      <c r="AE378">
        <f>indirect(address(378,30))+indirect(address(376,31))-indirect(address(377,31))</f>
        <v>0</v>
      </c>
      <c r="AF378">
        <f>indirect(address(378,31))+indirect(address(376,32))-indirect(address(377,32))</f>
        <v>0</v>
      </c>
      <c r="AG378">
        <f>indirect(address(378,32))+indirect(address(376,33))-indirect(address(377,33))</f>
        <v>0</v>
      </c>
      <c r="AH378">
        <f>indirect(address(378,33))+indirect(address(376,34))-indirect(address(377,34))</f>
        <v>0</v>
      </c>
      <c r="AI378">
        <f>indirect(address(378,34))+indirect(address(376,35))-indirect(address(377,35))</f>
        <v>0</v>
      </c>
      <c r="AJ378">
        <f>indirect(address(378,35))+indirect(address(376,36))-indirect(address(377,36))</f>
        <v>0</v>
      </c>
      <c r="AK378">
        <f>indirect(address(378,36))+indirect(address(376,37))-indirect(address(377,37))</f>
        <v>0</v>
      </c>
      <c r="AL378">
        <f>indirect(address(378,37))+indirect(address(376,38))-indirect(address(377,38))</f>
        <v>0</v>
      </c>
      <c r="AM378">
        <f>indirect(address(378,38))+indirect(address(376,39))-indirect(address(377,39))</f>
        <v>0</v>
      </c>
      <c r="AN378">
        <f>indirect(address(378,39))+indirect(address(376,40))-indirect(address(377,40))</f>
        <v>0</v>
      </c>
      <c r="AO378">
        <f>indirect(address(378,40))+indirect(address(376,41))-indirect(address(377,41))</f>
        <v>0</v>
      </c>
    </row>
    <row r="379" spans="1:41">
      <c r="I379" t="s">
        <v>14</v>
      </c>
      <c r="AO379">
        <f>sum(j379:an379)</f>
        <v>0</v>
      </c>
    </row>
    <row r="380" spans="1:41">
      <c r="I380" t="s">
        <v>15</v>
      </c>
      <c r="J380">
        <f>sumif(Plan!B:B,"824-709000-400",Plan!j:j)</f>
        <v>0</v>
      </c>
      <c r="K380">
        <f>sumif(Plan!B:B,"824-709000-400",Plan!k:k)</f>
        <v>0</v>
      </c>
      <c r="L380">
        <f>sumif(Plan!B:B,"824-709000-400",Plan!l:l)</f>
        <v>0</v>
      </c>
      <c r="M380">
        <f>sumif(Plan!B:B,"824-709000-400",Plan!m:m)</f>
        <v>0</v>
      </c>
      <c r="N380">
        <f>sumif(Plan!B:B,"824-709000-400",Plan!n:n)</f>
        <v>0</v>
      </c>
      <c r="O380">
        <f>sumif(Plan!B:B,"824-709000-400",Plan!o:o)</f>
        <v>0</v>
      </c>
      <c r="P380">
        <f>sumif(Plan!B:B,"824-709000-400",Plan!p:p)</f>
        <v>0</v>
      </c>
      <c r="Q380">
        <f>sumif(Plan!B:B,"824-709000-400",Plan!q:q)</f>
        <v>0</v>
      </c>
      <c r="R380">
        <f>sumif(Plan!B:B,"824-709000-400",Plan!r:r)</f>
        <v>0</v>
      </c>
      <c r="S380">
        <f>sumif(Plan!B:B,"824-709000-400",Plan!s:s)</f>
        <v>0</v>
      </c>
      <c r="T380">
        <f>sumif(Plan!B:B,"824-709000-400",Plan!t:t)</f>
        <v>0</v>
      </c>
      <c r="U380">
        <f>sumif(Plan!B:B,"824-709000-400",Plan!u:u)</f>
        <v>0</v>
      </c>
      <c r="V380">
        <f>sumif(Plan!B:B,"824-709000-400",Plan!v:v)</f>
        <v>0</v>
      </c>
      <c r="W380">
        <f>sumif(Plan!B:B,"824-709000-400",Plan!w:w)</f>
        <v>0</v>
      </c>
      <c r="X380">
        <f>sumif(Plan!B:B,"824-709000-400",Plan!x:x)</f>
        <v>0</v>
      </c>
      <c r="Y380">
        <f>sumif(Plan!B:B,"824-709000-400",Plan!y:y)</f>
        <v>0</v>
      </c>
      <c r="Z380">
        <f>sumif(Plan!B:B,"824-709000-400",Plan!z:z)</f>
        <v>0</v>
      </c>
      <c r="AA380">
        <f>sumif(Plan!B:B,"824-709000-400",Plan!aa:aa)</f>
        <v>0</v>
      </c>
      <c r="AB380">
        <f>sumif(Plan!B:B,"824-709000-400",Plan!ab:ab)</f>
        <v>0</v>
      </c>
      <c r="AC380">
        <f>sumif(Plan!B:B,"824-709000-400",Plan!ac:ac)</f>
        <v>0</v>
      </c>
      <c r="AD380">
        <f>sumif(Plan!B:B,"824-709000-400",Plan!ad:ad)</f>
        <v>0</v>
      </c>
      <c r="AE380">
        <f>sumif(Plan!B:B,"824-709000-400",Plan!ae:ae)</f>
        <v>0</v>
      </c>
      <c r="AF380">
        <f>sumif(Plan!B:B,"824-709000-400",Plan!af:af)</f>
        <v>0</v>
      </c>
      <c r="AG380">
        <f>sumif(Plan!B:B,"824-709000-400",Plan!ag:ag)</f>
        <v>0</v>
      </c>
      <c r="AH380">
        <f>sumif(Plan!B:B,"824-709000-400",Plan!ah:ah)</f>
        <v>0</v>
      </c>
      <c r="AI380">
        <f>sumif(Plan!B:B,"824-709000-400",Plan!ai:ai)</f>
        <v>0</v>
      </c>
      <c r="AJ380">
        <f>sumif(Plan!B:B,"824-709000-400",Plan!aj:aj)</f>
        <v>0</v>
      </c>
      <c r="AK380">
        <f>sumif(Plan!B:B,"824-709000-400",Plan!ak:ak)</f>
        <v>0</v>
      </c>
      <c r="AL380">
        <f>sumif(Plan!B:B,"824-709000-400",Plan!al:al)</f>
        <v>0</v>
      </c>
      <c r="AM380">
        <f>sumif(Plan!B:B,"824-709000-400",Plan!am:am)</f>
        <v>0</v>
      </c>
      <c r="AN380">
        <f>sumif(Plan!B:B,"824-709000-400",Plan!an:an)</f>
        <v>0</v>
      </c>
      <c r="AO380">
        <f>sumif(Plan!B:B,"824-709000-400",Plan!ao:ao)</f>
        <v>0</v>
      </c>
    </row>
    <row r="381" spans="1:41">
      <c r="A381" t="s">
        <v>17</v>
      </c>
      <c r="B381" t="s">
        <v>256</v>
      </c>
      <c r="C381" t="s">
        <v>253</v>
      </c>
      <c r="E381">
        <v>1</v>
      </c>
      <c r="F381" t="s">
        <v>13</v>
      </c>
      <c r="H381" t="s">
        <v>16</v>
      </c>
      <c r="J381">
        <f>indirect(address(381,9))+indirect(address(379,10))-indirect(address(380,10))</f>
        <v>0</v>
      </c>
      <c r="K381">
        <f>indirect(address(381,10))+indirect(address(379,11))-indirect(address(380,11))</f>
        <v>0</v>
      </c>
      <c r="L381">
        <f>indirect(address(381,11))+indirect(address(379,12))-indirect(address(380,12))</f>
        <v>0</v>
      </c>
      <c r="M381">
        <f>indirect(address(381,12))+indirect(address(379,13))-indirect(address(380,13))</f>
        <v>0</v>
      </c>
      <c r="N381">
        <f>indirect(address(381,13))+indirect(address(379,14))-indirect(address(380,14))</f>
        <v>0</v>
      </c>
      <c r="O381">
        <f>indirect(address(381,14))+indirect(address(379,15))-indirect(address(380,15))</f>
        <v>0</v>
      </c>
      <c r="P381">
        <f>indirect(address(381,15))+indirect(address(379,16))-indirect(address(380,16))</f>
        <v>0</v>
      </c>
      <c r="Q381">
        <f>indirect(address(381,16))+indirect(address(379,17))-indirect(address(380,17))</f>
        <v>0</v>
      </c>
      <c r="R381">
        <f>indirect(address(381,17))+indirect(address(379,18))-indirect(address(380,18))</f>
        <v>0</v>
      </c>
      <c r="S381">
        <f>indirect(address(381,18))+indirect(address(379,19))-indirect(address(380,19))</f>
        <v>0</v>
      </c>
      <c r="T381">
        <f>indirect(address(381,19))+indirect(address(379,20))-indirect(address(380,20))</f>
        <v>0</v>
      </c>
      <c r="U381">
        <f>indirect(address(381,20))+indirect(address(379,21))-indirect(address(380,21))</f>
        <v>0</v>
      </c>
      <c r="V381">
        <f>indirect(address(381,21))+indirect(address(379,22))-indirect(address(380,22))</f>
        <v>0</v>
      </c>
      <c r="W381">
        <f>indirect(address(381,22))+indirect(address(379,23))-indirect(address(380,23))</f>
        <v>0</v>
      </c>
      <c r="X381">
        <f>indirect(address(381,23))+indirect(address(379,24))-indirect(address(380,24))</f>
        <v>0</v>
      </c>
      <c r="Y381">
        <f>indirect(address(381,24))+indirect(address(379,25))-indirect(address(380,25))</f>
        <v>0</v>
      </c>
      <c r="Z381">
        <f>indirect(address(381,25))+indirect(address(379,26))-indirect(address(380,26))</f>
        <v>0</v>
      </c>
      <c r="AA381">
        <f>indirect(address(381,26))+indirect(address(379,27))-indirect(address(380,27))</f>
        <v>0</v>
      </c>
      <c r="AB381">
        <f>indirect(address(381,27))+indirect(address(379,28))-indirect(address(380,28))</f>
        <v>0</v>
      </c>
      <c r="AC381">
        <f>indirect(address(381,28))+indirect(address(379,29))-indirect(address(380,29))</f>
        <v>0</v>
      </c>
      <c r="AD381">
        <f>indirect(address(381,29))+indirect(address(379,30))-indirect(address(380,30))</f>
        <v>0</v>
      </c>
      <c r="AE381">
        <f>indirect(address(381,30))+indirect(address(379,31))-indirect(address(380,31))</f>
        <v>0</v>
      </c>
      <c r="AF381">
        <f>indirect(address(381,31))+indirect(address(379,32))-indirect(address(380,32))</f>
        <v>0</v>
      </c>
      <c r="AG381">
        <f>indirect(address(381,32))+indirect(address(379,33))-indirect(address(380,33))</f>
        <v>0</v>
      </c>
      <c r="AH381">
        <f>indirect(address(381,33))+indirect(address(379,34))-indirect(address(380,34))</f>
        <v>0</v>
      </c>
      <c r="AI381">
        <f>indirect(address(381,34))+indirect(address(379,35))-indirect(address(380,35))</f>
        <v>0</v>
      </c>
      <c r="AJ381">
        <f>indirect(address(381,35))+indirect(address(379,36))-indirect(address(380,36))</f>
        <v>0</v>
      </c>
      <c r="AK381">
        <f>indirect(address(381,36))+indirect(address(379,37))-indirect(address(380,37))</f>
        <v>0</v>
      </c>
      <c r="AL381">
        <f>indirect(address(381,37))+indirect(address(379,38))-indirect(address(380,38))</f>
        <v>0</v>
      </c>
      <c r="AM381">
        <f>indirect(address(381,38))+indirect(address(379,39))-indirect(address(380,39))</f>
        <v>0</v>
      </c>
      <c r="AN381">
        <f>indirect(address(381,39))+indirect(address(379,40))-indirect(address(380,40))</f>
        <v>0</v>
      </c>
      <c r="AO381">
        <f>indirect(address(381,40))+indirect(address(379,41))-indirect(address(380,41))</f>
        <v>0</v>
      </c>
    </row>
    <row r="382" spans="1:41">
      <c r="I382" t="s">
        <v>14</v>
      </c>
      <c r="AO382">
        <f>sum(j382:an382)</f>
        <v>0</v>
      </c>
    </row>
    <row r="383" spans="1:41">
      <c r="I383" t="s">
        <v>15</v>
      </c>
      <c r="J383">
        <f>sumif(Plan!B:B,"824-710000-100",Plan!j:j)</f>
        <v>0</v>
      </c>
      <c r="K383">
        <f>sumif(Plan!B:B,"824-710000-100",Plan!k:k)</f>
        <v>0</v>
      </c>
      <c r="L383">
        <f>sumif(Plan!B:B,"824-710000-100",Plan!l:l)</f>
        <v>0</v>
      </c>
      <c r="M383">
        <f>sumif(Plan!B:B,"824-710000-100",Plan!m:m)</f>
        <v>0</v>
      </c>
      <c r="N383">
        <f>sumif(Plan!B:B,"824-710000-100",Plan!n:n)</f>
        <v>0</v>
      </c>
      <c r="O383">
        <f>sumif(Plan!B:B,"824-710000-100",Plan!o:o)</f>
        <v>0</v>
      </c>
      <c r="P383">
        <f>sumif(Plan!B:B,"824-710000-100",Plan!p:p)</f>
        <v>0</v>
      </c>
      <c r="Q383">
        <f>sumif(Plan!B:B,"824-710000-100",Plan!q:q)</f>
        <v>0</v>
      </c>
      <c r="R383">
        <f>sumif(Plan!B:B,"824-710000-100",Plan!r:r)</f>
        <v>0</v>
      </c>
      <c r="S383">
        <f>sumif(Plan!B:B,"824-710000-100",Plan!s:s)</f>
        <v>0</v>
      </c>
      <c r="T383">
        <f>sumif(Plan!B:B,"824-710000-100",Plan!t:t)</f>
        <v>0</v>
      </c>
      <c r="U383">
        <f>sumif(Plan!B:B,"824-710000-100",Plan!u:u)</f>
        <v>0</v>
      </c>
      <c r="V383">
        <f>sumif(Plan!B:B,"824-710000-100",Plan!v:v)</f>
        <v>0</v>
      </c>
      <c r="W383">
        <f>sumif(Plan!B:B,"824-710000-100",Plan!w:w)</f>
        <v>0</v>
      </c>
      <c r="X383">
        <f>sumif(Plan!B:B,"824-710000-100",Plan!x:x)</f>
        <v>0</v>
      </c>
      <c r="Y383">
        <f>sumif(Plan!B:B,"824-710000-100",Plan!y:y)</f>
        <v>0</v>
      </c>
      <c r="Z383">
        <f>sumif(Plan!B:B,"824-710000-100",Plan!z:z)</f>
        <v>0</v>
      </c>
      <c r="AA383">
        <f>sumif(Plan!B:B,"824-710000-100",Plan!aa:aa)</f>
        <v>0</v>
      </c>
      <c r="AB383">
        <f>sumif(Plan!B:B,"824-710000-100",Plan!ab:ab)</f>
        <v>0</v>
      </c>
      <c r="AC383">
        <f>sumif(Plan!B:B,"824-710000-100",Plan!ac:ac)</f>
        <v>0</v>
      </c>
      <c r="AD383">
        <f>sumif(Plan!B:B,"824-710000-100",Plan!ad:ad)</f>
        <v>0</v>
      </c>
      <c r="AE383">
        <f>sumif(Plan!B:B,"824-710000-100",Plan!ae:ae)</f>
        <v>0</v>
      </c>
      <c r="AF383">
        <f>sumif(Plan!B:B,"824-710000-100",Plan!af:af)</f>
        <v>0</v>
      </c>
      <c r="AG383">
        <f>sumif(Plan!B:B,"824-710000-100",Plan!ag:ag)</f>
        <v>0</v>
      </c>
      <c r="AH383">
        <f>sumif(Plan!B:B,"824-710000-100",Plan!ah:ah)</f>
        <v>0</v>
      </c>
      <c r="AI383">
        <f>sumif(Plan!B:B,"824-710000-100",Plan!ai:ai)</f>
        <v>0</v>
      </c>
      <c r="AJ383">
        <f>sumif(Plan!B:B,"824-710000-100",Plan!aj:aj)</f>
        <v>0</v>
      </c>
      <c r="AK383">
        <f>sumif(Plan!B:B,"824-710000-100",Plan!ak:ak)</f>
        <v>0</v>
      </c>
      <c r="AL383">
        <f>sumif(Plan!B:B,"824-710000-100",Plan!al:al)</f>
        <v>0</v>
      </c>
      <c r="AM383">
        <f>sumif(Plan!B:B,"824-710000-100",Plan!am:am)</f>
        <v>0</v>
      </c>
      <c r="AN383">
        <f>sumif(Plan!B:B,"824-710000-100",Plan!an:an)</f>
        <v>0</v>
      </c>
      <c r="AO383">
        <f>sumif(Plan!B:B,"824-710000-100",Plan!ao:ao)</f>
        <v>0</v>
      </c>
    </row>
    <row r="384" spans="1:41">
      <c r="A384" t="s">
        <v>17</v>
      </c>
      <c r="B384" t="s">
        <v>257</v>
      </c>
      <c r="C384" t="s">
        <v>258</v>
      </c>
      <c r="E384">
        <v>2</v>
      </c>
      <c r="F384" t="s">
        <v>13</v>
      </c>
      <c r="H384" t="s">
        <v>16</v>
      </c>
      <c r="J384">
        <f>indirect(address(384,9))+indirect(address(382,10))-indirect(address(383,10))</f>
        <v>0</v>
      </c>
      <c r="K384">
        <f>indirect(address(384,10))+indirect(address(382,11))-indirect(address(383,11))</f>
        <v>0</v>
      </c>
      <c r="L384">
        <f>indirect(address(384,11))+indirect(address(382,12))-indirect(address(383,12))</f>
        <v>0</v>
      </c>
      <c r="M384">
        <f>indirect(address(384,12))+indirect(address(382,13))-indirect(address(383,13))</f>
        <v>0</v>
      </c>
      <c r="N384">
        <f>indirect(address(384,13))+indirect(address(382,14))-indirect(address(383,14))</f>
        <v>0</v>
      </c>
      <c r="O384">
        <f>indirect(address(384,14))+indirect(address(382,15))-indirect(address(383,15))</f>
        <v>0</v>
      </c>
      <c r="P384">
        <f>indirect(address(384,15))+indirect(address(382,16))-indirect(address(383,16))</f>
        <v>0</v>
      </c>
      <c r="Q384">
        <f>indirect(address(384,16))+indirect(address(382,17))-indirect(address(383,17))</f>
        <v>0</v>
      </c>
      <c r="R384">
        <f>indirect(address(384,17))+indirect(address(382,18))-indirect(address(383,18))</f>
        <v>0</v>
      </c>
      <c r="S384">
        <f>indirect(address(384,18))+indirect(address(382,19))-indirect(address(383,19))</f>
        <v>0</v>
      </c>
      <c r="T384">
        <f>indirect(address(384,19))+indirect(address(382,20))-indirect(address(383,20))</f>
        <v>0</v>
      </c>
      <c r="U384">
        <f>indirect(address(384,20))+indirect(address(382,21))-indirect(address(383,21))</f>
        <v>0</v>
      </c>
      <c r="V384">
        <f>indirect(address(384,21))+indirect(address(382,22))-indirect(address(383,22))</f>
        <v>0</v>
      </c>
      <c r="W384">
        <f>indirect(address(384,22))+indirect(address(382,23))-indirect(address(383,23))</f>
        <v>0</v>
      </c>
      <c r="X384">
        <f>indirect(address(384,23))+indirect(address(382,24))-indirect(address(383,24))</f>
        <v>0</v>
      </c>
      <c r="Y384">
        <f>indirect(address(384,24))+indirect(address(382,25))-indirect(address(383,25))</f>
        <v>0</v>
      </c>
      <c r="Z384">
        <f>indirect(address(384,25))+indirect(address(382,26))-indirect(address(383,26))</f>
        <v>0</v>
      </c>
      <c r="AA384">
        <f>indirect(address(384,26))+indirect(address(382,27))-indirect(address(383,27))</f>
        <v>0</v>
      </c>
      <c r="AB384">
        <f>indirect(address(384,27))+indirect(address(382,28))-indirect(address(383,28))</f>
        <v>0</v>
      </c>
      <c r="AC384">
        <f>indirect(address(384,28))+indirect(address(382,29))-indirect(address(383,29))</f>
        <v>0</v>
      </c>
      <c r="AD384">
        <f>indirect(address(384,29))+indirect(address(382,30))-indirect(address(383,30))</f>
        <v>0</v>
      </c>
      <c r="AE384">
        <f>indirect(address(384,30))+indirect(address(382,31))-indirect(address(383,31))</f>
        <v>0</v>
      </c>
      <c r="AF384">
        <f>indirect(address(384,31))+indirect(address(382,32))-indirect(address(383,32))</f>
        <v>0</v>
      </c>
      <c r="AG384">
        <f>indirect(address(384,32))+indirect(address(382,33))-indirect(address(383,33))</f>
        <v>0</v>
      </c>
      <c r="AH384">
        <f>indirect(address(384,33))+indirect(address(382,34))-indirect(address(383,34))</f>
        <v>0</v>
      </c>
      <c r="AI384">
        <f>indirect(address(384,34))+indirect(address(382,35))-indirect(address(383,35))</f>
        <v>0</v>
      </c>
      <c r="AJ384">
        <f>indirect(address(384,35))+indirect(address(382,36))-indirect(address(383,36))</f>
        <v>0</v>
      </c>
      <c r="AK384">
        <f>indirect(address(384,36))+indirect(address(382,37))-indirect(address(383,37))</f>
        <v>0</v>
      </c>
      <c r="AL384">
        <f>indirect(address(384,37))+indirect(address(382,38))-indirect(address(383,38))</f>
        <v>0</v>
      </c>
      <c r="AM384">
        <f>indirect(address(384,38))+indirect(address(382,39))-indirect(address(383,39))</f>
        <v>0</v>
      </c>
      <c r="AN384">
        <f>indirect(address(384,39))+indirect(address(382,40))-indirect(address(383,40))</f>
        <v>0</v>
      </c>
      <c r="AO384">
        <f>indirect(address(384,40))+indirect(address(382,41))-indirect(address(383,41))</f>
        <v>0</v>
      </c>
    </row>
    <row r="385" spans="1:41">
      <c r="I385" t="s">
        <v>14</v>
      </c>
      <c r="AO385">
        <f>sum(j385:an385)</f>
        <v>0</v>
      </c>
    </row>
    <row r="386" spans="1:41">
      <c r="I386" t="s">
        <v>15</v>
      </c>
      <c r="J386">
        <f>sumif(Plan!B:B,"261-000000-030",Plan!j:j)</f>
        <v>0</v>
      </c>
      <c r="K386">
        <f>sumif(Plan!B:B,"261-000000-030",Plan!k:k)</f>
        <v>0</v>
      </c>
      <c r="L386">
        <f>sumif(Plan!B:B,"261-000000-030",Plan!l:l)</f>
        <v>0</v>
      </c>
      <c r="M386">
        <f>sumif(Plan!B:B,"261-000000-030",Plan!m:m)</f>
        <v>0</v>
      </c>
      <c r="N386">
        <f>sumif(Plan!B:B,"261-000000-030",Plan!n:n)</f>
        <v>0</v>
      </c>
      <c r="O386">
        <f>sumif(Plan!B:B,"261-000000-030",Plan!o:o)</f>
        <v>0</v>
      </c>
      <c r="P386">
        <f>sumif(Plan!B:B,"261-000000-030",Plan!p:p)</f>
        <v>0</v>
      </c>
      <c r="Q386">
        <f>sumif(Plan!B:B,"261-000000-030",Plan!q:q)</f>
        <v>0</v>
      </c>
      <c r="R386">
        <f>sumif(Plan!B:B,"261-000000-030",Plan!r:r)</f>
        <v>0</v>
      </c>
      <c r="S386">
        <f>sumif(Plan!B:B,"261-000000-030",Plan!s:s)</f>
        <v>0</v>
      </c>
      <c r="T386">
        <f>sumif(Plan!B:B,"261-000000-030",Plan!t:t)</f>
        <v>0</v>
      </c>
      <c r="U386">
        <f>sumif(Plan!B:B,"261-000000-030",Plan!u:u)</f>
        <v>0</v>
      </c>
      <c r="V386">
        <f>sumif(Plan!B:B,"261-000000-030",Plan!v:v)</f>
        <v>0</v>
      </c>
      <c r="W386">
        <f>sumif(Plan!B:B,"261-000000-030",Plan!w:w)</f>
        <v>0</v>
      </c>
      <c r="X386">
        <f>sumif(Plan!B:B,"261-000000-030",Plan!x:x)</f>
        <v>0</v>
      </c>
      <c r="Y386">
        <f>sumif(Plan!B:B,"261-000000-030",Plan!y:y)</f>
        <v>0</v>
      </c>
      <c r="Z386">
        <f>sumif(Plan!B:B,"261-000000-030",Plan!z:z)</f>
        <v>0</v>
      </c>
      <c r="AA386">
        <f>sumif(Plan!B:B,"261-000000-030",Plan!aa:aa)</f>
        <v>0</v>
      </c>
      <c r="AB386">
        <f>sumif(Plan!B:B,"261-000000-030",Plan!ab:ab)</f>
        <v>0</v>
      </c>
      <c r="AC386">
        <f>sumif(Plan!B:B,"261-000000-030",Plan!ac:ac)</f>
        <v>0</v>
      </c>
      <c r="AD386">
        <f>sumif(Plan!B:B,"261-000000-030",Plan!ad:ad)</f>
        <v>0</v>
      </c>
      <c r="AE386">
        <f>sumif(Plan!B:B,"261-000000-030",Plan!ae:ae)</f>
        <v>0</v>
      </c>
      <c r="AF386">
        <f>sumif(Plan!B:B,"261-000000-030",Plan!af:af)</f>
        <v>0</v>
      </c>
      <c r="AG386">
        <f>sumif(Plan!B:B,"261-000000-030",Plan!ag:ag)</f>
        <v>0</v>
      </c>
      <c r="AH386">
        <f>sumif(Plan!B:B,"261-000000-030",Plan!ah:ah)</f>
        <v>0</v>
      </c>
      <c r="AI386">
        <f>sumif(Plan!B:B,"261-000000-030",Plan!ai:ai)</f>
        <v>0</v>
      </c>
      <c r="AJ386">
        <f>sumif(Plan!B:B,"261-000000-030",Plan!aj:aj)</f>
        <v>0</v>
      </c>
      <c r="AK386">
        <f>sumif(Plan!B:B,"261-000000-030",Plan!ak:ak)</f>
        <v>0</v>
      </c>
      <c r="AL386">
        <f>sumif(Plan!B:B,"261-000000-030",Plan!al:al)</f>
        <v>0</v>
      </c>
      <c r="AM386">
        <f>sumif(Plan!B:B,"261-000000-030",Plan!am:am)</f>
        <v>0</v>
      </c>
      <c r="AN386">
        <f>sumif(Plan!B:B,"261-000000-030",Plan!an:an)</f>
        <v>0</v>
      </c>
      <c r="AO386">
        <f>sumif(Plan!B:B,"261-000000-030",Plan!ao:ao)</f>
        <v>0</v>
      </c>
    </row>
    <row r="387" spans="1:41">
      <c r="A387" t="s">
        <v>22</v>
      </c>
      <c r="B387" t="s">
        <v>259</v>
      </c>
      <c r="C387" t="s">
        <v>260</v>
      </c>
      <c r="E387">
        <v>8</v>
      </c>
      <c r="F387" t="s">
        <v>13</v>
      </c>
      <c r="H387" t="s">
        <v>16</v>
      </c>
      <c r="J387">
        <f>indirect(address(387,9))+indirect(address(385,10))-indirect(address(386,10))</f>
        <v>0</v>
      </c>
      <c r="K387">
        <f>indirect(address(387,10))+indirect(address(385,11))-indirect(address(386,11))</f>
        <v>0</v>
      </c>
      <c r="L387">
        <f>indirect(address(387,11))+indirect(address(385,12))-indirect(address(386,12))</f>
        <v>0</v>
      </c>
      <c r="M387">
        <f>indirect(address(387,12))+indirect(address(385,13))-indirect(address(386,13))</f>
        <v>0</v>
      </c>
      <c r="N387">
        <f>indirect(address(387,13))+indirect(address(385,14))-indirect(address(386,14))</f>
        <v>0</v>
      </c>
      <c r="O387">
        <f>indirect(address(387,14))+indirect(address(385,15))-indirect(address(386,15))</f>
        <v>0</v>
      </c>
      <c r="P387">
        <f>indirect(address(387,15))+indirect(address(385,16))-indirect(address(386,16))</f>
        <v>0</v>
      </c>
      <c r="Q387">
        <f>indirect(address(387,16))+indirect(address(385,17))-indirect(address(386,17))</f>
        <v>0</v>
      </c>
      <c r="R387">
        <f>indirect(address(387,17))+indirect(address(385,18))-indirect(address(386,18))</f>
        <v>0</v>
      </c>
      <c r="S387">
        <f>indirect(address(387,18))+indirect(address(385,19))-indirect(address(386,19))</f>
        <v>0</v>
      </c>
      <c r="T387">
        <f>indirect(address(387,19))+indirect(address(385,20))-indirect(address(386,20))</f>
        <v>0</v>
      </c>
      <c r="U387">
        <f>indirect(address(387,20))+indirect(address(385,21))-indirect(address(386,21))</f>
        <v>0</v>
      </c>
      <c r="V387">
        <f>indirect(address(387,21))+indirect(address(385,22))-indirect(address(386,22))</f>
        <v>0</v>
      </c>
      <c r="W387">
        <f>indirect(address(387,22))+indirect(address(385,23))-indirect(address(386,23))</f>
        <v>0</v>
      </c>
      <c r="X387">
        <f>indirect(address(387,23))+indirect(address(385,24))-indirect(address(386,24))</f>
        <v>0</v>
      </c>
      <c r="Y387">
        <f>indirect(address(387,24))+indirect(address(385,25))-indirect(address(386,25))</f>
        <v>0</v>
      </c>
      <c r="Z387">
        <f>indirect(address(387,25))+indirect(address(385,26))-indirect(address(386,26))</f>
        <v>0</v>
      </c>
      <c r="AA387">
        <f>indirect(address(387,26))+indirect(address(385,27))-indirect(address(386,27))</f>
        <v>0</v>
      </c>
      <c r="AB387">
        <f>indirect(address(387,27))+indirect(address(385,28))-indirect(address(386,28))</f>
        <v>0</v>
      </c>
      <c r="AC387">
        <f>indirect(address(387,28))+indirect(address(385,29))-indirect(address(386,29))</f>
        <v>0</v>
      </c>
      <c r="AD387">
        <f>indirect(address(387,29))+indirect(address(385,30))-indirect(address(386,30))</f>
        <v>0</v>
      </c>
      <c r="AE387">
        <f>indirect(address(387,30))+indirect(address(385,31))-indirect(address(386,31))</f>
        <v>0</v>
      </c>
      <c r="AF387">
        <f>indirect(address(387,31))+indirect(address(385,32))-indirect(address(386,32))</f>
        <v>0</v>
      </c>
      <c r="AG387">
        <f>indirect(address(387,32))+indirect(address(385,33))-indirect(address(386,33))</f>
        <v>0</v>
      </c>
      <c r="AH387">
        <f>indirect(address(387,33))+indirect(address(385,34))-indirect(address(386,34))</f>
        <v>0</v>
      </c>
      <c r="AI387">
        <f>indirect(address(387,34))+indirect(address(385,35))-indirect(address(386,35))</f>
        <v>0</v>
      </c>
      <c r="AJ387">
        <f>indirect(address(387,35))+indirect(address(385,36))-indirect(address(386,36))</f>
        <v>0</v>
      </c>
      <c r="AK387">
        <f>indirect(address(387,36))+indirect(address(385,37))-indirect(address(386,37))</f>
        <v>0</v>
      </c>
      <c r="AL387">
        <f>indirect(address(387,37))+indirect(address(385,38))-indirect(address(386,38))</f>
        <v>0</v>
      </c>
      <c r="AM387">
        <f>indirect(address(387,38))+indirect(address(385,39))-indirect(address(386,39))</f>
        <v>0</v>
      </c>
      <c r="AN387">
        <f>indirect(address(387,39))+indirect(address(385,40))-indirect(address(386,40))</f>
        <v>0</v>
      </c>
      <c r="AO387">
        <f>indirect(address(387,40))+indirect(address(385,41))-indirect(address(386,41))</f>
        <v>0</v>
      </c>
    </row>
    <row r="388" spans="1:41">
      <c r="I388" t="s">
        <v>14</v>
      </c>
      <c r="AO388">
        <f>sum(j388:an388)</f>
        <v>0</v>
      </c>
    </row>
    <row r="389" spans="1:41">
      <c r="I389" t="s">
        <v>15</v>
      </c>
      <c r="J389">
        <f>sumif(Plan!B:B,"262-000000-028",Plan!j:j)</f>
        <v>0</v>
      </c>
      <c r="K389">
        <f>sumif(Plan!B:B,"262-000000-028",Plan!k:k)</f>
        <v>0</v>
      </c>
      <c r="L389">
        <f>sumif(Plan!B:B,"262-000000-028",Plan!l:l)</f>
        <v>0</v>
      </c>
      <c r="M389">
        <f>sumif(Plan!B:B,"262-000000-028",Plan!m:m)</f>
        <v>0</v>
      </c>
      <c r="N389">
        <f>sumif(Plan!B:B,"262-000000-028",Plan!n:n)</f>
        <v>0</v>
      </c>
      <c r="O389">
        <f>sumif(Plan!B:B,"262-000000-028",Plan!o:o)</f>
        <v>0</v>
      </c>
      <c r="P389">
        <f>sumif(Plan!B:B,"262-000000-028",Plan!p:p)</f>
        <v>0</v>
      </c>
      <c r="Q389">
        <f>sumif(Plan!B:B,"262-000000-028",Plan!q:q)</f>
        <v>0</v>
      </c>
      <c r="R389">
        <f>sumif(Plan!B:B,"262-000000-028",Plan!r:r)</f>
        <v>0</v>
      </c>
      <c r="S389">
        <f>sumif(Plan!B:B,"262-000000-028",Plan!s:s)</f>
        <v>0</v>
      </c>
      <c r="T389">
        <f>sumif(Plan!B:B,"262-000000-028",Plan!t:t)</f>
        <v>0</v>
      </c>
      <c r="U389">
        <f>sumif(Plan!B:B,"262-000000-028",Plan!u:u)</f>
        <v>0</v>
      </c>
      <c r="V389">
        <f>sumif(Plan!B:B,"262-000000-028",Plan!v:v)</f>
        <v>0</v>
      </c>
      <c r="W389">
        <f>sumif(Plan!B:B,"262-000000-028",Plan!w:w)</f>
        <v>0</v>
      </c>
      <c r="X389">
        <f>sumif(Plan!B:B,"262-000000-028",Plan!x:x)</f>
        <v>0</v>
      </c>
      <c r="Y389">
        <f>sumif(Plan!B:B,"262-000000-028",Plan!y:y)</f>
        <v>0</v>
      </c>
      <c r="Z389">
        <f>sumif(Plan!B:B,"262-000000-028",Plan!z:z)</f>
        <v>0</v>
      </c>
      <c r="AA389">
        <f>sumif(Plan!B:B,"262-000000-028",Plan!aa:aa)</f>
        <v>0</v>
      </c>
      <c r="AB389">
        <f>sumif(Plan!B:B,"262-000000-028",Plan!ab:ab)</f>
        <v>0</v>
      </c>
      <c r="AC389">
        <f>sumif(Plan!B:B,"262-000000-028",Plan!ac:ac)</f>
        <v>0</v>
      </c>
      <c r="AD389">
        <f>sumif(Plan!B:B,"262-000000-028",Plan!ad:ad)</f>
        <v>0</v>
      </c>
      <c r="AE389">
        <f>sumif(Plan!B:B,"262-000000-028",Plan!ae:ae)</f>
        <v>0</v>
      </c>
      <c r="AF389">
        <f>sumif(Plan!B:B,"262-000000-028",Plan!af:af)</f>
        <v>0</v>
      </c>
      <c r="AG389">
        <f>sumif(Plan!B:B,"262-000000-028",Plan!ag:ag)</f>
        <v>0</v>
      </c>
      <c r="AH389">
        <f>sumif(Plan!B:B,"262-000000-028",Plan!ah:ah)</f>
        <v>0</v>
      </c>
      <c r="AI389">
        <f>sumif(Plan!B:B,"262-000000-028",Plan!ai:ai)</f>
        <v>0</v>
      </c>
      <c r="AJ389">
        <f>sumif(Plan!B:B,"262-000000-028",Plan!aj:aj)</f>
        <v>0</v>
      </c>
      <c r="AK389">
        <f>sumif(Plan!B:B,"262-000000-028",Plan!ak:ak)</f>
        <v>0</v>
      </c>
      <c r="AL389">
        <f>sumif(Plan!B:B,"262-000000-028",Plan!al:al)</f>
        <v>0</v>
      </c>
      <c r="AM389">
        <f>sumif(Plan!B:B,"262-000000-028",Plan!am:am)</f>
        <v>0</v>
      </c>
      <c r="AN389">
        <f>sumif(Plan!B:B,"262-000000-028",Plan!an:an)</f>
        <v>0</v>
      </c>
      <c r="AO389">
        <f>sumif(Plan!B:B,"262-000000-028",Plan!ao:ao)</f>
        <v>0</v>
      </c>
    </row>
    <row r="390" spans="1:41">
      <c r="A390" t="s">
        <v>22</v>
      </c>
      <c r="B390" t="s">
        <v>261</v>
      </c>
      <c r="C390" t="s">
        <v>262</v>
      </c>
      <c r="E390">
        <v>2</v>
      </c>
      <c r="F390" t="s">
        <v>13</v>
      </c>
      <c r="H390" t="s">
        <v>16</v>
      </c>
      <c r="J390">
        <f>indirect(address(390,9))+indirect(address(388,10))-indirect(address(389,10))</f>
        <v>0</v>
      </c>
      <c r="K390">
        <f>indirect(address(390,10))+indirect(address(388,11))-indirect(address(389,11))</f>
        <v>0</v>
      </c>
      <c r="L390">
        <f>indirect(address(390,11))+indirect(address(388,12))-indirect(address(389,12))</f>
        <v>0</v>
      </c>
      <c r="M390">
        <f>indirect(address(390,12))+indirect(address(388,13))-indirect(address(389,13))</f>
        <v>0</v>
      </c>
      <c r="N390">
        <f>indirect(address(390,13))+indirect(address(388,14))-indirect(address(389,14))</f>
        <v>0</v>
      </c>
      <c r="O390">
        <f>indirect(address(390,14))+indirect(address(388,15))-indirect(address(389,15))</f>
        <v>0</v>
      </c>
      <c r="P390">
        <f>indirect(address(390,15))+indirect(address(388,16))-indirect(address(389,16))</f>
        <v>0</v>
      </c>
      <c r="Q390">
        <f>indirect(address(390,16))+indirect(address(388,17))-indirect(address(389,17))</f>
        <v>0</v>
      </c>
      <c r="R390">
        <f>indirect(address(390,17))+indirect(address(388,18))-indirect(address(389,18))</f>
        <v>0</v>
      </c>
      <c r="S390">
        <f>indirect(address(390,18))+indirect(address(388,19))-indirect(address(389,19))</f>
        <v>0</v>
      </c>
      <c r="T390">
        <f>indirect(address(390,19))+indirect(address(388,20))-indirect(address(389,20))</f>
        <v>0</v>
      </c>
      <c r="U390">
        <f>indirect(address(390,20))+indirect(address(388,21))-indirect(address(389,21))</f>
        <v>0</v>
      </c>
      <c r="V390">
        <f>indirect(address(390,21))+indirect(address(388,22))-indirect(address(389,22))</f>
        <v>0</v>
      </c>
      <c r="W390">
        <f>indirect(address(390,22))+indirect(address(388,23))-indirect(address(389,23))</f>
        <v>0</v>
      </c>
      <c r="X390">
        <f>indirect(address(390,23))+indirect(address(388,24))-indirect(address(389,24))</f>
        <v>0</v>
      </c>
      <c r="Y390">
        <f>indirect(address(390,24))+indirect(address(388,25))-indirect(address(389,25))</f>
        <v>0</v>
      </c>
      <c r="Z390">
        <f>indirect(address(390,25))+indirect(address(388,26))-indirect(address(389,26))</f>
        <v>0</v>
      </c>
      <c r="AA390">
        <f>indirect(address(390,26))+indirect(address(388,27))-indirect(address(389,27))</f>
        <v>0</v>
      </c>
      <c r="AB390">
        <f>indirect(address(390,27))+indirect(address(388,28))-indirect(address(389,28))</f>
        <v>0</v>
      </c>
      <c r="AC390">
        <f>indirect(address(390,28))+indirect(address(388,29))-indirect(address(389,29))</f>
        <v>0</v>
      </c>
      <c r="AD390">
        <f>indirect(address(390,29))+indirect(address(388,30))-indirect(address(389,30))</f>
        <v>0</v>
      </c>
      <c r="AE390">
        <f>indirect(address(390,30))+indirect(address(388,31))-indirect(address(389,31))</f>
        <v>0</v>
      </c>
      <c r="AF390">
        <f>indirect(address(390,31))+indirect(address(388,32))-indirect(address(389,32))</f>
        <v>0</v>
      </c>
      <c r="AG390">
        <f>indirect(address(390,32))+indirect(address(388,33))-indirect(address(389,33))</f>
        <v>0</v>
      </c>
      <c r="AH390">
        <f>indirect(address(390,33))+indirect(address(388,34))-indirect(address(389,34))</f>
        <v>0</v>
      </c>
      <c r="AI390">
        <f>indirect(address(390,34))+indirect(address(388,35))-indirect(address(389,35))</f>
        <v>0</v>
      </c>
      <c r="AJ390">
        <f>indirect(address(390,35))+indirect(address(388,36))-indirect(address(389,36))</f>
        <v>0</v>
      </c>
      <c r="AK390">
        <f>indirect(address(390,36))+indirect(address(388,37))-indirect(address(389,37))</f>
        <v>0</v>
      </c>
      <c r="AL390">
        <f>indirect(address(390,37))+indirect(address(388,38))-indirect(address(389,38))</f>
        <v>0</v>
      </c>
      <c r="AM390">
        <f>indirect(address(390,38))+indirect(address(388,39))-indirect(address(389,39))</f>
        <v>0</v>
      </c>
      <c r="AN390">
        <f>indirect(address(390,39))+indirect(address(388,40))-indirect(address(389,40))</f>
        <v>0</v>
      </c>
      <c r="AO390">
        <f>indirect(address(390,40))+indirect(address(388,41))-indirect(address(389,41))</f>
        <v>0</v>
      </c>
    </row>
    <row r="391" spans="1:41">
      <c r="I391" t="s">
        <v>14</v>
      </c>
      <c r="AO391">
        <f>sum(j391:an391)</f>
        <v>0</v>
      </c>
    </row>
    <row r="392" spans="1:41">
      <c r="I392" t="s">
        <v>15</v>
      </c>
      <c r="J392">
        <f>sumif(Plan!B:B,"263-000000-015",Plan!j:j)</f>
        <v>0</v>
      </c>
      <c r="K392">
        <f>sumif(Plan!B:B,"263-000000-015",Plan!k:k)</f>
        <v>0</v>
      </c>
      <c r="L392">
        <f>sumif(Plan!B:B,"263-000000-015",Plan!l:l)</f>
        <v>0</v>
      </c>
      <c r="M392">
        <f>sumif(Plan!B:B,"263-000000-015",Plan!m:m)</f>
        <v>0</v>
      </c>
      <c r="N392">
        <f>sumif(Plan!B:B,"263-000000-015",Plan!n:n)</f>
        <v>0</v>
      </c>
      <c r="O392">
        <f>sumif(Plan!B:B,"263-000000-015",Plan!o:o)</f>
        <v>0</v>
      </c>
      <c r="P392">
        <f>sumif(Plan!B:B,"263-000000-015",Plan!p:p)</f>
        <v>0</v>
      </c>
      <c r="Q392">
        <f>sumif(Plan!B:B,"263-000000-015",Plan!q:q)</f>
        <v>0</v>
      </c>
      <c r="R392">
        <f>sumif(Plan!B:B,"263-000000-015",Plan!r:r)</f>
        <v>0</v>
      </c>
      <c r="S392">
        <f>sumif(Plan!B:B,"263-000000-015",Plan!s:s)</f>
        <v>0</v>
      </c>
      <c r="T392">
        <f>sumif(Plan!B:B,"263-000000-015",Plan!t:t)</f>
        <v>0</v>
      </c>
      <c r="U392">
        <f>sumif(Plan!B:B,"263-000000-015",Plan!u:u)</f>
        <v>0</v>
      </c>
      <c r="V392">
        <f>sumif(Plan!B:B,"263-000000-015",Plan!v:v)</f>
        <v>0</v>
      </c>
      <c r="W392">
        <f>sumif(Plan!B:B,"263-000000-015",Plan!w:w)</f>
        <v>0</v>
      </c>
      <c r="X392">
        <f>sumif(Plan!B:B,"263-000000-015",Plan!x:x)</f>
        <v>0</v>
      </c>
      <c r="Y392">
        <f>sumif(Plan!B:B,"263-000000-015",Plan!y:y)</f>
        <v>0</v>
      </c>
      <c r="Z392">
        <f>sumif(Plan!B:B,"263-000000-015",Plan!z:z)</f>
        <v>0</v>
      </c>
      <c r="AA392">
        <f>sumif(Plan!B:B,"263-000000-015",Plan!aa:aa)</f>
        <v>0</v>
      </c>
      <c r="AB392">
        <f>sumif(Plan!B:B,"263-000000-015",Plan!ab:ab)</f>
        <v>0</v>
      </c>
      <c r="AC392">
        <f>sumif(Plan!B:B,"263-000000-015",Plan!ac:ac)</f>
        <v>0</v>
      </c>
      <c r="AD392">
        <f>sumif(Plan!B:B,"263-000000-015",Plan!ad:ad)</f>
        <v>0</v>
      </c>
      <c r="AE392">
        <f>sumif(Plan!B:B,"263-000000-015",Plan!ae:ae)</f>
        <v>0</v>
      </c>
      <c r="AF392">
        <f>sumif(Plan!B:B,"263-000000-015",Plan!af:af)</f>
        <v>0</v>
      </c>
      <c r="AG392">
        <f>sumif(Plan!B:B,"263-000000-015",Plan!ag:ag)</f>
        <v>0</v>
      </c>
      <c r="AH392">
        <f>sumif(Plan!B:B,"263-000000-015",Plan!ah:ah)</f>
        <v>0</v>
      </c>
      <c r="AI392">
        <f>sumif(Plan!B:B,"263-000000-015",Plan!ai:ai)</f>
        <v>0</v>
      </c>
      <c r="AJ392">
        <f>sumif(Plan!B:B,"263-000000-015",Plan!aj:aj)</f>
        <v>0</v>
      </c>
      <c r="AK392">
        <f>sumif(Plan!B:B,"263-000000-015",Plan!ak:ak)</f>
        <v>0</v>
      </c>
      <c r="AL392">
        <f>sumif(Plan!B:B,"263-000000-015",Plan!al:al)</f>
        <v>0</v>
      </c>
      <c r="AM392">
        <f>sumif(Plan!B:B,"263-000000-015",Plan!am:am)</f>
        <v>0</v>
      </c>
      <c r="AN392">
        <f>sumif(Plan!B:B,"263-000000-015",Plan!an:an)</f>
        <v>0</v>
      </c>
      <c r="AO392">
        <f>sumif(Plan!B:B,"263-000000-015",Plan!ao:ao)</f>
        <v>0</v>
      </c>
    </row>
    <row r="393" spans="1:41">
      <c r="A393" t="s">
        <v>22</v>
      </c>
      <c r="B393" t="s">
        <v>191</v>
      </c>
      <c r="C393" t="s">
        <v>192</v>
      </c>
      <c r="E393">
        <v>12</v>
      </c>
      <c r="F393" t="s">
        <v>13</v>
      </c>
      <c r="H393" t="s">
        <v>16</v>
      </c>
      <c r="J393">
        <f>indirect(address(393,9))+indirect(address(391,10))-indirect(address(392,10))</f>
        <v>0</v>
      </c>
      <c r="K393">
        <f>indirect(address(393,10))+indirect(address(391,11))-indirect(address(392,11))</f>
        <v>0</v>
      </c>
      <c r="L393">
        <f>indirect(address(393,11))+indirect(address(391,12))-indirect(address(392,12))</f>
        <v>0</v>
      </c>
      <c r="M393">
        <f>indirect(address(393,12))+indirect(address(391,13))-indirect(address(392,13))</f>
        <v>0</v>
      </c>
      <c r="N393">
        <f>indirect(address(393,13))+indirect(address(391,14))-indirect(address(392,14))</f>
        <v>0</v>
      </c>
      <c r="O393">
        <f>indirect(address(393,14))+indirect(address(391,15))-indirect(address(392,15))</f>
        <v>0</v>
      </c>
      <c r="P393">
        <f>indirect(address(393,15))+indirect(address(391,16))-indirect(address(392,16))</f>
        <v>0</v>
      </c>
      <c r="Q393">
        <f>indirect(address(393,16))+indirect(address(391,17))-indirect(address(392,17))</f>
        <v>0</v>
      </c>
      <c r="R393">
        <f>indirect(address(393,17))+indirect(address(391,18))-indirect(address(392,18))</f>
        <v>0</v>
      </c>
      <c r="S393">
        <f>indirect(address(393,18))+indirect(address(391,19))-indirect(address(392,19))</f>
        <v>0</v>
      </c>
      <c r="T393">
        <f>indirect(address(393,19))+indirect(address(391,20))-indirect(address(392,20))</f>
        <v>0</v>
      </c>
      <c r="U393">
        <f>indirect(address(393,20))+indirect(address(391,21))-indirect(address(392,21))</f>
        <v>0</v>
      </c>
      <c r="V393">
        <f>indirect(address(393,21))+indirect(address(391,22))-indirect(address(392,22))</f>
        <v>0</v>
      </c>
      <c r="W393">
        <f>indirect(address(393,22))+indirect(address(391,23))-indirect(address(392,23))</f>
        <v>0</v>
      </c>
      <c r="X393">
        <f>indirect(address(393,23))+indirect(address(391,24))-indirect(address(392,24))</f>
        <v>0</v>
      </c>
      <c r="Y393">
        <f>indirect(address(393,24))+indirect(address(391,25))-indirect(address(392,25))</f>
        <v>0</v>
      </c>
      <c r="Z393">
        <f>indirect(address(393,25))+indirect(address(391,26))-indirect(address(392,26))</f>
        <v>0</v>
      </c>
      <c r="AA393">
        <f>indirect(address(393,26))+indirect(address(391,27))-indirect(address(392,27))</f>
        <v>0</v>
      </c>
      <c r="AB393">
        <f>indirect(address(393,27))+indirect(address(391,28))-indirect(address(392,28))</f>
        <v>0</v>
      </c>
      <c r="AC393">
        <f>indirect(address(393,28))+indirect(address(391,29))-indirect(address(392,29))</f>
        <v>0</v>
      </c>
      <c r="AD393">
        <f>indirect(address(393,29))+indirect(address(391,30))-indirect(address(392,30))</f>
        <v>0</v>
      </c>
      <c r="AE393">
        <f>indirect(address(393,30))+indirect(address(391,31))-indirect(address(392,31))</f>
        <v>0</v>
      </c>
      <c r="AF393">
        <f>indirect(address(393,31))+indirect(address(391,32))-indirect(address(392,32))</f>
        <v>0</v>
      </c>
      <c r="AG393">
        <f>indirect(address(393,32))+indirect(address(391,33))-indirect(address(392,33))</f>
        <v>0</v>
      </c>
      <c r="AH393">
        <f>indirect(address(393,33))+indirect(address(391,34))-indirect(address(392,34))</f>
        <v>0</v>
      </c>
      <c r="AI393">
        <f>indirect(address(393,34))+indirect(address(391,35))-indirect(address(392,35))</f>
        <v>0</v>
      </c>
      <c r="AJ393">
        <f>indirect(address(393,35))+indirect(address(391,36))-indirect(address(392,36))</f>
        <v>0</v>
      </c>
      <c r="AK393">
        <f>indirect(address(393,36))+indirect(address(391,37))-indirect(address(392,37))</f>
        <v>0</v>
      </c>
      <c r="AL393">
        <f>indirect(address(393,37))+indirect(address(391,38))-indirect(address(392,38))</f>
        <v>0</v>
      </c>
      <c r="AM393">
        <f>indirect(address(393,38))+indirect(address(391,39))-indirect(address(392,39))</f>
        <v>0</v>
      </c>
      <c r="AN393">
        <f>indirect(address(393,39))+indirect(address(391,40))-indirect(address(392,40))</f>
        <v>0</v>
      </c>
      <c r="AO393">
        <f>indirect(address(393,40))+indirect(address(391,41))-indirect(address(392,41))</f>
        <v>0</v>
      </c>
    </row>
    <row r="394" spans="1:41">
      <c r="I394" t="s">
        <v>14</v>
      </c>
      <c r="AO394">
        <f>sum(j394:an394)</f>
        <v>0</v>
      </c>
    </row>
    <row r="395" spans="1:41">
      <c r="I395" t="s">
        <v>15</v>
      </c>
      <c r="J395">
        <f>sumif(Plan!B:B,"261-000000-069",Plan!j:j)</f>
        <v>0</v>
      </c>
      <c r="K395">
        <f>sumif(Plan!B:B,"261-000000-069",Plan!k:k)</f>
        <v>0</v>
      </c>
      <c r="L395">
        <f>sumif(Plan!B:B,"261-000000-069",Plan!l:l)</f>
        <v>0</v>
      </c>
      <c r="M395">
        <f>sumif(Plan!B:B,"261-000000-069",Plan!m:m)</f>
        <v>0</v>
      </c>
      <c r="N395">
        <f>sumif(Plan!B:B,"261-000000-069",Plan!n:n)</f>
        <v>0</v>
      </c>
      <c r="O395">
        <f>sumif(Plan!B:B,"261-000000-069",Plan!o:o)</f>
        <v>0</v>
      </c>
      <c r="P395">
        <f>sumif(Plan!B:B,"261-000000-069",Plan!p:p)</f>
        <v>0</v>
      </c>
      <c r="Q395">
        <f>sumif(Plan!B:B,"261-000000-069",Plan!q:q)</f>
        <v>0</v>
      </c>
      <c r="R395">
        <f>sumif(Plan!B:B,"261-000000-069",Plan!r:r)</f>
        <v>0</v>
      </c>
      <c r="S395">
        <f>sumif(Plan!B:B,"261-000000-069",Plan!s:s)</f>
        <v>0</v>
      </c>
      <c r="T395">
        <f>sumif(Plan!B:B,"261-000000-069",Plan!t:t)</f>
        <v>0</v>
      </c>
      <c r="U395">
        <f>sumif(Plan!B:B,"261-000000-069",Plan!u:u)</f>
        <v>0</v>
      </c>
      <c r="V395">
        <f>sumif(Plan!B:B,"261-000000-069",Plan!v:v)</f>
        <v>0</v>
      </c>
      <c r="W395">
        <f>sumif(Plan!B:B,"261-000000-069",Plan!w:w)</f>
        <v>0</v>
      </c>
      <c r="X395">
        <f>sumif(Plan!B:B,"261-000000-069",Plan!x:x)</f>
        <v>0</v>
      </c>
      <c r="Y395">
        <f>sumif(Plan!B:B,"261-000000-069",Plan!y:y)</f>
        <v>0</v>
      </c>
      <c r="Z395">
        <f>sumif(Plan!B:B,"261-000000-069",Plan!z:z)</f>
        <v>0</v>
      </c>
      <c r="AA395">
        <f>sumif(Plan!B:B,"261-000000-069",Plan!aa:aa)</f>
        <v>0</v>
      </c>
      <c r="AB395">
        <f>sumif(Plan!B:B,"261-000000-069",Plan!ab:ab)</f>
        <v>0</v>
      </c>
      <c r="AC395">
        <f>sumif(Plan!B:B,"261-000000-069",Plan!ac:ac)</f>
        <v>0</v>
      </c>
      <c r="AD395">
        <f>sumif(Plan!B:B,"261-000000-069",Plan!ad:ad)</f>
        <v>0</v>
      </c>
      <c r="AE395">
        <f>sumif(Plan!B:B,"261-000000-069",Plan!ae:ae)</f>
        <v>0</v>
      </c>
      <c r="AF395">
        <f>sumif(Plan!B:B,"261-000000-069",Plan!af:af)</f>
        <v>0</v>
      </c>
      <c r="AG395">
        <f>sumif(Plan!B:B,"261-000000-069",Plan!ag:ag)</f>
        <v>0</v>
      </c>
      <c r="AH395">
        <f>sumif(Plan!B:B,"261-000000-069",Plan!ah:ah)</f>
        <v>0</v>
      </c>
      <c r="AI395">
        <f>sumif(Plan!B:B,"261-000000-069",Plan!ai:ai)</f>
        <v>0</v>
      </c>
      <c r="AJ395">
        <f>sumif(Plan!B:B,"261-000000-069",Plan!aj:aj)</f>
        <v>0</v>
      </c>
      <c r="AK395">
        <f>sumif(Plan!B:B,"261-000000-069",Plan!ak:ak)</f>
        <v>0</v>
      </c>
      <c r="AL395">
        <f>sumif(Plan!B:B,"261-000000-069",Plan!al:al)</f>
        <v>0</v>
      </c>
      <c r="AM395">
        <f>sumif(Plan!B:B,"261-000000-069",Plan!am:am)</f>
        <v>0</v>
      </c>
      <c r="AN395">
        <f>sumif(Plan!B:B,"261-000000-069",Plan!an:an)</f>
        <v>0</v>
      </c>
      <c r="AO395">
        <f>sumif(Plan!B:B,"261-000000-069",Plan!ao:ao)</f>
        <v>0</v>
      </c>
    </row>
    <row r="396" spans="1:41">
      <c r="A396" t="s">
        <v>22</v>
      </c>
      <c r="B396" t="s">
        <v>265</v>
      </c>
      <c r="C396" t="s">
        <v>266</v>
      </c>
      <c r="E396">
        <v>1</v>
      </c>
      <c r="F396" t="s">
        <v>13</v>
      </c>
      <c r="H396" t="s">
        <v>16</v>
      </c>
      <c r="J396">
        <f>indirect(address(396,9))+indirect(address(394,10))-indirect(address(395,10))</f>
        <v>0</v>
      </c>
      <c r="K396">
        <f>indirect(address(396,10))+indirect(address(394,11))-indirect(address(395,11))</f>
        <v>0</v>
      </c>
      <c r="L396">
        <f>indirect(address(396,11))+indirect(address(394,12))-indirect(address(395,12))</f>
        <v>0</v>
      </c>
      <c r="M396">
        <f>indirect(address(396,12))+indirect(address(394,13))-indirect(address(395,13))</f>
        <v>0</v>
      </c>
      <c r="N396">
        <f>indirect(address(396,13))+indirect(address(394,14))-indirect(address(395,14))</f>
        <v>0</v>
      </c>
      <c r="O396">
        <f>indirect(address(396,14))+indirect(address(394,15))-indirect(address(395,15))</f>
        <v>0</v>
      </c>
      <c r="P396">
        <f>indirect(address(396,15))+indirect(address(394,16))-indirect(address(395,16))</f>
        <v>0</v>
      </c>
      <c r="Q396">
        <f>indirect(address(396,16))+indirect(address(394,17))-indirect(address(395,17))</f>
        <v>0</v>
      </c>
      <c r="R396">
        <f>indirect(address(396,17))+indirect(address(394,18))-indirect(address(395,18))</f>
        <v>0</v>
      </c>
      <c r="S396">
        <f>indirect(address(396,18))+indirect(address(394,19))-indirect(address(395,19))</f>
        <v>0</v>
      </c>
      <c r="T396">
        <f>indirect(address(396,19))+indirect(address(394,20))-indirect(address(395,20))</f>
        <v>0</v>
      </c>
      <c r="U396">
        <f>indirect(address(396,20))+indirect(address(394,21))-indirect(address(395,21))</f>
        <v>0</v>
      </c>
      <c r="V396">
        <f>indirect(address(396,21))+indirect(address(394,22))-indirect(address(395,22))</f>
        <v>0</v>
      </c>
      <c r="W396">
        <f>indirect(address(396,22))+indirect(address(394,23))-indirect(address(395,23))</f>
        <v>0</v>
      </c>
      <c r="X396">
        <f>indirect(address(396,23))+indirect(address(394,24))-indirect(address(395,24))</f>
        <v>0</v>
      </c>
      <c r="Y396">
        <f>indirect(address(396,24))+indirect(address(394,25))-indirect(address(395,25))</f>
        <v>0</v>
      </c>
      <c r="Z396">
        <f>indirect(address(396,25))+indirect(address(394,26))-indirect(address(395,26))</f>
        <v>0</v>
      </c>
      <c r="AA396">
        <f>indirect(address(396,26))+indirect(address(394,27))-indirect(address(395,27))</f>
        <v>0</v>
      </c>
      <c r="AB396">
        <f>indirect(address(396,27))+indirect(address(394,28))-indirect(address(395,28))</f>
        <v>0</v>
      </c>
      <c r="AC396">
        <f>indirect(address(396,28))+indirect(address(394,29))-indirect(address(395,29))</f>
        <v>0</v>
      </c>
      <c r="AD396">
        <f>indirect(address(396,29))+indirect(address(394,30))-indirect(address(395,30))</f>
        <v>0</v>
      </c>
      <c r="AE396">
        <f>indirect(address(396,30))+indirect(address(394,31))-indirect(address(395,31))</f>
        <v>0</v>
      </c>
      <c r="AF396">
        <f>indirect(address(396,31))+indirect(address(394,32))-indirect(address(395,32))</f>
        <v>0</v>
      </c>
      <c r="AG396">
        <f>indirect(address(396,32))+indirect(address(394,33))-indirect(address(395,33))</f>
        <v>0</v>
      </c>
      <c r="AH396">
        <f>indirect(address(396,33))+indirect(address(394,34))-indirect(address(395,34))</f>
        <v>0</v>
      </c>
      <c r="AI396">
        <f>indirect(address(396,34))+indirect(address(394,35))-indirect(address(395,35))</f>
        <v>0</v>
      </c>
      <c r="AJ396">
        <f>indirect(address(396,35))+indirect(address(394,36))-indirect(address(395,36))</f>
        <v>0</v>
      </c>
      <c r="AK396">
        <f>indirect(address(396,36))+indirect(address(394,37))-indirect(address(395,37))</f>
        <v>0</v>
      </c>
      <c r="AL396">
        <f>indirect(address(396,37))+indirect(address(394,38))-indirect(address(395,38))</f>
        <v>0</v>
      </c>
      <c r="AM396">
        <f>indirect(address(396,38))+indirect(address(394,39))-indirect(address(395,39))</f>
        <v>0</v>
      </c>
      <c r="AN396">
        <f>indirect(address(396,39))+indirect(address(394,40))-indirect(address(395,40))</f>
        <v>0</v>
      </c>
      <c r="AO396">
        <f>indirect(address(396,40))+indirect(address(394,41))-indirect(address(395,41))</f>
        <v>0</v>
      </c>
    </row>
    <row r="397" spans="1:41">
      <c r="I397" t="s">
        <v>14</v>
      </c>
      <c r="AO397">
        <f>sum(j397:an397)</f>
        <v>0</v>
      </c>
    </row>
    <row r="398" spans="1:41">
      <c r="I398" t="s">
        <v>15</v>
      </c>
      <c r="J398">
        <f>sumif(Plan!B:B,"261-000000-070",Plan!j:j)</f>
        <v>0</v>
      </c>
      <c r="K398">
        <f>sumif(Plan!B:B,"261-000000-070",Plan!k:k)</f>
        <v>0</v>
      </c>
      <c r="L398">
        <f>sumif(Plan!B:B,"261-000000-070",Plan!l:l)</f>
        <v>0</v>
      </c>
      <c r="M398">
        <f>sumif(Plan!B:B,"261-000000-070",Plan!m:m)</f>
        <v>0</v>
      </c>
      <c r="N398">
        <f>sumif(Plan!B:B,"261-000000-070",Plan!n:n)</f>
        <v>0</v>
      </c>
      <c r="O398">
        <f>sumif(Plan!B:B,"261-000000-070",Plan!o:o)</f>
        <v>0</v>
      </c>
      <c r="P398">
        <f>sumif(Plan!B:B,"261-000000-070",Plan!p:p)</f>
        <v>0</v>
      </c>
      <c r="Q398">
        <f>sumif(Plan!B:B,"261-000000-070",Plan!q:q)</f>
        <v>0</v>
      </c>
      <c r="R398">
        <f>sumif(Plan!B:B,"261-000000-070",Plan!r:r)</f>
        <v>0</v>
      </c>
      <c r="S398">
        <f>sumif(Plan!B:B,"261-000000-070",Plan!s:s)</f>
        <v>0</v>
      </c>
      <c r="T398">
        <f>sumif(Plan!B:B,"261-000000-070",Plan!t:t)</f>
        <v>0</v>
      </c>
      <c r="U398">
        <f>sumif(Plan!B:B,"261-000000-070",Plan!u:u)</f>
        <v>0</v>
      </c>
      <c r="V398">
        <f>sumif(Plan!B:B,"261-000000-070",Plan!v:v)</f>
        <v>0</v>
      </c>
      <c r="W398">
        <f>sumif(Plan!B:B,"261-000000-070",Plan!w:w)</f>
        <v>0</v>
      </c>
      <c r="X398">
        <f>sumif(Plan!B:B,"261-000000-070",Plan!x:x)</f>
        <v>0</v>
      </c>
      <c r="Y398">
        <f>sumif(Plan!B:B,"261-000000-070",Plan!y:y)</f>
        <v>0</v>
      </c>
      <c r="Z398">
        <f>sumif(Plan!B:B,"261-000000-070",Plan!z:z)</f>
        <v>0</v>
      </c>
      <c r="AA398">
        <f>sumif(Plan!B:B,"261-000000-070",Plan!aa:aa)</f>
        <v>0</v>
      </c>
      <c r="AB398">
        <f>sumif(Plan!B:B,"261-000000-070",Plan!ab:ab)</f>
        <v>0</v>
      </c>
      <c r="AC398">
        <f>sumif(Plan!B:B,"261-000000-070",Plan!ac:ac)</f>
        <v>0</v>
      </c>
      <c r="AD398">
        <f>sumif(Plan!B:B,"261-000000-070",Plan!ad:ad)</f>
        <v>0</v>
      </c>
      <c r="AE398">
        <f>sumif(Plan!B:B,"261-000000-070",Plan!ae:ae)</f>
        <v>0</v>
      </c>
      <c r="AF398">
        <f>sumif(Plan!B:B,"261-000000-070",Plan!af:af)</f>
        <v>0</v>
      </c>
      <c r="AG398">
        <f>sumif(Plan!B:B,"261-000000-070",Plan!ag:ag)</f>
        <v>0</v>
      </c>
      <c r="AH398">
        <f>sumif(Plan!B:B,"261-000000-070",Plan!ah:ah)</f>
        <v>0</v>
      </c>
      <c r="AI398">
        <f>sumif(Plan!B:B,"261-000000-070",Plan!ai:ai)</f>
        <v>0</v>
      </c>
      <c r="AJ398">
        <f>sumif(Plan!B:B,"261-000000-070",Plan!aj:aj)</f>
        <v>0</v>
      </c>
      <c r="AK398">
        <f>sumif(Plan!B:B,"261-000000-070",Plan!ak:ak)</f>
        <v>0</v>
      </c>
      <c r="AL398">
        <f>sumif(Plan!B:B,"261-000000-070",Plan!al:al)</f>
        <v>0</v>
      </c>
      <c r="AM398">
        <f>sumif(Plan!B:B,"261-000000-070",Plan!am:am)</f>
        <v>0</v>
      </c>
      <c r="AN398">
        <f>sumif(Plan!B:B,"261-000000-070",Plan!an:an)</f>
        <v>0</v>
      </c>
      <c r="AO398">
        <f>sumif(Plan!B:B,"261-000000-070",Plan!ao:ao)</f>
        <v>0</v>
      </c>
    </row>
    <row r="399" spans="1:41">
      <c r="A399" t="s">
        <v>22</v>
      </c>
      <c r="B399" t="s">
        <v>267</v>
      </c>
      <c r="C399" t="s">
        <v>268</v>
      </c>
      <c r="E399">
        <v>1</v>
      </c>
      <c r="F399" t="s">
        <v>13</v>
      </c>
      <c r="H399" t="s">
        <v>16</v>
      </c>
      <c r="J399">
        <f>indirect(address(399,9))+indirect(address(397,10))-indirect(address(398,10))</f>
        <v>0</v>
      </c>
      <c r="K399">
        <f>indirect(address(399,10))+indirect(address(397,11))-indirect(address(398,11))</f>
        <v>0</v>
      </c>
      <c r="L399">
        <f>indirect(address(399,11))+indirect(address(397,12))-indirect(address(398,12))</f>
        <v>0</v>
      </c>
      <c r="M399">
        <f>indirect(address(399,12))+indirect(address(397,13))-indirect(address(398,13))</f>
        <v>0</v>
      </c>
      <c r="N399">
        <f>indirect(address(399,13))+indirect(address(397,14))-indirect(address(398,14))</f>
        <v>0</v>
      </c>
      <c r="O399">
        <f>indirect(address(399,14))+indirect(address(397,15))-indirect(address(398,15))</f>
        <v>0</v>
      </c>
      <c r="P399">
        <f>indirect(address(399,15))+indirect(address(397,16))-indirect(address(398,16))</f>
        <v>0</v>
      </c>
      <c r="Q399">
        <f>indirect(address(399,16))+indirect(address(397,17))-indirect(address(398,17))</f>
        <v>0</v>
      </c>
      <c r="R399">
        <f>indirect(address(399,17))+indirect(address(397,18))-indirect(address(398,18))</f>
        <v>0</v>
      </c>
      <c r="S399">
        <f>indirect(address(399,18))+indirect(address(397,19))-indirect(address(398,19))</f>
        <v>0</v>
      </c>
      <c r="T399">
        <f>indirect(address(399,19))+indirect(address(397,20))-indirect(address(398,20))</f>
        <v>0</v>
      </c>
      <c r="U399">
        <f>indirect(address(399,20))+indirect(address(397,21))-indirect(address(398,21))</f>
        <v>0</v>
      </c>
      <c r="V399">
        <f>indirect(address(399,21))+indirect(address(397,22))-indirect(address(398,22))</f>
        <v>0</v>
      </c>
      <c r="W399">
        <f>indirect(address(399,22))+indirect(address(397,23))-indirect(address(398,23))</f>
        <v>0</v>
      </c>
      <c r="X399">
        <f>indirect(address(399,23))+indirect(address(397,24))-indirect(address(398,24))</f>
        <v>0</v>
      </c>
      <c r="Y399">
        <f>indirect(address(399,24))+indirect(address(397,25))-indirect(address(398,25))</f>
        <v>0</v>
      </c>
      <c r="Z399">
        <f>indirect(address(399,25))+indirect(address(397,26))-indirect(address(398,26))</f>
        <v>0</v>
      </c>
      <c r="AA399">
        <f>indirect(address(399,26))+indirect(address(397,27))-indirect(address(398,27))</f>
        <v>0</v>
      </c>
      <c r="AB399">
        <f>indirect(address(399,27))+indirect(address(397,28))-indirect(address(398,28))</f>
        <v>0</v>
      </c>
      <c r="AC399">
        <f>indirect(address(399,28))+indirect(address(397,29))-indirect(address(398,29))</f>
        <v>0</v>
      </c>
      <c r="AD399">
        <f>indirect(address(399,29))+indirect(address(397,30))-indirect(address(398,30))</f>
        <v>0</v>
      </c>
      <c r="AE399">
        <f>indirect(address(399,30))+indirect(address(397,31))-indirect(address(398,31))</f>
        <v>0</v>
      </c>
      <c r="AF399">
        <f>indirect(address(399,31))+indirect(address(397,32))-indirect(address(398,32))</f>
        <v>0</v>
      </c>
      <c r="AG399">
        <f>indirect(address(399,32))+indirect(address(397,33))-indirect(address(398,33))</f>
        <v>0</v>
      </c>
      <c r="AH399">
        <f>indirect(address(399,33))+indirect(address(397,34))-indirect(address(398,34))</f>
        <v>0</v>
      </c>
      <c r="AI399">
        <f>indirect(address(399,34))+indirect(address(397,35))-indirect(address(398,35))</f>
        <v>0</v>
      </c>
      <c r="AJ399">
        <f>indirect(address(399,35))+indirect(address(397,36))-indirect(address(398,36))</f>
        <v>0</v>
      </c>
      <c r="AK399">
        <f>indirect(address(399,36))+indirect(address(397,37))-indirect(address(398,37))</f>
        <v>0</v>
      </c>
      <c r="AL399">
        <f>indirect(address(399,37))+indirect(address(397,38))-indirect(address(398,38))</f>
        <v>0</v>
      </c>
      <c r="AM399">
        <f>indirect(address(399,38))+indirect(address(397,39))-indirect(address(398,39))</f>
        <v>0</v>
      </c>
      <c r="AN399">
        <f>indirect(address(399,39))+indirect(address(397,40))-indirect(address(398,40))</f>
        <v>0</v>
      </c>
      <c r="AO399">
        <f>indirect(address(399,40))+indirect(address(397,41))-indirect(address(398,41))</f>
        <v>0</v>
      </c>
    </row>
    <row r="400" spans="1:41">
      <c r="I400" t="s">
        <v>14</v>
      </c>
      <c r="AO400">
        <f>sum(j400:an400)</f>
        <v>0</v>
      </c>
    </row>
    <row r="401" spans="1:41">
      <c r="I401" t="s">
        <v>15</v>
      </c>
      <c r="J401">
        <f>sumif(Plan!B:B,"262-000000-013",Plan!j:j)</f>
        <v>0</v>
      </c>
      <c r="K401">
        <f>sumif(Plan!B:B,"262-000000-013",Plan!k:k)</f>
        <v>0</v>
      </c>
      <c r="L401">
        <f>sumif(Plan!B:B,"262-000000-013",Plan!l:l)</f>
        <v>0</v>
      </c>
      <c r="M401">
        <f>sumif(Plan!B:B,"262-000000-013",Plan!m:m)</f>
        <v>0</v>
      </c>
      <c r="N401">
        <f>sumif(Plan!B:B,"262-000000-013",Plan!n:n)</f>
        <v>0</v>
      </c>
      <c r="O401">
        <f>sumif(Plan!B:B,"262-000000-013",Plan!o:o)</f>
        <v>0</v>
      </c>
      <c r="P401">
        <f>sumif(Plan!B:B,"262-000000-013",Plan!p:p)</f>
        <v>0</v>
      </c>
      <c r="Q401">
        <f>sumif(Plan!B:B,"262-000000-013",Plan!q:q)</f>
        <v>0</v>
      </c>
      <c r="R401">
        <f>sumif(Plan!B:B,"262-000000-013",Plan!r:r)</f>
        <v>0</v>
      </c>
      <c r="S401">
        <f>sumif(Plan!B:B,"262-000000-013",Plan!s:s)</f>
        <v>0</v>
      </c>
      <c r="T401">
        <f>sumif(Plan!B:B,"262-000000-013",Plan!t:t)</f>
        <v>0</v>
      </c>
      <c r="U401">
        <f>sumif(Plan!B:B,"262-000000-013",Plan!u:u)</f>
        <v>0</v>
      </c>
      <c r="V401">
        <f>sumif(Plan!B:B,"262-000000-013",Plan!v:v)</f>
        <v>0</v>
      </c>
      <c r="W401">
        <f>sumif(Plan!B:B,"262-000000-013",Plan!w:w)</f>
        <v>0</v>
      </c>
      <c r="X401">
        <f>sumif(Plan!B:B,"262-000000-013",Plan!x:x)</f>
        <v>0</v>
      </c>
      <c r="Y401">
        <f>sumif(Plan!B:B,"262-000000-013",Plan!y:y)</f>
        <v>0</v>
      </c>
      <c r="Z401">
        <f>sumif(Plan!B:B,"262-000000-013",Plan!z:z)</f>
        <v>0</v>
      </c>
      <c r="AA401">
        <f>sumif(Plan!B:B,"262-000000-013",Plan!aa:aa)</f>
        <v>0</v>
      </c>
      <c r="AB401">
        <f>sumif(Plan!B:B,"262-000000-013",Plan!ab:ab)</f>
        <v>0</v>
      </c>
      <c r="AC401">
        <f>sumif(Plan!B:B,"262-000000-013",Plan!ac:ac)</f>
        <v>0</v>
      </c>
      <c r="AD401">
        <f>sumif(Plan!B:B,"262-000000-013",Plan!ad:ad)</f>
        <v>0</v>
      </c>
      <c r="AE401">
        <f>sumif(Plan!B:B,"262-000000-013",Plan!ae:ae)</f>
        <v>0</v>
      </c>
      <c r="AF401">
        <f>sumif(Plan!B:B,"262-000000-013",Plan!af:af)</f>
        <v>0</v>
      </c>
      <c r="AG401">
        <f>sumif(Plan!B:B,"262-000000-013",Plan!ag:ag)</f>
        <v>0</v>
      </c>
      <c r="AH401">
        <f>sumif(Plan!B:B,"262-000000-013",Plan!ah:ah)</f>
        <v>0</v>
      </c>
      <c r="AI401">
        <f>sumif(Plan!B:B,"262-000000-013",Plan!ai:ai)</f>
        <v>0</v>
      </c>
      <c r="AJ401">
        <f>sumif(Plan!B:B,"262-000000-013",Plan!aj:aj)</f>
        <v>0</v>
      </c>
      <c r="AK401">
        <f>sumif(Plan!B:B,"262-000000-013",Plan!ak:ak)</f>
        <v>0</v>
      </c>
      <c r="AL401">
        <f>sumif(Plan!B:B,"262-000000-013",Plan!al:al)</f>
        <v>0</v>
      </c>
      <c r="AM401">
        <f>sumif(Plan!B:B,"262-000000-013",Plan!am:am)</f>
        <v>0</v>
      </c>
      <c r="AN401">
        <f>sumif(Plan!B:B,"262-000000-013",Plan!an:an)</f>
        <v>0</v>
      </c>
      <c r="AO401">
        <f>sumif(Plan!B:B,"262-000000-013",Plan!ao:ao)</f>
        <v>0</v>
      </c>
    </row>
    <row r="402" spans="1:41">
      <c r="A402" t="s">
        <v>22</v>
      </c>
      <c r="B402" t="s">
        <v>269</v>
      </c>
      <c r="C402" t="s">
        <v>270</v>
      </c>
      <c r="E402">
        <v>1</v>
      </c>
      <c r="F402" t="s">
        <v>13</v>
      </c>
      <c r="H402" t="s">
        <v>16</v>
      </c>
      <c r="J402">
        <f>indirect(address(402,9))+indirect(address(400,10))-indirect(address(401,10))</f>
        <v>0</v>
      </c>
      <c r="K402">
        <f>indirect(address(402,10))+indirect(address(400,11))-indirect(address(401,11))</f>
        <v>0</v>
      </c>
      <c r="L402">
        <f>indirect(address(402,11))+indirect(address(400,12))-indirect(address(401,12))</f>
        <v>0</v>
      </c>
      <c r="M402">
        <f>indirect(address(402,12))+indirect(address(400,13))-indirect(address(401,13))</f>
        <v>0</v>
      </c>
      <c r="N402">
        <f>indirect(address(402,13))+indirect(address(400,14))-indirect(address(401,14))</f>
        <v>0</v>
      </c>
      <c r="O402">
        <f>indirect(address(402,14))+indirect(address(400,15))-indirect(address(401,15))</f>
        <v>0</v>
      </c>
      <c r="P402">
        <f>indirect(address(402,15))+indirect(address(400,16))-indirect(address(401,16))</f>
        <v>0</v>
      </c>
      <c r="Q402">
        <f>indirect(address(402,16))+indirect(address(400,17))-indirect(address(401,17))</f>
        <v>0</v>
      </c>
      <c r="R402">
        <f>indirect(address(402,17))+indirect(address(400,18))-indirect(address(401,18))</f>
        <v>0</v>
      </c>
      <c r="S402">
        <f>indirect(address(402,18))+indirect(address(400,19))-indirect(address(401,19))</f>
        <v>0</v>
      </c>
      <c r="T402">
        <f>indirect(address(402,19))+indirect(address(400,20))-indirect(address(401,20))</f>
        <v>0</v>
      </c>
      <c r="U402">
        <f>indirect(address(402,20))+indirect(address(400,21))-indirect(address(401,21))</f>
        <v>0</v>
      </c>
      <c r="V402">
        <f>indirect(address(402,21))+indirect(address(400,22))-indirect(address(401,22))</f>
        <v>0</v>
      </c>
      <c r="W402">
        <f>indirect(address(402,22))+indirect(address(400,23))-indirect(address(401,23))</f>
        <v>0</v>
      </c>
      <c r="X402">
        <f>indirect(address(402,23))+indirect(address(400,24))-indirect(address(401,24))</f>
        <v>0</v>
      </c>
      <c r="Y402">
        <f>indirect(address(402,24))+indirect(address(400,25))-indirect(address(401,25))</f>
        <v>0</v>
      </c>
      <c r="Z402">
        <f>indirect(address(402,25))+indirect(address(400,26))-indirect(address(401,26))</f>
        <v>0</v>
      </c>
      <c r="AA402">
        <f>indirect(address(402,26))+indirect(address(400,27))-indirect(address(401,27))</f>
        <v>0</v>
      </c>
      <c r="AB402">
        <f>indirect(address(402,27))+indirect(address(400,28))-indirect(address(401,28))</f>
        <v>0</v>
      </c>
      <c r="AC402">
        <f>indirect(address(402,28))+indirect(address(400,29))-indirect(address(401,29))</f>
        <v>0</v>
      </c>
      <c r="AD402">
        <f>indirect(address(402,29))+indirect(address(400,30))-indirect(address(401,30))</f>
        <v>0</v>
      </c>
      <c r="AE402">
        <f>indirect(address(402,30))+indirect(address(400,31))-indirect(address(401,31))</f>
        <v>0</v>
      </c>
      <c r="AF402">
        <f>indirect(address(402,31))+indirect(address(400,32))-indirect(address(401,32))</f>
        <v>0</v>
      </c>
      <c r="AG402">
        <f>indirect(address(402,32))+indirect(address(400,33))-indirect(address(401,33))</f>
        <v>0</v>
      </c>
      <c r="AH402">
        <f>indirect(address(402,33))+indirect(address(400,34))-indirect(address(401,34))</f>
        <v>0</v>
      </c>
      <c r="AI402">
        <f>indirect(address(402,34))+indirect(address(400,35))-indirect(address(401,35))</f>
        <v>0</v>
      </c>
      <c r="AJ402">
        <f>indirect(address(402,35))+indirect(address(400,36))-indirect(address(401,36))</f>
        <v>0</v>
      </c>
      <c r="AK402">
        <f>indirect(address(402,36))+indirect(address(400,37))-indirect(address(401,37))</f>
        <v>0</v>
      </c>
      <c r="AL402">
        <f>indirect(address(402,37))+indirect(address(400,38))-indirect(address(401,38))</f>
        <v>0</v>
      </c>
      <c r="AM402">
        <f>indirect(address(402,38))+indirect(address(400,39))-indirect(address(401,39))</f>
        <v>0</v>
      </c>
      <c r="AN402">
        <f>indirect(address(402,39))+indirect(address(400,40))-indirect(address(401,40))</f>
        <v>0</v>
      </c>
      <c r="AO402">
        <f>indirect(address(402,40))+indirect(address(400,41))-indirect(address(401,41))</f>
        <v>0</v>
      </c>
    </row>
    <row r="403" spans="1:41">
      <c r="I403" t="s">
        <v>14</v>
      </c>
      <c r="AO403">
        <f>sum(j403:an403)</f>
        <v>0</v>
      </c>
    </row>
    <row r="404" spans="1:41">
      <c r="I404" t="s">
        <v>15</v>
      </c>
      <c r="J404">
        <f>sumif(Plan!B:B,"263-000000-004",Plan!j:j)</f>
        <v>0</v>
      </c>
      <c r="K404">
        <f>sumif(Plan!B:B,"263-000000-004",Plan!k:k)</f>
        <v>0</v>
      </c>
      <c r="L404">
        <f>sumif(Plan!B:B,"263-000000-004",Plan!l:l)</f>
        <v>0</v>
      </c>
      <c r="M404">
        <f>sumif(Plan!B:B,"263-000000-004",Plan!m:m)</f>
        <v>0</v>
      </c>
      <c r="N404">
        <f>sumif(Plan!B:B,"263-000000-004",Plan!n:n)</f>
        <v>0</v>
      </c>
      <c r="O404">
        <f>sumif(Plan!B:B,"263-000000-004",Plan!o:o)</f>
        <v>0</v>
      </c>
      <c r="P404">
        <f>sumif(Plan!B:B,"263-000000-004",Plan!p:p)</f>
        <v>0</v>
      </c>
      <c r="Q404">
        <f>sumif(Plan!B:B,"263-000000-004",Plan!q:q)</f>
        <v>0</v>
      </c>
      <c r="R404">
        <f>sumif(Plan!B:B,"263-000000-004",Plan!r:r)</f>
        <v>0</v>
      </c>
      <c r="S404">
        <f>sumif(Plan!B:B,"263-000000-004",Plan!s:s)</f>
        <v>0</v>
      </c>
      <c r="T404">
        <f>sumif(Plan!B:B,"263-000000-004",Plan!t:t)</f>
        <v>0</v>
      </c>
      <c r="U404">
        <f>sumif(Plan!B:B,"263-000000-004",Plan!u:u)</f>
        <v>0</v>
      </c>
      <c r="V404">
        <f>sumif(Plan!B:B,"263-000000-004",Plan!v:v)</f>
        <v>0</v>
      </c>
      <c r="W404">
        <f>sumif(Plan!B:B,"263-000000-004",Plan!w:w)</f>
        <v>0</v>
      </c>
      <c r="X404">
        <f>sumif(Plan!B:B,"263-000000-004",Plan!x:x)</f>
        <v>0</v>
      </c>
      <c r="Y404">
        <f>sumif(Plan!B:B,"263-000000-004",Plan!y:y)</f>
        <v>0</v>
      </c>
      <c r="Z404">
        <f>sumif(Plan!B:B,"263-000000-004",Plan!z:z)</f>
        <v>0</v>
      </c>
      <c r="AA404">
        <f>sumif(Plan!B:B,"263-000000-004",Plan!aa:aa)</f>
        <v>0</v>
      </c>
      <c r="AB404">
        <f>sumif(Plan!B:B,"263-000000-004",Plan!ab:ab)</f>
        <v>0</v>
      </c>
      <c r="AC404">
        <f>sumif(Plan!B:B,"263-000000-004",Plan!ac:ac)</f>
        <v>0</v>
      </c>
      <c r="AD404">
        <f>sumif(Plan!B:B,"263-000000-004",Plan!ad:ad)</f>
        <v>0</v>
      </c>
      <c r="AE404">
        <f>sumif(Plan!B:B,"263-000000-004",Plan!ae:ae)</f>
        <v>0</v>
      </c>
      <c r="AF404">
        <f>sumif(Plan!B:B,"263-000000-004",Plan!af:af)</f>
        <v>0</v>
      </c>
      <c r="AG404">
        <f>sumif(Plan!B:B,"263-000000-004",Plan!ag:ag)</f>
        <v>0</v>
      </c>
      <c r="AH404">
        <f>sumif(Plan!B:B,"263-000000-004",Plan!ah:ah)</f>
        <v>0</v>
      </c>
      <c r="AI404">
        <f>sumif(Plan!B:B,"263-000000-004",Plan!ai:ai)</f>
        <v>0</v>
      </c>
      <c r="AJ404">
        <f>sumif(Plan!B:B,"263-000000-004",Plan!aj:aj)</f>
        <v>0</v>
      </c>
      <c r="AK404">
        <f>sumif(Plan!B:B,"263-000000-004",Plan!ak:ak)</f>
        <v>0</v>
      </c>
      <c r="AL404">
        <f>sumif(Plan!B:B,"263-000000-004",Plan!al:al)</f>
        <v>0</v>
      </c>
      <c r="AM404">
        <f>sumif(Plan!B:B,"263-000000-004",Plan!am:am)</f>
        <v>0</v>
      </c>
      <c r="AN404">
        <f>sumif(Plan!B:B,"263-000000-004",Plan!an:an)</f>
        <v>0</v>
      </c>
      <c r="AO404">
        <f>sumif(Plan!B:B,"263-000000-004",Plan!ao:ao)</f>
        <v>0</v>
      </c>
    </row>
    <row r="405" spans="1:41">
      <c r="A405" t="s">
        <v>22</v>
      </c>
      <c r="B405" t="s">
        <v>165</v>
      </c>
      <c r="C405" t="s">
        <v>271</v>
      </c>
      <c r="E405">
        <v>1</v>
      </c>
      <c r="F405" t="s">
        <v>13</v>
      </c>
      <c r="H405" t="s">
        <v>16</v>
      </c>
      <c r="J405">
        <f>indirect(address(405,9))+indirect(address(403,10))-indirect(address(404,10))</f>
        <v>0</v>
      </c>
      <c r="K405">
        <f>indirect(address(405,10))+indirect(address(403,11))-indirect(address(404,11))</f>
        <v>0</v>
      </c>
      <c r="L405">
        <f>indirect(address(405,11))+indirect(address(403,12))-indirect(address(404,12))</f>
        <v>0</v>
      </c>
      <c r="M405">
        <f>indirect(address(405,12))+indirect(address(403,13))-indirect(address(404,13))</f>
        <v>0</v>
      </c>
      <c r="N405">
        <f>indirect(address(405,13))+indirect(address(403,14))-indirect(address(404,14))</f>
        <v>0</v>
      </c>
      <c r="O405">
        <f>indirect(address(405,14))+indirect(address(403,15))-indirect(address(404,15))</f>
        <v>0</v>
      </c>
      <c r="P405">
        <f>indirect(address(405,15))+indirect(address(403,16))-indirect(address(404,16))</f>
        <v>0</v>
      </c>
      <c r="Q405">
        <f>indirect(address(405,16))+indirect(address(403,17))-indirect(address(404,17))</f>
        <v>0</v>
      </c>
      <c r="R405">
        <f>indirect(address(405,17))+indirect(address(403,18))-indirect(address(404,18))</f>
        <v>0</v>
      </c>
      <c r="S405">
        <f>indirect(address(405,18))+indirect(address(403,19))-indirect(address(404,19))</f>
        <v>0</v>
      </c>
      <c r="T405">
        <f>indirect(address(405,19))+indirect(address(403,20))-indirect(address(404,20))</f>
        <v>0</v>
      </c>
      <c r="U405">
        <f>indirect(address(405,20))+indirect(address(403,21))-indirect(address(404,21))</f>
        <v>0</v>
      </c>
      <c r="V405">
        <f>indirect(address(405,21))+indirect(address(403,22))-indirect(address(404,22))</f>
        <v>0</v>
      </c>
      <c r="W405">
        <f>indirect(address(405,22))+indirect(address(403,23))-indirect(address(404,23))</f>
        <v>0</v>
      </c>
      <c r="X405">
        <f>indirect(address(405,23))+indirect(address(403,24))-indirect(address(404,24))</f>
        <v>0</v>
      </c>
      <c r="Y405">
        <f>indirect(address(405,24))+indirect(address(403,25))-indirect(address(404,25))</f>
        <v>0</v>
      </c>
      <c r="Z405">
        <f>indirect(address(405,25))+indirect(address(403,26))-indirect(address(404,26))</f>
        <v>0</v>
      </c>
      <c r="AA405">
        <f>indirect(address(405,26))+indirect(address(403,27))-indirect(address(404,27))</f>
        <v>0</v>
      </c>
      <c r="AB405">
        <f>indirect(address(405,27))+indirect(address(403,28))-indirect(address(404,28))</f>
        <v>0</v>
      </c>
      <c r="AC405">
        <f>indirect(address(405,28))+indirect(address(403,29))-indirect(address(404,29))</f>
        <v>0</v>
      </c>
      <c r="AD405">
        <f>indirect(address(405,29))+indirect(address(403,30))-indirect(address(404,30))</f>
        <v>0</v>
      </c>
      <c r="AE405">
        <f>indirect(address(405,30))+indirect(address(403,31))-indirect(address(404,31))</f>
        <v>0</v>
      </c>
      <c r="AF405">
        <f>indirect(address(405,31))+indirect(address(403,32))-indirect(address(404,32))</f>
        <v>0</v>
      </c>
      <c r="AG405">
        <f>indirect(address(405,32))+indirect(address(403,33))-indirect(address(404,33))</f>
        <v>0</v>
      </c>
      <c r="AH405">
        <f>indirect(address(405,33))+indirect(address(403,34))-indirect(address(404,34))</f>
        <v>0</v>
      </c>
      <c r="AI405">
        <f>indirect(address(405,34))+indirect(address(403,35))-indirect(address(404,35))</f>
        <v>0</v>
      </c>
      <c r="AJ405">
        <f>indirect(address(405,35))+indirect(address(403,36))-indirect(address(404,36))</f>
        <v>0</v>
      </c>
      <c r="AK405">
        <f>indirect(address(405,36))+indirect(address(403,37))-indirect(address(404,37))</f>
        <v>0</v>
      </c>
      <c r="AL405">
        <f>indirect(address(405,37))+indirect(address(403,38))-indirect(address(404,38))</f>
        <v>0</v>
      </c>
      <c r="AM405">
        <f>indirect(address(405,38))+indirect(address(403,39))-indirect(address(404,39))</f>
        <v>0</v>
      </c>
      <c r="AN405">
        <f>indirect(address(405,39))+indirect(address(403,40))-indirect(address(404,40))</f>
        <v>0</v>
      </c>
      <c r="AO405">
        <f>indirect(address(405,40))+indirect(address(403,41))-indirect(address(404,41))</f>
        <v>0</v>
      </c>
    </row>
    <row r="406" spans="1:41">
      <c r="I406" t="s">
        <v>14</v>
      </c>
      <c r="AO406">
        <f>sum(j406:an406)</f>
        <v>0</v>
      </c>
    </row>
    <row r="407" spans="1:41">
      <c r="I407" t="s">
        <v>15</v>
      </c>
      <c r="J407">
        <f>sumif(Plan!B:B,"261-000000-071",Plan!j:j)</f>
        <v>0</v>
      </c>
      <c r="K407">
        <f>sumif(Plan!B:B,"261-000000-071",Plan!k:k)</f>
        <v>0</v>
      </c>
      <c r="L407">
        <f>sumif(Plan!B:B,"261-000000-071",Plan!l:l)</f>
        <v>0</v>
      </c>
      <c r="M407">
        <f>sumif(Plan!B:B,"261-000000-071",Plan!m:m)</f>
        <v>0</v>
      </c>
      <c r="N407">
        <f>sumif(Plan!B:B,"261-000000-071",Plan!n:n)</f>
        <v>0</v>
      </c>
      <c r="O407">
        <f>sumif(Plan!B:B,"261-000000-071",Plan!o:o)</f>
        <v>0</v>
      </c>
      <c r="P407">
        <f>sumif(Plan!B:B,"261-000000-071",Plan!p:p)</f>
        <v>0</v>
      </c>
      <c r="Q407">
        <f>sumif(Plan!B:B,"261-000000-071",Plan!q:q)</f>
        <v>0</v>
      </c>
      <c r="R407">
        <f>sumif(Plan!B:B,"261-000000-071",Plan!r:r)</f>
        <v>0</v>
      </c>
      <c r="S407">
        <f>sumif(Plan!B:B,"261-000000-071",Plan!s:s)</f>
        <v>0</v>
      </c>
      <c r="T407">
        <f>sumif(Plan!B:B,"261-000000-071",Plan!t:t)</f>
        <v>0</v>
      </c>
      <c r="U407">
        <f>sumif(Plan!B:B,"261-000000-071",Plan!u:u)</f>
        <v>0</v>
      </c>
      <c r="V407">
        <f>sumif(Plan!B:B,"261-000000-071",Plan!v:v)</f>
        <v>0</v>
      </c>
      <c r="W407">
        <f>sumif(Plan!B:B,"261-000000-071",Plan!w:w)</f>
        <v>0</v>
      </c>
      <c r="X407">
        <f>sumif(Plan!B:B,"261-000000-071",Plan!x:x)</f>
        <v>0</v>
      </c>
      <c r="Y407">
        <f>sumif(Plan!B:B,"261-000000-071",Plan!y:y)</f>
        <v>0</v>
      </c>
      <c r="Z407">
        <f>sumif(Plan!B:B,"261-000000-071",Plan!z:z)</f>
        <v>0</v>
      </c>
      <c r="AA407">
        <f>sumif(Plan!B:B,"261-000000-071",Plan!aa:aa)</f>
        <v>0</v>
      </c>
      <c r="AB407">
        <f>sumif(Plan!B:B,"261-000000-071",Plan!ab:ab)</f>
        <v>0</v>
      </c>
      <c r="AC407">
        <f>sumif(Plan!B:B,"261-000000-071",Plan!ac:ac)</f>
        <v>0</v>
      </c>
      <c r="AD407">
        <f>sumif(Plan!B:B,"261-000000-071",Plan!ad:ad)</f>
        <v>0</v>
      </c>
      <c r="AE407">
        <f>sumif(Plan!B:B,"261-000000-071",Plan!ae:ae)</f>
        <v>0</v>
      </c>
      <c r="AF407">
        <f>sumif(Plan!B:B,"261-000000-071",Plan!af:af)</f>
        <v>0</v>
      </c>
      <c r="AG407">
        <f>sumif(Plan!B:B,"261-000000-071",Plan!ag:ag)</f>
        <v>0</v>
      </c>
      <c r="AH407">
        <f>sumif(Plan!B:B,"261-000000-071",Plan!ah:ah)</f>
        <v>0</v>
      </c>
      <c r="AI407">
        <f>sumif(Plan!B:B,"261-000000-071",Plan!ai:ai)</f>
        <v>0</v>
      </c>
      <c r="AJ407">
        <f>sumif(Plan!B:B,"261-000000-071",Plan!aj:aj)</f>
        <v>0</v>
      </c>
      <c r="AK407">
        <f>sumif(Plan!B:B,"261-000000-071",Plan!ak:ak)</f>
        <v>0</v>
      </c>
      <c r="AL407">
        <f>sumif(Plan!B:B,"261-000000-071",Plan!al:al)</f>
        <v>0</v>
      </c>
      <c r="AM407">
        <f>sumif(Plan!B:B,"261-000000-071",Plan!am:am)</f>
        <v>0</v>
      </c>
      <c r="AN407">
        <f>sumif(Plan!B:B,"261-000000-071",Plan!an:an)</f>
        <v>0</v>
      </c>
      <c r="AO407">
        <f>sumif(Plan!B:B,"261-000000-071",Plan!ao:ao)</f>
        <v>0</v>
      </c>
    </row>
    <row r="408" spans="1:41">
      <c r="A408" t="s">
        <v>22</v>
      </c>
      <c r="B408" t="s">
        <v>272</v>
      </c>
      <c r="C408" t="s">
        <v>273</v>
      </c>
      <c r="E408">
        <v>1</v>
      </c>
      <c r="F408" t="s">
        <v>13</v>
      </c>
      <c r="H408" t="s">
        <v>16</v>
      </c>
      <c r="J408">
        <f>indirect(address(408,9))+indirect(address(406,10))-indirect(address(407,10))</f>
        <v>0</v>
      </c>
      <c r="K408">
        <f>indirect(address(408,10))+indirect(address(406,11))-indirect(address(407,11))</f>
        <v>0</v>
      </c>
      <c r="L408">
        <f>indirect(address(408,11))+indirect(address(406,12))-indirect(address(407,12))</f>
        <v>0</v>
      </c>
      <c r="M408">
        <f>indirect(address(408,12))+indirect(address(406,13))-indirect(address(407,13))</f>
        <v>0</v>
      </c>
      <c r="N408">
        <f>indirect(address(408,13))+indirect(address(406,14))-indirect(address(407,14))</f>
        <v>0</v>
      </c>
      <c r="O408">
        <f>indirect(address(408,14))+indirect(address(406,15))-indirect(address(407,15))</f>
        <v>0</v>
      </c>
      <c r="P408">
        <f>indirect(address(408,15))+indirect(address(406,16))-indirect(address(407,16))</f>
        <v>0</v>
      </c>
      <c r="Q408">
        <f>indirect(address(408,16))+indirect(address(406,17))-indirect(address(407,17))</f>
        <v>0</v>
      </c>
      <c r="R408">
        <f>indirect(address(408,17))+indirect(address(406,18))-indirect(address(407,18))</f>
        <v>0</v>
      </c>
      <c r="S408">
        <f>indirect(address(408,18))+indirect(address(406,19))-indirect(address(407,19))</f>
        <v>0</v>
      </c>
      <c r="T408">
        <f>indirect(address(408,19))+indirect(address(406,20))-indirect(address(407,20))</f>
        <v>0</v>
      </c>
      <c r="U408">
        <f>indirect(address(408,20))+indirect(address(406,21))-indirect(address(407,21))</f>
        <v>0</v>
      </c>
      <c r="V408">
        <f>indirect(address(408,21))+indirect(address(406,22))-indirect(address(407,22))</f>
        <v>0</v>
      </c>
      <c r="W408">
        <f>indirect(address(408,22))+indirect(address(406,23))-indirect(address(407,23))</f>
        <v>0</v>
      </c>
      <c r="X408">
        <f>indirect(address(408,23))+indirect(address(406,24))-indirect(address(407,24))</f>
        <v>0</v>
      </c>
      <c r="Y408">
        <f>indirect(address(408,24))+indirect(address(406,25))-indirect(address(407,25))</f>
        <v>0</v>
      </c>
      <c r="Z408">
        <f>indirect(address(408,25))+indirect(address(406,26))-indirect(address(407,26))</f>
        <v>0</v>
      </c>
      <c r="AA408">
        <f>indirect(address(408,26))+indirect(address(406,27))-indirect(address(407,27))</f>
        <v>0</v>
      </c>
      <c r="AB408">
        <f>indirect(address(408,27))+indirect(address(406,28))-indirect(address(407,28))</f>
        <v>0</v>
      </c>
      <c r="AC408">
        <f>indirect(address(408,28))+indirect(address(406,29))-indirect(address(407,29))</f>
        <v>0</v>
      </c>
      <c r="AD408">
        <f>indirect(address(408,29))+indirect(address(406,30))-indirect(address(407,30))</f>
        <v>0</v>
      </c>
      <c r="AE408">
        <f>indirect(address(408,30))+indirect(address(406,31))-indirect(address(407,31))</f>
        <v>0</v>
      </c>
      <c r="AF408">
        <f>indirect(address(408,31))+indirect(address(406,32))-indirect(address(407,32))</f>
        <v>0</v>
      </c>
      <c r="AG408">
        <f>indirect(address(408,32))+indirect(address(406,33))-indirect(address(407,33))</f>
        <v>0</v>
      </c>
      <c r="AH408">
        <f>indirect(address(408,33))+indirect(address(406,34))-indirect(address(407,34))</f>
        <v>0</v>
      </c>
      <c r="AI408">
        <f>indirect(address(408,34))+indirect(address(406,35))-indirect(address(407,35))</f>
        <v>0</v>
      </c>
      <c r="AJ408">
        <f>indirect(address(408,35))+indirect(address(406,36))-indirect(address(407,36))</f>
        <v>0</v>
      </c>
      <c r="AK408">
        <f>indirect(address(408,36))+indirect(address(406,37))-indirect(address(407,37))</f>
        <v>0</v>
      </c>
      <c r="AL408">
        <f>indirect(address(408,37))+indirect(address(406,38))-indirect(address(407,38))</f>
        <v>0</v>
      </c>
      <c r="AM408">
        <f>indirect(address(408,38))+indirect(address(406,39))-indirect(address(407,39))</f>
        <v>0</v>
      </c>
      <c r="AN408">
        <f>indirect(address(408,39))+indirect(address(406,40))-indirect(address(407,40))</f>
        <v>0</v>
      </c>
      <c r="AO408">
        <f>indirect(address(408,40))+indirect(address(406,41))-indirect(address(407,41))</f>
        <v>0</v>
      </c>
    </row>
    <row r="409" spans="1:41">
      <c r="I409" t="s">
        <v>14</v>
      </c>
      <c r="AO409">
        <f>sum(j409:an409)</f>
        <v>0</v>
      </c>
    </row>
    <row r="410" spans="1:41">
      <c r="I410" t="s">
        <v>15</v>
      </c>
      <c r="J410">
        <f>sumif(Plan!B:B,"261-000000-072",Plan!j:j)</f>
        <v>0</v>
      </c>
      <c r="K410">
        <f>sumif(Plan!B:B,"261-000000-072",Plan!k:k)</f>
        <v>0</v>
      </c>
      <c r="L410">
        <f>sumif(Plan!B:B,"261-000000-072",Plan!l:l)</f>
        <v>0</v>
      </c>
      <c r="M410">
        <f>sumif(Plan!B:B,"261-000000-072",Plan!m:m)</f>
        <v>0</v>
      </c>
      <c r="N410">
        <f>sumif(Plan!B:B,"261-000000-072",Plan!n:n)</f>
        <v>0</v>
      </c>
      <c r="O410">
        <f>sumif(Plan!B:B,"261-000000-072",Plan!o:o)</f>
        <v>0</v>
      </c>
      <c r="P410">
        <f>sumif(Plan!B:B,"261-000000-072",Plan!p:p)</f>
        <v>0</v>
      </c>
      <c r="Q410">
        <f>sumif(Plan!B:B,"261-000000-072",Plan!q:q)</f>
        <v>0</v>
      </c>
      <c r="R410">
        <f>sumif(Plan!B:B,"261-000000-072",Plan!r:r)</f>
        <v>0</v>
      </c>
      <c r="S410">
        <f>sumif(Plan!B:B,"261-000000-072",Plan!s:s)</f>
        <v>0</v>
      </c>
      <c r="T410">
        <f>sumif(Plan!B:B,"261-000000-072",Plan!t:t)</f>
        <v>0</v>
      </c>
      <c r="U410">
        <f>sumif(Plan!B:B,"261-000000-072",Plan!u:u)</f>
        <v>0</v>
      </c>
      <c r="V410">
        <f>sumif(Plan!B:B,"261-000000-072",Plan!v:v)</f>
        <v>0</v>
      </c>
      <c r="W410">
        <f>sumif(Plan!B:B,"261-000000-072",Plan!w:w)</f>
        <v>0</v>
      </c>
      <c r="X410">
        <f>sumif(Plan!B:B,"261-000000-072",Plan!x:x)</f>
        <v>0</v>
      </c>
      <c r="Y410">
        <f>sumif(Plan!B:B,"261-000000-072",Plan!y:y)</f>
        <v>0</v>
      </c>
      <c r="Z410">
        <f>sumif(Plan!B:B,"261-000000-072",Plan!z:z)</f>
        <v>0</v>
      </c>
      <c r="AA410">
        <f>sumif(Plan!B:B,"261-000000-072",Plan!aa:aa)</f>
        <v>0</v>
      </c>
      <c r="AB410">
        <f>sumif(Plan!B:B,"261-000000-072",Plan!ab:ab)</f>
        <v>0</v>
      </c>
      <c r="AC410">
        <f>sumif(Plan!B:B,"261-000000-072",Plan!ac:ac)</f>
        <v>0</v>
      </c>
      <c r="AD410">
        <f>sumif(Plan!B:B,"261-000000-072",Plan!ad:ad)</f>
        <v>0</v>
      </c>
      <c r="AE410">
        <f>sumif(Plan!B:B,"261-000000-072",Plan!ae:ae)</f>
        <v>0</v>
      </c>
      <c r="AF410">
        <f>sumif(Plan!B:B,"261-000000-072",Plan!af:af)</f>
        <v>0</v>
      </c>
      <c r="AG410">
        <f>sumif(Plan!B:B,"261-000000-072",Plan!ag:ag)</f>
        <v>0</v>
      </c>
      <c r="AH410">
        <f>sumif(Plan!B:B,"261-000000-072",Plan!ah:ah)</f>
        <v>0</v>
      </c>
      <c r="AI410">
        <f>sumif(Plan!B:B,"261-000000-072",Plan!ai:ai)</f>
        <v>0</v>
      </c>
      <c r="AJ410">
        <f>sumif(Plan!B:B,"261-000000-072",Plan!aj:aj)</f>
        <v>0</v>
      </c>
      <c r="AK410">
        <f>sumif(Plan!B:B,"261-000000-072",Plan!ak:ak)</f>
        <v>0</v>
      </c>
      <c r="AL410">
        <f>sumif(Plan!B:B,"261-000000-072",Plan!al:al)</f>
        <v>0</v>
      </c>
      <c r="AM410">
        <f>sumif(Plan!B:B,"261-000000-072",Plan!am:am)</f>
        <v>0</v>
      </c>
      <c r="AN410">
        <f>sumif(Plan!B:B,"261-000000-072",Plan!an:an)</f>
        <v>0</v>
      </c>
      <c r="AO410">
        <f>sumif(Plan!B:B,"261-000000-072",Plan!ao:ao)</f>
        <v>0</v>
      </c>
    </row>
    <row r="411" spans="1:41">
      <c r="A411" t="s">
        <v>22</v>
      </c>
      <c r="B411" t="s">
        <v>274</v>
      </c>
      <c r="C411" t="s">
        <v>275</v>
      </c>
      <c r="E411">
        <v>2</v>
      </c>
      <c r="F411" t="s">
        <v>13</v>
      </c>
      <c r="H411" t="s">
        <v>16</v>
      </c>
      <c r="J411">
        <f>indirect(address(411,9))+indirect(address(409,10))-indirect(address(410,10))</f>
        <v>0</v>
      </c>
      <c r="K411">
        <f>indirect(address(411,10))+indirect(address(409,11))-indirect(address(410,11))</f>
        <v>0</v>
      </c>
      <c r="L411">
        <f>indirect(address(411,11))+indirect(address(409,12))-indirect(address(410,12))</f>
        <v>0</v>
      </c>
      <c r="M411">
        <f>indirect(address(411,12))+indirect(address(409,13))-indirect(address(410,13))</f>
        <v>0</v>
      </c>
      <c r="N411">
        <f>indirect(address(411,13))+indirect(address(409,14))-indirect(address(410,14))</f>
        <v>0</v>
      </c>
      <c r="O411">
        <f>indirect(address(411,14))+indirect(address(409,15))-indirect(address(410,15))</f>
        <v>0</v>
      </c>
      <c r="P411">
        <f>indirect(address(411,15))+indirect(address(409,16))-indirect(address(410,16))</f>
        <v>0</v>
      </c>
      <c r="Q411">
        <f>indirect(address(411,16))+indirect(address(409,17))-indirect(address(410,17))</f>
        <v>0</v>
      </c>
      <c r="R411">
        <f>indirect(address(411,17))+indirect(address(409,18))-indirect(address(410,18))</f>
        <v>0</v>
      </c>
      <c r="S411">
        <f>indirect(address(411,18))+indirect(address(409,19))-indirect(address(410,19))</f>
        <v>0</v>
      </c>
      <c r="T411">
        <f>indirect(address(411,19))+indirect(address(409,20))-indirect(address(410,20))</f>
        <v>0</v>
      </c>
      <c r="U411">
        <f>indirect(address(411,20))+indirect(address(409,21))-indirect(address(410,21))</f>
        <v>0</v>
      </c>
      <c r="V411">
        <f>indirect(address(411,21))+indirect(address(409,22))-indirect(address(410,22))</f>
        <v>0</v>
      </c>
      <c r="W411">
        <f>indirect(address(411,22))+indirect(address(409,23))-indirect(address(410,23))</f>
        <v>0</v>
      </c>
      <c r="X411">
        <f>indirect(address(411,23))+indirect(address(409,24))-indirect(address(410,24))</f>
        <v>0</v>
      </c>
      <c r="Y411">
        <f>indirect(address(411,24))+indirect(address(409,25))-indirect(address(410,25))</f>
        <v>0</v>
      </c>
      <c r="Z411">
        <f>indirect(address(411,25))+indirect(address(409,26))-indirect(address(410,26))</f>
        <v>0</v>
      </c>
      <c r="AA411">
        <f>indirect(address(411,26))+indirect(address(409,27))-indirect(address(410,27))</f>
        <v>0</v>
      </c>
      <c r="AB411">
        <f>indirect(address(411,27))+indirect(address(409,28))-indirect(address(410,28))</f>
        <v>0</v>
      </c>
      <c r="AC411">
        <f>indirect(address(411,28))+indirect(address(409,29))-indirect(address(410,29))</f>
        <v>0</v>
      </c>
      <c r="AD411">
        <f>indirect(address(411,29))+indirect(address(409,30))-indirect(address(410,30))</f>
        <v>0</v>
      </c>
      <c r="AE411">
        <f>indirect(address(411,30))+indirect(address(409,31))-indirect(address(410,31))</f>
        <v>0</v>
      </c>
      <c r="AF411">
        <f>indirect(address(411,31))+indirect(address(409,32))-indirect(address(410,32))</f>
        <v>0</v>
      </c>
      <c r="AG411">
        <f>indirect(address(411,32))+indirect(address(409,33))-indirect(address(410,33))</f>
        <v>0</v>
      </c>
      <c r="AH411">
        <f>indirect(address(411,33))+indirect(address(409,34))-indirect(address(410,34))</f>
        <v>0</v>
      </c>
      <c r="AI411">
        <f>indirect(address(411,34))+indirect(address(409,35))-indirect(address(410,35))</f>
        <v>0</v>
      </c>
      <c r="AJ411">
        <f>indirect(address(411,35))+indirect(address(409,36))-indirect(address(410,36))</f>
        <v>0</v>
      </c>
      <c r="AK411">
        <f>indirect(address(411,36))+indirect(address(409,37))-indirect(address(410,37))</f>
        <v>0</v>
      </c>
      <c r="AL411">
        <f>indirect(address(411,37))+indirect(address(409,38))-indirect(address(410,38))</f>
        <v>0</v>
      </c>
      <c r="AM411">
        <f>indirect(address(411,38))+indirect(address(409,39))-indirect(address(410,39))</f>
        <v>0</v>
      </c>
      <c r="AN411">
        <f>indirect(address(411,39))+indirect(address(409,40))-indirect(address(410,40))</f>
        <v>0</v>
      </c>
      <c r="AO411">
        <f>indirect(address(411,40))+indirect(address(409,41))-indirect(address(410,41))</f>
        <v>0</v>
      </c>
    </row>
    <row r="412" spans="1:41">
      <c r="I412" t="s">
        <v>14</v>
      </c>
      <c r="AO412">
        <f>sum(j412:an412)</f>
        <v>0</v>
      </c>
    </row>
    <row r="413" spans="1:41">
      <c r="I413" t="s">
        <v>15</v>
      </c>
      <c r="J413">
        <f>sumif(Plan!B:B,"261-000000-090",Plan!j:j)</f>
        <v>0</v>
      </c>
      <c r="K413">
        <f>sumif(Plan!B:B,"261-000000-090",Plan!k:k)</f>
        <v>0</v>
      </c>
      <c r="L413">
        <f>sumif(Plan!B:B,"261-000000-090",Plan!l:l)</f>
        <v>0</v>
      </c>
      <c r="M413">
        <f>sumif(Plan!B:B,"261-000000-090",Plan!m:m)</f>
        <v>0</v>
      </c>
      <c r="N413">
        <f>sumif(Plan!B:B,"261-000000-090",Plan!n:n)</f>
        <v>0</v>
      </c>
      <c r="O413">
        <f>sumif(Plan!B:B,"261-000000-090",Plan!o:o)</f>
        <v>0</v>
      </c>
      <c r="P413">
        <f>sumif(Plan!B:B,"261-000000-090",Plan!p:p)</f>
        <v>0</v>
      </c>
      <c r="Q413">
        <f>sumif(Plan!B:B,"261-000000-090",Plan!q:q)</f>
        <v>0</v>
      </c>
      <c r="R413">
        <f>sumif(Plan!B:B,"261-000000-090",Plan!r:r)</f>
        <v>0</v>
      </c>
      <c r="S413">
        <f>sumif(Plan!B:B,"261-000000-090",Plan!s:s)</f>
        <v>0</v>
      </c>
      <c r="T413">
        <f>sumif(Plan!B:B,"261-000000-090",Plan!t:t)</f>
        <v>0</v>
      </c>
      <c r="U413">
        <f>sumif(Plan!B:B,"261-000000-090",Plan!u:u)</f>
        <v>0</v>
      </c>
      <c r="V413">
        <f>sumif(Plan!B:B,"261-000000-090",Plan!v:v)</f>
        <v>0</v>
      </c>
      <c r="W413">
        <f>sumif(Plan!B:B,"261-000000-090",Plan!w:w)</f>
        <v>0</v>
      </c>
      <c r="X413">
        <f>sumif(Plan!B:B,"261-000000-090",Plan!x:x)</f>
        <v>0</v>
      </c>
      <c r="Y413">
        <f>sumif(Plan!B:B,"261-000000-090",Plan!y:y)</f>
        <v>0</v>
      </c>
      <c r="Z413">
        <f>sumif(Plan!B:B,"261-000000-090",Plan!z:z)</f>
        <v>0</v>
      </c>
      <c r="AA413">
        <f>sumif(Plan!B:B,"261-000000-090",Plan!aa:aa)</f>
        <v>0</v>
      </c>
      <c r="AB413">
        <f>sumif(Plan!B:B,"261-000000-090",Plan!ab:ab)</f>
        <v>0</v>
      </c>
      <c r="AC413">
        <f>sumif(Plan!B:B,"261-000000-090",Plan!ac:ac)</f>
        <v>0</v>
      </c>
      <c r="AD413">
        <f>sumif(Plan!B:B,"261-000000-090",Plan!ad:ad)</f>
        <v>0</v>
      </c>
      <c r="AE413">
        <f>sumif(Plan!B:B,"261-000000-090",Plan!ae:ae)</f>
        <v>0</v>
      </c>
      <c r="AF413">
        <f>sumif(Plan!B:B,"261-000000-090",Plan!af:af)</f>
        <v>0</v>
      </c>
      <c r="AG413">
        <f>sumif(Plan!B:B,"261-000000-090",Plan!ag:ag)</f>
        <v>0</v>
      </c>
      <c r="AH413">
        <f>sumif(Plan!B:B,"261-000000-090",Plan!ah:ah)</f>
        <v>0</v>
      </c>
      <c r="AI413">
        <f>sumif(Plan!B:B,"261-000000-090",Plan!ai:ai)</f>
        <v>0</v>
      </c>
      <c r="AJ413">
        <f>sumif(Plan!B:B,"261-000000-090",Plan!aj:aj)</f>
        <v>0</v>
      </c>
      <c r="AK413">
        <f>sumif(Plan!B:B,"261-000000-090",Plan!ak:ak)</f>
        <v>0</v>
      </c>
      <c r="AL413">
        <f>sumif(Plan!B:B,"261-000000-090",Plan!al:al)</f>
        <v>0</v>
      </c>
      <c r="AM413">
        <f>sumif(Plan!B:B,"261-000000-090",Plan!am:am)</f>
        <v>0</v>
      </c>
      <c r="AN413">
        <f>sumif(Plan!B:B,"261-000000-090",Plan!an:an)</f>
        <v>0</v>
      </c>
      <c r="AO413">
        <f>sumif(Plan!B:B,"261-000000-090",Plan!ao:ao)</f>
        <v>0</v>
      </c>
    </row>
    <row r="414" spans="1:41">
      <c r="A414" t="s">
        <v>22</v>
      </c>
      <c r="B414" t="s">
        <v>276</v>
      </c>
      <c r="C414" t="s">
        <v>277</v>
      </c>
      <c r="E414">
        <v>1</v>
      </c>
      <c r="F414" t="s">
        <v>13</v>
      </c>
      <c r="H414" t="s">
        <v>16</v>
      </c>
      <c r="J414">
        <f>indirect(address(414,9))+indirect(address(412,10))-indirect(address(413,10))</f>
        <v>0</v>
      </c>
      <c r="K414">
        <f>indirect(address(414,10))+indirect(address(412,11))-indirect(address(413,11))</f>
        <v>0</v>
      </c>
      <c r="L414">
        <f>indirect(address(414,11))+indirect(address(412,12))-indirect(address(413,12))</f>
        <v>0</v>
      </c>
      <c r="M414">
        <f>indirect(address(414,12))+indirect(address(412,13))-indirect(address(413,13))</f>
        <v>0</v>
      </c>
      <c r="N414">
        <f>indirect(address(414,13))+indirect(address(412,14))-indirect(address(413,14))</f>
        <v>0</v>
      </c>
      <c r="O414">
        <f>indirect(address(414,14))+indirect(address(412,15))-indirect(address(413,15))</f>
        <v>0</v>
      </c>
      <c r="P414">
        <f>indirect(address(414,15))+indirect(address(412,16))-indirect(address(413,16))</f>
        <v>0</v>
      </c>
      <c r="Q414">
        <f>indirect(address(414,16))+indirect(address(412,17))-indirect(address(413,17))</f>
        <v>0</v>
      </c>
      <c r="R414">
        <f>indirect(address(414,17))+indirect(address(412,18))-indirect(address(413,18))</f>
        <v>0</v>
      </c>
      <c r="S414">
        <f>indirect(address(414,18))+indirect(address(412,19))-indirect(address(413,19))</f>
        <v>0</v>
      </c>
      <c r="T414">
        <f>indirect(address(414,19))+indirect(address(412,20))-indirect(address(413,20))</f>
        <v>0</v>
      </c>
      <c r="U414">
        <f>indirect(address(414,20))+indirect(address(412,21))-indirect(address(413,21))</f>
        <v>0</v>
      </c>
      <c r="V414">
        <f>indirect(address(414,21))+indirect(address(412,22))-indirect(address(413,22))</f>
        <v>0</v>
      </c>
      <c r="W414">
        <f>indirect(address(414,22))+indirect(address(412,23))-indirect(address(413,23))</f>
        <v>0</v>
      </c>
      <c r="X414">
        <f>indirect(address(414,23))+indirect(address(412,24))-indirect(address(413,24))</f>
        <v>0</v>
      </c>
      <c r="Y414">
        <f>indirect(address(414,24))+indirect(address(412,25))-indirect(address(413,25))</f>
        <v>0</v>
      </c>
      <c r="Z414">
        <f>indirect(address(414,25))+indirect(address(412,26))-indirect(address(413,26))</f>
        <v>0</v>
      </c>
      <c r="AA414">
        <f>indirect(address(414,26))+indirect(address(412,27))-indirect(address(413,27))</f>
        <v>0</v>
      </c>
      <c r="AB414">
        <f>indirect(address(414,27))+indirect(address(412,28))-indirect(address(413,28))</f>
        <v>0</v>
      </c>
      <c r="AC414">
        <f>indirect(address(414,28))+indirect(address(412,29))-indirect(address(413,29))</f>
        <v>0</v>
      </c>
      <c r="AD414">
        <f>indirect(address(414,29))+indirect(address(412,30))-indirect(address(413,30))</f>
        <v>0</v>
      </c>
      <c r="AE414">
        <f>indirect(address(414,30))+indirect(address(412,31))-indirect(address(413,31))</f>
        <v>0</v>
      </c>
      <c r="AF414">
        <f>indirect(address(414,31))+indirect(address(412,32))-indirect(address(413,32))</f>
        <v>0</v>
      </c>
      <c r="AG414">
        <f>indirect(address(414,32))+indirect(address(412,33))-indirect(address(413,33))</f>
        <v>0</v>
      </c>
      <c r="AH414">
        <f>indirect(address(414,33))+indirect(address(412,34))-indirect(address(413,34))</f>
        <v>0</v>
      </c>
      <c r="AI414">
        <f>indirect(address(414,34))+indirect(address(412,35))-indirect(address(413,35))</f>
        <v>0</v>
      </c>
      <c r="AJ414">
        <f>indirect(address(414,35))+indirect(address(412,36))-indirect(address(413,36))</f>
        <v>0</v>
      </c>
      <c r="AK414">
        <f>indirect(address(414,36))+indirect(address(412,37))-indirect(address(413,37))</f>
        <v>0</v>
      </c>
      <c r="AL414">
        <f>indirect(address(414,37))+indirect(address(412,38))-indirect(address(413,38))</f>
        <v>0</v>
      </c>
      <c r="AM414">
        <f>indirect(address(414,38))+indirect(address(412,39))-indirect(address(413,39))</f>
        <v>0</v>
      </c>
      <c r="AN414">
        <f>indirect(address(414,39))+indirect(address(412,40))-indirect(address(413,40))</f>
        <v>0</v>
      </c>
      <c r="AO414">
        <f>indirect(address(414,40))+indirect(address(412,41))-indirect(address(413,41))</f>
        <v>0</v>
      </c>
    </row>
    <row r="415" spans="1:41">
      <c r="I415" t="s">
        <v>14</v>
      </c>
      <c r="AO415">
        <f>sum(j415:an415)</f>
        <v>0</v>
      </c>
    </row>
    <row r="416" spans="1:41">
      <c r="I416" t="s">
        <v>15</v>
      </c>
      <c r="J416">
        <f>sumif(Plan!B:B,"242-107000-000",Plan!j:j)</f>
        <v>0</v>
      </c>
      <c r="K416">
        <f>sumif(Plan!B:B,"242-107000-000",Plan!k:k)</f>
        <v>0</v>
      </c>
      <c r="L416">
        <f>sumif(Plan!B:B,"242-107000-000",Plan!l:l)</f>
        <v>0</v>
      </c>
      <c r="M416">
        <f>sumif(Plan!B:B,"242-107000-000",Plan!m:m)</f>
        <v>0</v>
      </c>
      <c r="N416">
        <f>sumif(Plan!B:B,"242-107000-000",Plan!n:n)</f>
        <v>0</v>
      </c>
      <c r="O416">
        <f>sumif(Plan!B:B,"242-107000-000",Plan!o:o)</f>
        <v>0</v>
      </c>
      <c r="P416">
        <f>sumif(Plan!B:B,"242-107000-000",Plan!p:p)</f>
        <v>0</v>
      </c>
      <c r="Q416">
        <f>sumif(Plan!B:B,"242-107000-000",Plan!q:q)</f>
        <v>0</v>
      </c>
      <c r="R416">
        <f>sumif(Plan!B:B,"242-107000-000",Plan!r:r)</f>
        <v>0</v>
      </c>
      <c r="S416">
        <f>sumif(Plan!B:B,"242-107000-000",Plan!s:s)</f>
        <v>0</v>
      </c>
      <c r="T416">
        <f>sumif(Plan!B:B,"242-107000-000",Plan!t:t)</f>
        <v>0</v>
      </c>
      <c r="U416">
        <f>sumif(Plan!B:B,"242-107000-000",Plan!u:u)</f>
        <v>0</v>
      </c>
      <c r="V416">
        <f>sumif(Plan!B:B,"242-107000-000",Plan!v:v)</f>
        <v>0</v>
      </c>
      <c r="W416">
        <f>sumif(Plan!B:B,"242-107000-000",Plan!w:w)</f>
        <v>0</v>
      </c>
      <c r="X416">
        <f>sumif(Plan!B:B,"242-107000-000",Plan!x:x)</f>
        <v>0</v>
      </c>
      <c r="Y416">
        <f>sumif(Plan!B:B,"242-107000-000",Plan!y:y)</f>
        <v>0</v>
      </c>
      <c r="Z416">
        <f>sumif(Plan!B:B,"242-107000-000",Plan!z:z)</f>
        <v>0</v>
      </c>
      <c r="AA416">
        <f>sumif(Plan!B:B,"242-107000-000",Plan!aa:aa)</f>
        <v>0</v>
      </c>
      <c r="AB416">
        <f>sumif(Plan!B:B,"242-107000-000",Plan!ab:ab)</f>
        <v>0</v>
      </c>
      <c r="AC416">
        <f>sumif(Plan!B:B,"242-107000-000",Plan!ac:ac)</f>
        <v>0</v>
      </c>
      <c r="AD416">
        <f>sumif(Plan!B:B,"242-107000-000",Plan!ad:ad)</f>
        <v>0</v>
      </c>
      <c r="AE416">
        <f>sumif(Plan!B:B,"242-107000-000",Plan!ae:ae)</f>
        <v>0</v>
      </c>
      <c r="AF416">
        <f>sumif(Plan!B:B,"242-107000-000",Plan!af:af)</f>
        <v>0</v>
      </c>
      <c r="AG416">
        <f>sumif(Plan!B:B,"242-107000-000",Plan!ag:ag)</f>
        <v>0</v>
      </c>
      <c r="AH416">
        <f>sumif(Plan!B:B,"242-107000-000",Plan!ah:ah)</f>
        <v>0</v>
      </c>
      <c r="AI416">
        <f>sumif(Plan!B:B,"242-107000-000",Plan!ai:ai)</f>
        <v>0</v>
      </c>
      <c r="AJ416">
        <f>sumif(Plan!B:B,"242-107000-000",Plan!aj:aj)</f>
        <v>0</v>
      </c>
      <c r="AK416">
        <f>sumif(Plan!B:B,"242-107000-000",Plan!ak:ak)</f>
        <v>0</v>
      </c>
      <c r="AL416">
        <f>sumif(Plan!B:B,"242-107000-000",Plan!al:al)</f>
        <v>0</v>
      </c>
      <c r="AM416">
        <f>sumif(Plan!B:B,"242-107000-000",Plan!am:am)</f>
        <v>0</v>
      </c>
      <c r="AN416">
        <f>sumif(Plan!B:B,"242-107000-000",Plan!an:an)</f>
        <v>0</v>
      </c>
      <c r="AO416">
        <f>sumif(Plan!B:B,"242-107000-000",Plan!ao:ao)</f>
        <v>0</v>
      </c>
    </row>
    <row r="417" spans="1:41">
      <c r="A417" t="s">
        <v>278</v>
      </c>
      <c r="B417" t="s">
        <v>279</v>
      </c>
      <c r="C417" t="s">
        <v>280</v>
      </c>
      <c r="E417">
        <v>0.1</v>
      </c>
      <c r="F417" t="s">
        <v>13</v>
      </c>
      <c r="H417" t="s">
        <v>16</v>
      </c>
      <c r="J417">
        <f>indirect(address(417,9))+indirect(address(415,10))-indirect(address(416,10))</f>
        <v>0</v>
      </c>
      <c r="K417">
        <f>indirect(address(417,10))+indirect(address(415,11))-indirect(address(416,11))</f>
        <v>0</v>
      </c>
      <c r="L417">
        <f>indirect(address(417,11))+indirect(address(415,12))-indirect(address(416,12))</f>
        <v>0</v>
      </c>
      <c r="M417">
        <f>indirect(address(417,12))+indirect(address(415,13))-indirect(address(416,13))</f>
        <v>0</v>
      </c>
      <c r="N417">
        <f>indirect(address(417,13))+indirect(address(415,14))-indirect(address(416,14))</f>
        <v>0</v>
      </c>
      <c r="O417">
        <f>indirect(address(417,14))+indirect(address(415,15))-indirect(address(416,15))</f>
        <v>0</v>
      </c>
      <c r="P417">
        <f>indirect(address(417,15))+indirect(address(415,16))-indirect(address(416,16))</f>
        <v>0</v>
      </c>
      <c r="Q417">
        <f>indirect(address(417,16))+indirect(address(415,17))-indirect(address(416,17))</f>
        <v>0</v>
      </c>
      <c r="R417">
        <f>indirect(address(417,17))+indirect(address(415,18))-indirect(address(416,18))</f>
        <v>0</v>
      </c>
      <c r="S417">
        <f>indirect(address(417,18))+indirect(address(415,19))-indirect(address(416,19))</f>
        <v>0</v>
      </c>
      <c r="T417">
        <f>indirect(address(417,19))+indirect(address(415,20))-indirect(address(416,20))</f>
        <v>0</v>
      </c>
      <c r="U417">
        <f>indirect(address(417,20))+indirect(address(415,21))-indirect(address(416,21))</f>
        <v>0</v>
      </c>
      <c r="V417">
        <f>indirect(address(417,21))+indirect(address(415,22))-indirect(address(416,22))</f>
        <v>0</v>
      </c>
      <c r="W417">
        <f>indirect(address(417,22))+indirect(address(415,23))-indirect(address(416,23))</f>
        <v>0</v>
      </c>
      <c r="X417">
        <f>indirect(address(417,23))+indirect(address(415,24))-indirect(address(416,24))</f>
        <v>0</v>
      </c>
      <c r="Y417">
        <f>indirect(address(417,24))+indirect(address(415,25))-indirect(address(416,25))</f>
        <v>0</v>
      </c>
      <c r="Z417">
        <f>indirect(address(417,25))+indirect(address(415,26))-indirect(address(416,26))</f>
        <v>0</v>
      </c>
      <c r="AA417">
        <f>indirect(address(417,26))+indirect(address(415,27))-indirect(address(416,27))</f>
        <v>0</v>
      </c>
      <c r="AB417">
        <f>indirect(address(417,27))+indirect(address(415,28))-indirect(address(416,28))</f>
        <v>0</v>
      </c>
      <c r="AC417">
        <f>indirect(address(417,28))+indirect(address(415,29))-indirect(address(416,29))</f>
        <v>0</v>
      </c>
      <c r="AD417">
        <f>indirect(address(417,29))+indirect(address(415,30))-indirect(address(416,30))</f>
        <v>0</v>
      </c>
      <c r="AE417">
        <f>indirect(address(417,30))+indirect(address(415,31))-indirect(address(416,31))</f>
        <v>0</v>
      </c>
      <c r="AF417">
        <f>indirect(address(417,31))+indirect(address(415,32))-indirect(address(416,32))</f>
        <v>0</v>
      </c>
      <c r="AG417">
        <f>indirect(address(417,32))+indirect(address(415,33))-indirect(address(416,33))</f>
        <v>0</v>
      </c>
      <c r="AH417">
        <f>indirect(address(417,33))+indirect(address(415,34))-indirect(address(416,34))</f>
        <v>0</v>
      </c>
      <c r="AI417">
        <f>indirect(address(417,34))+indirect(address(415,35))-indirect(address(416,35))</f>
        <v>0</v>
      </c>
      <c r="AJ417">
        <f>indirect(address(417,35))+indirect(address(415,36))-indirect(address(416,36))</f>
        <v>0</v>
      </c>
      <c r="AK417">
        <f>indirect(address(417,36))+indirect(address(415,37))-indirect(address(416,37))</f>
        <v>0</v>
      </c>
      <c r="AL417">
        <f>indirect(address(417,37))+indirect(address(415,38))-indirect(address(416,38))</f>
        <v>0</v>
      </c>
      <c r="AM417">
        <f>indirect(address(417,38))+indirect(address(415,39))-indirect(address(416,39))</f>
        <v>0</v>
      </c>
      <c r="AN417">
        <f>indirect(address(417,39))+indirect(address(415,40))-indirect(address(416,40))</f>
        <v>0</v>
      </c>
      <c r="AO417">
        <f>indirect(address(417,40))+indirect(address(415,41))-indirect(address(416,41))</f>
        <v>0</v>
      </c>
    </row>
    <row r="418" spans="1:41">
      <c r="I418" t="s">
        <v>14</v>
      </c>
      <c r="AO418">
        <f>sum(j418:an418)</f>
        <v>0</v>
      </c>
    </row>
    <row r="419" spans="1:41">
      <c r="I419" t="s">
        <v>15</v>
      </c>
      <c r="J419">
        <f>sumif(Plan!B:B,"242-110500-000",Plan!j:j)</f>
        <v>0</v>
      </c>
      <c r="K419">
        <f>sumif(Plan!B:B,"242-110500-000",Plan!k:k)</f>
        <v>0</v>
      </c>
      <c r="L419">
        <f>sumif(Plan!B:B,"242-110500-000",Plan!l:l)</f>
        <v>0</v>
      </c>
      <c r="M419">
        <f>sumif(Plan!B:B,"242-110500-000",Plan!m:m)</f>
        <v>0</v>
      </c>
      <c r="N419">
        <f>sumif(Plan!B:B,"242-110500-000",Plan!n:n)</f>
        <v>0</v>
      </c>
      <c r="O419">
        <f>sumif(Plan!B:B,"242-110500-000",Plan!o:o)</f>
        <v>0</v>
      </c>
      <c r="P419">
        <f>sumif(Plan!B:B,"242-110500-000",Plan!p:p)</f>
        <v>0</v>
      </c>
      <c r="Q419">
        <f>sumif(Plan!B:B,"242-110500-000",Plan!q:q)</f>
        <v>0</v>
      </c>
      <c r="R419">
        <f>sumif(Plan!B:B,"242-110500-000",Plan!r:r)</f>
        <v>0</v>
      </c>
      <c r="S419">
        <f>sumif(Plan!B:B,"242-110500-000",Plan!s:s)</f>
        <v>0</v>
      </c>
      <c r="T419">
        <f>sumif(Plan!B:B,"242-110500-000",Plan!t:t)</f>
        <v>0</v>
      </c>
      <c r="U419">
        <f>sumif(Plan!B:B,"242-110500-000",Plan!u:u)</f>
        <v>0</v>
      </c>
      <c r="V419">
        <f>sumif(Plan!B:B,"242-110500-000",Plan!v:v)</f>
        <v>0</v>
      </c>
      <c r="W419">
        <f>sumif(Plan!B:B,"242-110500-000",Plan!w:w)</f>
        <v>0</v>
      </c>
      <c r="X419">
        <f>sumif(Plan!B:B,"242-110500-000",Plan!x:x)</f>
        <v>0</v>
      </c>
      <c r="Y419">
        <f>sumif(Plan!B:B,"242-110500-000",Plan!y:y)</f>
        <v>0</v>
      </c>
      <c r="Z419">
        <f>sumif(Plan!B:B,"242-110500-000",Plan!z:z)</f>
        <v>0</v>
      </c>
      <c r="AA419">
        <f>sumif(Plan!B:B,"242-110500-000",Plan!aa:aa)</f>
        <v>0</v>
      </c>
      <c r="AB419">
        <f>sumif(Plan!B:B,"242-110500-000",Plan!ab:ab)</f>
        <v>0</v>
      </c>
      <c r="AC419">
        <f>sumif(Plan!B:B,"242-110500-000",Plan!ac:ac)</f>
        <v>0</v>
      </c>
      <c r="AD419">
        <f>sumif(Plan!B:B,"242-110500-000",Plan!ad:ad)</f>
        <v>0</v>
      </c>
      <c r="AE419">
        <f>sumif(Plan!B:B,"242-110500-000",Plan!ae:ae)</f>
        <v>0</v>
      </c>
      <c r="AF419">
        <f>sumif(Plan!B:B,"242-110500-000",Plan!af:af)</f>
        <v>0</v>
      </c>
      <c r="AG419">
        <f>sumif(Plan!B:B,"242-110500-000",Plan!ag:ag)</f>
        <v>0</v>
      </c>
      <c r="AH419">
        <f>sumif(Plan!B:B,"242-110500-000",Plan!ah:ah)</f>
        <v>0</v>
      </c>
      <c r="AI419">
        <f>sumif(Plan!B:B,"242-110500-000",Plan!ai:ai)</f>
        <v>0</v>
      </c>
      <c r="AJ419">
        <f>sumif(Plan!B:B,"242-110500-000",Plan!aj:aj)</f>
        <v>0</v>
      </c>
      <c r="AK419">
        <f>sumif(Plan!B:B,"242-110500-000",Plan!ak:ak)</f>
        <v>0</v>
      </c>
      <c r="AL419">
        <f>sumif(Plan!B:B,"242-110500-000",Plan!al:al)</f>
        <v>0</v>
      </c>
      <c r="AM419">
        <f>sumif(Plan!B:B,"242-110500-000",Plan!am:am)</f>
        <v>0</v>
      </c>
      <c r="AN419">
        <f>sumif(Plan!B:B,"242-110500-000",Plan!an:an)</f>
        <v>0</v>
      </c>
      <c r="AO419">
        <f>sumif(Plan!B:B,"242-110500-000",Plan!ao:ao)</f>
        <v>0</v>
      </c>
    </row>
    <row r="420" spans="1:41">
      <c r="A420" t="s">
        <v>278</v>
      </c>
      <c r="B420" t="s">
        <v>283</v>
      </c>
      <c r="C420" t="s">
        <v>284</v>
      </c>
      <c r="E420">
        <v>0.1</v>
      </c>
      <c r="F420" t="s">
        <v>13</v>
      </c>
      <c r="H420" t="s">
        <v>16</v>
      </c>
      <c r="J420">
        <f>indirect(address(420,9))+indirect(address(418,10))-indirect(address(419,10))</f>
        <v>0</v>
      </c>
      <c r="K420">
        <f>indirect(address(420,10))+indirect(address(418,11))-indirect(address(419,11))</f>
        <v>0</v>
      </c>
      <c r="L420">
        <f>indirect(address(420,11))+indirect(address(418,12))-indirect(address(419,12))</f>
        <v>0</v>
      </c>
      <c r="M420">
        <f>indirect(address(420,12))+indirect(address(418,13))-indirect(address(419,13))</f>
        <v>0</v>
      </c>
      <c r="N420">
        <f>indirect(address(420,13))+indirect(address(418,14))-indirect(address(419,14))</f>
        <v>0</v>
      </c>
      <c r="O420">
        <f>indirect(address(420,14))+indirect(address(418,15))-indirect(address(419,15))</f>
        <v>0</v>
      </c>
      <c r="P420">
        <f>indirect(address(420,15))+indirect(address(418,16))-indirect(address(419,16))</f>
        <v>0</v>
      </c>
      <c r="Q420">
        <f>indirect(address(420,16))+indirect(address(418,17))-indirect(address(419,17))</f>
        <v>0</v>
      </c>
      <c r="R420">
        <f>indirect(address(420,17))+indirect(address(418,18))-indirect(address(419,18))</f>
        <v>0</v>
      </c>
      <c r="S420">
        <f>indirect(address(420,18))+indirect(address(418,19))-indirect(address(419,19))</f>
        <v>0</v>
      </c>
      <c r="T420">
        <f>indirect(address(420,19))+indirect(address(418,20))-indirect(address(419,20))</f>
        <v>0</v>
      </c>
      <c r="U420">
        <f>indirect(address(420,20))+indirect(address(418,21))-indirect(address(419,21))</f>
        <v>0</v>
      </c>
      <c r="V420">
        <f>indirect(address(420,21))+indirect(address(418,22))-indirect(address(419,22))</f>
        <v>0</v>
      </c>
      <c r="W420">
        <f>indirect(address(420,22))+indirect(address(418,23))-indirect(address(419,23))</f>
        <v>0</v>
      </c>
      <c r="X420">
        <f>indirect(address(420,23))+indirect(address(418,24))-indirect(address(419,24))</f>
        <v>0</v>
      </c>
      <c r="Y420">
        <f>indirect(address(420,24))+indirect(address(418,25))-indirect(address(419,25))</f>
        <v>0</v>
      </c>
      <c r="Z420">
        <f>indirect(address(420,25))+indirect(address(418,26))-indirect(address(419,26))</f>
        <v>0</v>
      </c>
      <c r="AA420">
        <f>indirect(address(420,26))+indirect(address(418,27))-indirect(address(419,27))</f>
        <v>0</v>
      </c>
      <c r="AB420">
        <f>indirect(address(420,27))+indirect(address(418,28))-indirect(address(419,28))</f>
        <v>0</v>
      </c>
      <c r="AC420">
        <f>indirect(address(420,28))+indirect(address(418,29))-indirect(address(419,29))</f>
        <v>0</v>
      </c>
      <c r="AD420">
        <f>indirect(address(420,29))+indirect(address(418,30))-indirect(address(419,30))</f>
        <v>0</v>
      </c>
      <c r="AE420">
        <f>indirect(address(420,30))+indirect(address(418,31))-indirect(address(419,31))</f>
        <v>0</v>
      </c>
      <c r="AF420">
        <f>indirect(address(420,31))+indirect(address(418,32))-indirect(address(419,32))</f>
        <v>0</v>
      </c>
      <c r="AG420">
        <f>indirect(address(420,32))+indirect(address(418,33))-indirect(address(419,33))</f>
        <v>0</v>
      </c>
      <c r="AH420">
        <f>indirect(address(420,33))+indirect(address(418,34))-indirect(address(419,34))</f>
        <v>0</v>
      </c>
      <c r="AI420">
        <f>indirect(address(420,34))+indirect(address(418,35))-indirect(address(419,35))</f>
        <v>0</v>
      </c>
      <c r="AJ420">
        <f>indirect(address(420,35))+indirect(address(418,36))-indirect(address(419,36))</f>
        <v>0</v>
      </c>
      <c r="AK420">
        <f>indirect(address(420,36))+indirect(address(418,37))-indirect(address(419,37))</f>
        <v>0</v>
      </c>
      <c r="AL420">
        <f>indirect(address(420,37))+indirect(address(418,38))-indirect(address(419,38))</f>
        <v>0</v>
      </c>
      <c r="AM420">
        <f>indirect(address(420,38))+indirect(address(418,39))-indirect(address(419,39))</f>
        <v>0</v>
      </c>
      <c r="AN420">
        <f>indirect(address(420,39))+indirect(address(418,40))-indirect(address(419,40))</f>
        <v>0</v>
      </c>
      <c r="AO420">
        <f>indirect(address(420,40))+indirect(address(418,41))-indirect(address(419,41))</f>
        <v>0</v>
      </c>
    </row>
    <row r="421" spans="1:41">
      <c r="I421" t="s">
        <v>14</v>
      </c>
      <c r="AO421">
        <f>sum(j421:an421)</f>
        <v>0</v>
      </c>
    </row>
    <row r="422" spans="1:41">
      <c r="I422" t="s">
        <v>15</v>
      </c>
      <c r="J422">
        <f>sumif(Plan!B:B,"924-025056-100",Plan!j:j)</f>
        <v>0</v>
      </c>
      <c r="K422">
        <f>sumif(Plan!B:B,"924-025056-100",Plan!k:k)</f>
        <v>0</v>
      </c>
      <c r="L422">
        <f>sumif(Plan!B:B,"924-025056-100",Plan!l:l)</f>
        <v>0</v>
      </c>
      <c r="M422">
        <f>sumif(Plan!B:B,"924-025056-100",Plan!m:m)</f>
        <v>0</v>
      </c>
      <c r="N422">
        <f>sumif(Plan!B:B,"924-025056-100",Plan!n:n)</f>
        <v>0</v>
      </c>
      <c r="O422">
        <f>sumif(Plan!B:B,"924-025056-100",Plan!o:o)</f>
        <v>0</v>
      </c>
      <c r="P422">
        <f>sumif(Plan!B:B,"924-025056-100",Plan!p:p)</f>
        <v>0</v>
      </c>
      <c r="Q422">
        <f>sumif(Plan!B:B,"924-025056-100",Plan!q:q)</f>
        <v>0</v>
      </c>
      <c r="R422">
        <f>sumif(Plan!B:B,"924-025056-100",Plan!r:r)</f>
        <v>0</v>
      </c>
      <c r="S422">
        <f>sumif(Plan!B:B,"924-025056-100",Plan!s:s)</f>
        <v>0</v>
      </c>
      <c r="T422">
        <f>sumif(Plan!B:B,"924-025056-100",Plan!t:t)</f>
        <v>0</v>
      </c>
      <c r="U422">
        <f>sumif(Plan!B:B,"924-025056-100",Plan!u:u)</f>
        <v>0</v>
      </c>
      <c r="V422">
        <f>sumif(Plan!B:B,"924-025056-100",Plan!v:v)</f>
        <v>0</v>
      </c>
      <c r="W422">
        <f>sumif(Plan!B:B,"924-025056-100",Plan!w:w)</f>
        <v>0</v>
      </c>
      <c r="X422">
        <f>sumif(Plan!B:B,"924-025056-100",Plan!x:x)</f>
        <v>0</v>
      </c>
      <c r="Y422">
        <f>sumif(Plan!B:B,"924-025056-100",Plan!y:y)</f>
        <v>0</v>
      </c>
      <c r="Z422">
        <f>sumif(Plan!B:B,"924-025056-100",Plan!z:z)</f>
        <v>0</v>
      </c>
      <c r="AA422">
        <f>sumif(Plan!B:B,"924-025056-100",Plan!aa:aa)</f>
        <v>0</v>
      </c>
      <c r="AB422">
        <f>sumif(Plan!B:B,"924-025056-100",Plan!ab:ab)</f>
        <v>0</v>
      </c>
      <c r="AC422">
        <f>sumif(Plan!B:B,"924-025056-100",Plan!ac:ac)</f>
        <v>0</v>
      </c>
      <c r="AD422">
        <f>sumif(Plan!B:B,"924-025056-100",Plan!ad:ad)</f>
        <v>0</v>
      </c>
      <c r="AE422">
        <f>sumif(Plan!B:B,"924-025056-100",Plan!ae:ae)</f>
        <v>0</v>
      </c>
      <c r="AF422">
        <f>sumif(Plan!B:B,"924-025056-100",Plan!af:af)</f>
        <v>0</v>
      </c>
      <c r="AG422">
        <f>sumif(Plan!B:B,"924-025056-100",Plan!ag:ag)</f>
        <v>0</v>
      </c>
      <c r="AH422">
        <f>sumif(Plan!B:B,"924-025056-100",Plan!ah:ah)</f>
        <v>0</v>
      </c>
      <c r="AI422">
        <f>sumif(Plan!B:B,"924-025056-100",Plan!ai:ai)</f>
        <v>0</v>
      </c>
      <c r="AJ422">
        <f>sumif(Plan!B:B,"924-025056-100",Plan!aj:aj)</f>
        <v>0</v>
      </c>
      <c r="AK422">
        <f>sumif(Plan!B:B,"924-025056-100",Plan!ak:ak)</f>
        <v>0</v>
      </c>
      <c r="AL422">
        <f>sumif(Plan!B:B,"924-025056-100",Plan!al:al)</f>
        <v>0</v>
      </c>
      <c r="AM422">
        <f>sumif(Plan!B:B,"924-025056-100",Plan!am:am)</f>
        <v>0</v>
      </c>
      <c r="AN422">
        <f>sumif(Plan!B:B,"924-025056-100",Plan!an:an)</f>
        <v>0</v>
      </c>
      <c r="AO422">
        <f>sumif(Plan!B:B,"924-025056-100",Plan!ao:ao)</f>
        <v>0</v>
      </c>
    </row>
    <row r="423" spans="1:41">
      <c r="A423" t="s">
        <v>17</v>
      </c>
      <c r="B423" t="s">
        <v>289</v>
      </c>
      <c r="C423" t="s">
        <v>291</v>
      </c>
      <c r="E423">
        <v>1</v>
      </c>
      <c r="F423" t="s">
        <v>13</v>
      </c>
      <c r="H423" t="s">
        <v>16</v>
      </c>
      <c r="J423">
        <f>indirect(address(423,9))+indirect(address(421,10))-indirect(address(422,10))</f>
        <v>0</v>
      </c>
      <c r="K423">
        <f>indirect(address(423,10))+indirect(address(421,11))-indirect(address(422,11))</f>
        <v>0</v>
      </c>
      <c r="L423">
        <f>indirect(address(423,11))+indirect(address(421,12))-indirect(address(422,12))</f>
        <v>0</v>
      </c>
      <c r="M423">
        <f>indirect(address(423,12))+indirect(address(421,13))-indirect(address(422,13))</f>
        <v>0</v>
      </c>
      <c r="N423">
        <f>indirect(address(423,13))+indirect(address(421,14))-indirect(address(422,14))</f>
        <v>0</v>
      </c>
      <c r="O423">
        <f>indirect(address(423,14))+indirect(address(421,15))-indirect(address(422,15))</f>
        <v>0</v>
      </c>
      <c r="P423">
        <f>indirect(address(423,15))+indirect(address(421,16))-indirect(address(422,16))</f>
        <v>0</v>
      </c>
      <c r="Q423">
        <f>indirect(address(423,16))+indirect(address(421,17))-indirect(address(422,17))</f>
        <v>0</v>
      </c>
      <c r="R423">
        <f>indirect(address(423,17))+indirect(address(421,18))-indirect(address(422,18))</f>
        <v>0</v>
      </c>
      <c r="S423">
        <f>indirect(address(423,18))+indirect(address(421,19))-indirect(address(422,19))</f>
        <v>0</v>
      </c>
      <c r="T423">
        <f>indirect(address(423,19))+indirect(address(421,20))-indirect(address(422,20))</f>
        <v>0</v>
      </c>
      <c r="U423">
        <f>indirect(address(423,20))+indirect(address(421,21))-indirect(address(422,21))</f>
        <v>0</v>
      </c>
      <c r="V423">
        <f>indirect(address(423,21))+indirect(address(421,22))-indirect(address(422,22))</f>
        <v>0</v>
      </c>
      <c r="W423">
        <f>indirect(address(423,22))+indirect(address(421,23))-indirect(address(422,23))</f>
        <v>0</v>
      </c>
      <c r="X423">
        <f>indirect(address(423,23))+indirect(address(421,24))-indirect(address(422,24))</f>
        <v>0</v>
      </c>
      <c r="Y423">
        <f>indirect(address(423,24))+indirect(address(421,25))-indirect(address(422,25))</f>
        <v>0</v>
      </c>
      <c r="Z423">
        <f>indirect(address(423,25))+indirect(address(421,26))-indirect(address(422,26))</f>
        <v>0</v>
      </c>
      <c r="AA423">
        <f>indirect(address(423,26))+indirect(address(421,27))-indirect(address(422,27))</f>
        <v>0</v>
      </c>
      <c r="AB423">
        <f>indirect(address(423,27))+indirect(address(421,28))-indirect(address(422,28))</f>
        <v>0</v>
      </c>
      <c r="AC423">
        <f>indirect(address(423,28))+indirect(address(421,29))-indirect(address(422,29))</f>
        <v>0</v>
      </c>
      <c r="AD423">
        <f>indirect(address(423,29))+indirect(address(421,30))-indirect(address(422,30))</f>
        <v>0</v>
      </c>
      <c r="AE423">
        <f>indirect(address(423,30))+indirect(address(421,31))-indirect(address(422,31))</f>
        <v>0</v>
      </c>
      <c r="AF423">
        <f>indirect(address(423,31))+indirect(address(421,32))-indirect(address(422,32))</f>
        <v>0</v>
      </c>
      <c r="AG423">
        <f>indirect(address(423,32))+indirect(address(421,33))-indirect(address(422,33))</f>
        <v>0</v>
      </c>
      <c r="AH423">
        <f>indirect(address(423,33))+indirect(address(421,34))-indirect(address(422,34))</f>
        <v>0</v>
      </c>
      <c r="AI423">
        <f>indirect(address(423,34))+indirect(address(421,35))-indirect(address(422,35))</f>
        <v>0</v>
      </c>
      <c r="AJ423">
        <f>indirect(address(423,35))+indirect(address(421,36))-indirect(address(422,36))</f>
        <v>0</v>
      </c>
      <c r="AK423">
        <f>indirect(address(423,36))+indirect(address(421,37))-indirect(address(422,37))</f>
        <v>0</v>
      </c>
      <c r="AL423">
        <f>indirect(address(423,37))+indirect(address(421,38))-indirect(address(422,38))</f>
        <v>0</v>
      </c>
      <c r="AM423">
        <f>indirect(address(423,38))+indirect(address(421,39))-indirect(address(422,39))</f>
        <v>0</v>
      </c>
      <c r="AN423">
        <f>indirect(address(423,39))+indirect(address(421,40))-indirect(address(422,40))</f>
        <v>0</v>
      </c>
      <c r="AO423">
        <f>indirect(address(423,40))+indirect(address(421,41))-indirect(address(422,41))</f>
        <v>0</v>
      </c>
    </row>
    <row r="424" spans="1:41">
      <c r="I424" t="s">
        <v>14</v>
      </c>
      <c r="AO424">
        <f>sum(j424:an424)</f>
        <v>0</v>
      </c>
    </row>
    <row r="425" spans="1:41">
      <c r="I425" t="s">
        <v>15</v>
      </c>
      <c r="J425">
        <f>sumif(Plan!B:B,"924-025056-100",Plan!j:j)</f>
        <v>0</v>
      </c>
      <c r="K425">
        <f>sumif(Plan!B:B,"924-025056-100",Plan!k:k)</f>
        <v>0</v>
      </c>
      <c r="L425">
        <f>sumif(Plan!B:B,"924-025056-100",Plan!l:l)</f>
        <v>0</v>
      </c>
      <c r="M425">
        <f>sumif(Plan!B:B,"924-025056-100",Plan!m:m)</f>
        <v>0</v>
      </c>
      <c r="N425">
        <f>sumif(Plan!B:B,"924-025056-100",Plan!n:n)</f>
        <v>0</v>
      </c>
      <c r="O425">
        <f>sumif(Plan!B:B,"924-025056-100",Plan!o:o)</f>
        <v>0</v>
      </c>
      <c r="P425">
        <f>sumif(Plan!B:B,"924-025056-100",Plan!p:p)</f>
        <v>0</v>
      </c>
      <c r="Q425">
        <f>sumif(Plan!B:B,"924-025056-100",Plan!q:q)</f>
        <v>0</v>
      </c>
      <c r="R425">
        <f>sumif(Plan!B:B,"924-025056-100",Plan!r:r)</f>
        <v>0</v>
      </c>
      <c r="S425">
        <f>sumif(Plan!B:B,"924-025056-100",Plan!s:s)</f>
        <v>0</v>
      </c>
      <c r="T425">
        <f>sumif(Plan!B:B,"924-025056-100",Plan!t:t)</f>
        <v>0</v>
      </c>
      <c r="U425">
        <f>sumif(Plan!B:B,"924-025056-100",Plan!u:u)</f>
        <v>0</v>
      </c>
      <c r="V425">
        <f>sumif(Plan!B:B,"924-025056-100",Plan!v:v)</f>
        <v>0</v>
      </c>
      <c r="W425">
        <f>sumif(Plan!B:B,"924-025056-100",Plan!w:w)</f>
        <v>0</v>
      </c>
      <c r="X425">
        <f>sumif(Plan!B:B,"924-025056-100",Plan!x:x)</f>
        <v>0</v>
      </c>
      <c r="Y425">
        <f>sumif(Plan!B:B,"924-025056-100",Plan!y:y)</f>
        <v>0</v>
      </c>
      <c r="Z425">
        <f>sumif(Plan!B:B,"924-025056-100",Plan!z:z)</f>
        <v>0</v>
      </c>
      <c r="AA425">
        <f>sumif(Plan!B:B,"924-025056-100",Plan!aa:aa)</f>
        <v>0</v>
      </c>
      <c r="AB425">
        <f>sumif(Plan!B:B,"924-025056-100",Plan!ab:ab)</f>
        <v>0</v>
      </c>
      <c r="AC425">
        <f>sumif(Plan!B:B,"924-025056-100",Plan!ac:ac)</f>
        <v>0</v>
      </c>
      <c r="AD425">
        <f>sumif(Plan!B:B,"924-025056-100",Plan!ad:ad)</f>
        <v>0</v>
      </c>
      <c r="AE425">
        <f>sumif(Plan!B:B,"924-025056-100",Plan!ae:ae)</f>
        <v>0</v>
      </c>
      <c r="AF425">
        <f>sumif(Plan!B:B,"924-025056-100",Plan!af:af)</f>
        <v>0</v>
      </c>
      <c r="AG425">
        <f>sumif(Plan!B:B,"924-025056-100",Plan!ag:ag)</f>
        <v>0</v>
      </c>
      <c r="AH425">
        <f>sumif(Plan!B:B,"924-025056-100",Plan!ah:ah)</f>
        <v>0</v>
      </c>
      <c r="AI425">
        <f>sumif(Plan!B:B,"924-025056-100",Plan!ai:ai)</f>
        <v>0</v>
      </c>
      <c r="AJ425">
        <f>sumif(Plan!B:B,"924-025056-100",Plan!aj:aj)</f>
        <v>0</v>
      </c>
      <c r="AK425">
        <f>sumif(Plan!B:B,"924-025056-100",Plan!ak:ak)</f>
        <v>0</v>
      </c>
      <c r="AL425">
        <f>sumif(Plan!B:B,"924-025056-100",Plan!al:al)</f>
        <v>0</v>
      </c>
      <c r="AM425">
        <f>sumif(Plan!B:B,"924-025056-100",Plan!am:am)</f>
        <v>0</v>
      </c>
      <c r="AN425">
        <f>sumif(Plan!B:B,"924-025056-100",Plan!an:an)</f>
        <v>0</v>
      </c>
      <c r="AO425">
        <f>sumif(Plan!B:B,"924-025056-100",Plan!ao:ao)</f>
        <v>0</v>
      </c>
    </row>
    <row r="426" spans="1:41">
      <c r="A426" t="s">
        <v>22</v>
      </c>
      <c r="B426" t="s">
        <v>289</v>
      </c>
      <c r="C426" t="s">
        <v>292</v>
      </c>
      <c r="E426">
        <v>1</v>
      </c>
      <c r="F426" t="s">
        <v>13</v>
      </c>
      <c r="H426" t="s">
        <v>16</v>
      </c>
      <c r="J426">
        <f>indirect(address(426,9))+indirect(address(424,10))-indirect(address(425,10))</f>
        <v>0</v>
      </c>
      <c r="K426">
        <f>indirect(address(426,10))+indirect(address(424,11))-indirect(address(425,11))</f>
        <v>0</v>
      </c>
      <c r="L426">
        <f>indirect(address(426,11))+indirect(address(424,12))-indirect(address(425,12))</f>
        <v>0</v>
      </c>
      <c r="M426">
        <f>indirect(address(426,12))+indirect(address(424,13))-indirect(address(425,13))</f>
        <v>0</v>
      </c>
      <c r="N426">
        <f>indirect(address(426,13))+indirect(address(424,14))-indirect(address(425,14))</f>
        <v>0</v>
      </c>
      <c r="O426">
        <f>indirect(address(426,14))+indirect(address(424,15))-indirect(address(425,15))</f>
        <v>0</v>
      </c>
      <c r="P426">
        <f>indirect(address(426,15))+indirect(address(424,16))-indirect(address(425,16))</f>
        <v>0</v>
      </c>
      <c r="Q426">
        <f>indirect(address(426,16))+indirect(address(424,17))-indirect(address(425,17))</f>
        <v>0</v>
      </c>
      <c r="R426">
        <f>indirect(address(426,17))+indirect(address(424,18))-indirect(address(425,18))</f>
        <v>0</v>
      </c>
      <c r="S426">
        <f>indirect(address(426,18))+indirect(address(424,19))-indirect(address(425,19))</f>
        <v>0</v>
      </c>
      <c r="T426">
        <f>indirect(address(426,19))+indirect(address(424,20))-indirect(address(425,20))</f>
        <v>0</v>
      </c>
      <c r="U426">
        <f>indirect(address(426,20))+indirect(address(424,21))-indirect(address(425,21))</f>
        <v>0</v>
      </c>
      <c r="V426">
        <f>indirect(address(426,21))+indirect(address(424,22))-indirect(address(425,22))</f>
        <v>0</v>
      </c>
      <c r="W426">
        <f>indirect(address(426,22))+indirect(address(424,23))-indirect(address(425,23))</f>
        <v>0</v>
      </c>
      <c r="X426">
        <f>indirect(address(426,23))+indirect(address(424,24))-indirect(address(425,24))</f>
        <v>0</v>
      </c>
      <c r="Y426">
        <f>indirect(address(426,24))+indirect(address(424,25))-indirect(address(425,25))</f>
        <v>0</v>
      </c>
      <c r="Z426">
        <f>indirect(address(426,25))+indirect(address(424,26))-indirect(address(425,26))</f>
        <v>0</v>
      </c>
      <c r="AA426">
        <f>indirect(address(426,26))+indirect(address(424,27))-indirect(address(425,27))</f>
        <v>0</v>
      </c>
      <c r="AB426">
        <f>indirect(address(426,27))+indirect(address(424,28))-indirect(address(425,28))</f>
        <v>0</v>
      </c>
      <c r="AC426">
        <f>indirect(address(426,28))+indirect(address(424,29))-indirect(address(425,29))</f>
        <v>0</v>
      </c>
      <c r="AD426">
        <f>indirect(address(426,29))+indirect(address(424,30))-indirect(address(425,30))</f>
        <v>0</v>
      </c>
      <c r="AE426">
        <f>indirect(address(426,30))+indirect(address(424,31))-indirect(address(425,31))</f>
        <v>0</v>
      </c>
      <c r="AF426">
        <f>indirect(address(426,31))+indirect(address(424,32))-indirect(address(425,32))</f>
        <v>0</v>
      </c>
      <c r="AG426">
        <f>indirect(address(426,32))+indirect(address(424,33))-indirect(address(425,33))</f>
        <v>0</v>
      </c>
      <c r="AH426">
        <f>indirect(address(426,33))+indirect(address(424,34))-indirect(address(425,34))</f>
        <v>0</v>
      </c>
      <c r="AI426">
        <f>indirect(address(426,34))+indirect(address(424,35))-indirect(address(425,35))</f>
        <v>0</v>
      </c>
      <c r="AJ426">
        <f>indirect(address(426,35))+indirect(address(424,36))-indirect(address(425,36))</f>
        <v>0</v>
      </c>
      <c r="AK426">
        <f>indirect(address(426,36))+indirect(address(424,37))-indirect(address(425,37))</f>
        <v>0</v>
      </c>
      <c r="AL426">
        <f>indirect(address(426,37))+indirect(address(424,38))-indirect(address(425,38))</f>
        <v>0</v>
      </c>
      <c r="AM426">
        <f>indirect(address(426,38))+indirect(address(424,39))-indirect(address(425,39))</f>
        <v>0</v>
      </c>
      <c r="AN426">
        <f>indirect(address(426,39))+indirect(address(424,40))-indirect(address(425,40))</f>
        <v>0</v>
      </c>
      <c r="AO426">
        <f>indirect(address(426,40))+indirect(address(424,41))-indirect(address(425,41))</f>
        <v>0</v>
      </c>
    </row>
    <row r="427" spans="1:41">
      <c r="I427" t="s">
        <v>14</v>
      </c>
      <c r="AO427">
        <f>sum(j427:an427)</f>
        <v>0</v>
      </c>
    </row>
    <row r="428" spans="1:41">
      <c r="I428" t="s">
        <v>15</v>
      </c>
      <c r="J428">
        <f>sumif(Plan!B:B,"924-025056-100",Plan!j:j)</f>
        <v>0</v>
      </c>
      <c r="K428">
        <f>sumif(Plan!B:B,"924-025056-100",Plan!k:k)</f>
        <v>0</v>
      </c>
      <c r="L428">
        <f>sumif(Plan!B:B,"924-025056-100",Plan!l:l)</f>
        <v>0</v>
      </c>
      <c r="M428">
        <f>sumif(Plan!B:B,"924-025056-100",Plan!m:m)</f>
        <v>0</v>
      </c>
      <c r="N428">
        <f>sumif(Plan!B:B,"924-025056-100",Plan!n:n)</f>
        <v>0</v>
      </c>
      <c r="O428">
        <f>sumif(Plan!B:B,"924-025056-100",Plan!o:o)</f>
        <v>0</v>
      </c>
      <c r="P428">
        <f>sumif(Plan!B:B,"924-025056-100",Plan!p:p)</f>
        <v>0</v>
      </c>
      <c r="Q428">
        <f>sumif(Plan!B:B,"924-025056-100",Plan!q:q)</f>
        <v>0</v>
      </c>
      <c r="R428">
        <f>sumif(Plan!B:B,"924-025056-100",Plan!r:r)</f>
        <v>0</v>
      </c>
      <c r="S428">
        <f>sumif(Plan!B:B,"924-025056-100",Plan!s:s)</f>
        <v>0</v>
      </c>
      <c r="T428">
        <f>sumif(Plan!B:B,"924-025056-100",Plan!t:t)</f>
        <v>0</v>
      </c>
      <c r="U428">
        <f>sumif(Plan!B:B,"924-025056-100",Plan!u:u)</f>
        <v>0</v>
      </c>
      <c r="V428">
        <f>sumif(Plan!B:B,"924-025056-100",Plan!v:v)</f>
        <v>0</v>
      </c>
      <c r="W428">
        <f>sumif(Plan!B:B,"924-025056-100",Plan!w:w)</f>
        <v>0</v>
      </c>
      <c r="X428">
        <f>sumif(Plan!B:B,"924-025056-100",Plan!x:x)</f>
        <v>0</v>
      </c>
      <c r="Y428">
        <f>sumif(Plan!B:B,"924-025056-100",Plan!y:y)</f>
        <v>0</v>
      </c>
      <c r="Z428">
        <f>sumif(Plan!B:B,"924-025056-100",Plan!z:z)</f>
        <v>0</v>
      </c>
      <c r="AA428">
        <f>sumif(Plan!B:B,"924-025056-100",Plan!aa:aa)</f>
        <v>0</v>
      </c>
      <c r="AB428">
        <f>sumif(Plan!B:B,"924-025056-100",Plan!ab:ab)</f>
        <v>0</v>
      </c>
      <c r="AC428">
        <f>sumif(Plan!B:B,"924-025056-100",Plan!ac:ac)</f>
        <v>0</v>
      </c>
      <c r="AD428">
        <f>sumif(Plan!B:B,"924-025056-100",Plan!ad:ad)</f>
        <v>0</v>
      </c>
      <c r="AE428">
        <f>sumif(Plan!B:B,"924-025056-100",Plan!ae:ae)</f>
        <v>0</v>
      </c>
      <c r="AF428">
        <f>sumif(Plan!B:B,"924-025056-100",Plan!af:af)</f>
        <v>0</v>
      </c>
      <c r="AG428">
        <f>sumif(Plan!B:B,"924-025056-100",Plan!ag:ag)</f>
        <v>0</v>
      </c>
      <c r="AH428">
        <f>sumif(Plan!B:B,"924-025056-100",Plan!ah:ah)</f>
        <v>0</v>
      </c>
      <c r="AI428">
        <f>sumif(Plan!B:B,"924-025056-100",Plan!ai:ai)</f>
        <v>0</v>
      </c>
      <c r="AJ428">
        <f>sumif(Plan!B:B,"924-025056-100",Plan!aj:aj)</f>
        <v>0</v>
      </c>
      <c r="AK428">
        <f>sumif(Plan!B:B,"924-025056-100",Plan!ak:ak)</f>
        <v>0</v>
      </c>
      <c r="AL428">
        <f>sumif(Plan!B:B,"924-025056-100",Plan!al:al)</f>
        <v>0</v>
      </c>
      <c r="AM428">
        <f>sumif(Plan!B:B,"924-025056-100",Plan!am:am)</f>
        <v>0</v>
      </c>
      <c r="AN428">
        <f>sumif(Plan!B:B,"924-025056-100",Plan!an:an)</f>
        <v>0</v>
      </c>
      <c r="AO428">
        <f>sumif(Plan!B:B,"924-025056-100",Plan!ao:ao)</f>
        <v>0</v>
      </c>
    </row>
    <row r="429" spans="1:41">
      <c r="A429" t="s">
        <v>22</v>
      </c>
      <c r="B429" t="s">
        <v>289</v>
      </c>
      <c r="C429" t="s">
        <v>293</v>
      </c>
      <c r="E429">
        <v>4</v>
      </c>
      <c r="F429" t="s">
        <v>13</v>
      </c>
      <c r="H429" t="s">
        <v>16</v>
      </c>
      <c r="J429">
        <f>indirect(address(429,9))+indirect(address(427,10))-indirect(address(428,10))</f>
        <v>0</v>
      </c>
      <c r="K429">
        <f>indirect(address(429,10))+indirect(address(427,11))-indirect(address(428,11))</f>
        <v>0</v>
      </c>
      <c r="L429">
        <f>indirect(address(429,11))+indirect(address(427,12))-indirect(address(428,12))</f>
        <v>0</v>
      </c>
      <c r="M429">
        <f>indirect(address(429,12))+indirect(address(427,13))-indirect(address(428,13))</f>
        <v>0</v>
      </c>
      <c r="N429">
        <f>indirect(address(429,13))+indirect(address(427,14))-indirect(address(428,14))</f>
        <v>0</v>
      </c>
      <c r="O429">
        <f>indirect(address(429,14))+indirect(address(427,15))-indirect(address(428,15))</f>
        <v>0</v>
      </c>
      <c r="P429">
        <f>indirect(address(429,15))+indirect(address(427,16))-indirect(address(428,16))</f>
        <v>0</v>
      </c>
      <c r="Q429">
        <f>indirect(address(429,16))+indirect(address(427,17))-indirect(address(428,17))</f>
        <v>0</v>
      </c>
      <c r="R429">
        <f>indirect(address(429,17))+indirect(address(427,18))-indirect(address(428,18))</f>
        <v>0</v>
      </c>
      <c r="S429">
        <f>indirect(address(429,18))+indirect(address(427,19))-indirect(address(428,19))</f>
        <v>0</v>
      </c>
      <c r="T429">
        <f>indirect(address(429,19))+indirect(address(427,20))-indirect(address(428,20))</f>
        <v>0</v>
      </c>
      <c r="U429">
        <f>indirect(address(429,20))+indirect(address(427,21))-indirect(address(428,21))</f>
        <v>0</v>
      </c>
      <c r="V429">
        <f>indirect(address(429,21))+indirect(address(427,22))-indirect(address(428,22))</f>
        <v>0</v>
      </c>
      <c r="W429">
        <f>indirect(address(429,22))+indirect(address(427,23))-indirect(address(428,23))</f>
        <v>0</v>
      </c>
      <c r="X429">
        <f>indirect(address(429,23))+indirect(address(427,24))-indirect(address(428,24))</f>
        <v>0</v>
      </c>
      <c r="Y429">
        <f>indirect(address(429,24))+indirect(address(427,25))-indirect(address(428,25))</f>
        <v>0</v>
      </c>
      <c r="Z429">
        <f>indirect(address(429,25))+indirect(address(427,26))-indirect(address(428,26))</f>
        <v>0</v>
      </c>
      <c r="AA429">
        <f>indirect(address(429,26))+indirect(address(427,27))-indirect(address(428,27))</f>
        <v>0</v>
      </c>
      <c r="AB429">
        <f>indirect(address(429,27))+indirect(address(427,28))-indirect(address(428,28))</f>
        <v>0</v>
      </c>
      <c r="AC429">
        <f>indirect(address(429,28))+indirect(address(427,29))-indirect(address(428,29))</f>
        <v>0</v>
      </c>
      <c r="AD429">
        <f>indirect(address(429,29))+indirect(address(427,30))-indirect(address(428,30))</f>
        <v>0</v>
      </c>
      <c r="AE429">
        <f>indirect(address(429,30))+indirect(address(427,31))-indirect(address(428,31))</f>
        <v>0</v>
      </c>
      <c r="AF429">
        <f>indirect(address(429,31))+indirect(address(427,32))-indirect(address(428,32))</f>
        <v>0</v>
      </c>
      <c r="AG429">
        <f>indirect(address(429,32))+indirect(address(427,33))-indirect(address(428,33))</f>
        <v>0</v>
      </c>
      <c r="AH429">
        <f>indirect(address(429,33))+indirect(address(427,34))-indirect(address(428,34))</f>
        <v>0</v>
      </c>
      <c r="AI429">
        <f>indirect(address(429,34))+indirect(address(427,35))-indirect(address(428,35))</f>
        <v>0</v>
      </c>
      <c r="AJ429">
        <f>indirect(address(429,35))+indirect(address(427,36))-indirect(address(428,36))</f>
        <v>0</v>
      </c>
      <c r="AK429">
        <f>indirect(address(429,36))+indirect(address(427,37))-indirect(address(428,37))</f>
        <v>0</v>
      </c>
      <c r="AL429">
        <f>indirect(address(429,37))+indirect(address(427,38))-indirect(address(428,38))</f>
        <v>0</v>
      </c>
      <c r="AM429">
        <f>indirect(address(429,38))+indirect(address(427,39))-indirect(address(428,39))</f>
        <v>0</v>
      </c>
      <c r="AN429">
        <f>indirect(address(429,39))+indirect(address(427,40))-indirect(address(428,40))</f>
        <v>0</v>
      </c>
      <c r="AO429">
        <f>indirect(address(429,40))+indirect(address(427,41))-indirect(address(428,41))</f>
        <v>0</v>
      </c>
    </row>
    <row r="430" spans="1:41">
      <c r="I430" t="s">
        <v>14</v>
      </c>
      <c r="AO430">
        <f>sum(j430:an430)</f>
        <v>0</v>
      </c>
    </row>
    <row r="431" spans="1:41">
      <c r="I431" t="s">
        <v>15</v>
      </c>
      <c r="J431">
        <f>sumif(Plan!B:B,"924-025056-100",Plan!j:j)</f>
        <v>0</v>
      </c>
      <c r="K431">
        <f>sumif(Plan!B:B,"924-025056-100",Plan!k:k)</f>
        <v>0</v>
      </c>
      <c r="L431">
        <f>sumif(Plan!B:B,"924-025056-100",Plan!l:l)</f>
        <v>0</v>
      </c>
      <c r="M431">
        <f>sumif(Plan!B:B,"924-025056-100",Plan!m:m)</f>
        <v>0</v>
      </c>
      <c r="N431">
        <f>sumif(Plan!B:B,"924-025056-100",Plan!n:n)</f>
        <v>0</v>
      </c>
      <c r="O431">
        <f>sumif(Plan!B:B,"924-025056-100",Plan!o:o)</f>
        <v>0</v>
      </c>
      <c r="P431">
        <f>sumif(Plan!B:B,"924-025056-100",Plan!p:p)</f>
        <v>0</v>
      </c>
      <c r="Q431">
        <f>sumif(Plan!B:B,"924-025056-100",Plan!q:q)</f>
        <v>0</v>
      </c>
      <c r="R431">
        <f>sumif(Plan!B:B,"924-025056-100",Plan!r:r)</f>
        <v>0</v>
      </c>
      <c r="S431">
        <f>sumif(Plan!B:B,"924-025056-100",Plan!s:s)</f>
        <v>0</v>
      </c>
      <c r="T431">
        <f>sumif(Plan!B:B,"924-025056-100",Plan!t:t)</f>
        <v>0</v>
      </c>
      <c r="U431">
        <f>sumif(Plan!B:B,"924-025056-100",Plan!u:u)</f>
        <v>0</v>
      </c>
      <c r="V431">
        <f>sumif(Plan!B:B,"924-025056-100",Plan!v:v)</f>
        <v>0</v>
      </c>
      <c r="W431">
        <f>sumif(Plan!B:B,"924-025056-100",Plan!w:w)</f>
        <v>0</v>
      </c>
      <c r="X431">
        <f>sumif(Plan!B:B,"924-025056-100",Plan!x:x)</f>
        <v>0</v>
      </c>
      <c r="Y431">
        <f>sumif(Plan!B:B,"924-025056-100",Plan!y:y)</f>
        <v>0</v>
      </c>
      <c r="Z431">
        <f>sumif(Plan!B:B,"924-025056-100",Plan!z:z)</f>
        <v>0</v>
      </c>
      <c r="AA431">
        <f>sumif(Plan!B:B,"924-025056-100",Plan!aa:aa)</f>
        <v>0</v>
      </c>
      <c r="AB431">
        <f>sumif(Plan!B:B,"924-025056-100",Plan!ab:ab)</f>
        <v>0</v>
      </c>
      <c r="AC431">
        <f>sumif(Plan!B:B,"924-025056-100",Plan!ac:ac)</f>
        <v>0</v>
      </c>
      <c r="AD431">
        <f>sumif(Plan!B:B,"924-025056-100",Plan!ad:ad)</f>
        <v>0</v>
      </c>
      <c r="AE431">
        <f>sumif(Plan!B:B,"924-025056-100",Plan!ae:ae)</f>
        <v>0</v>
      </c>
      <c r="AF431">
        <f>sumif(Plan!B:B,"924-025056-100",Plan!af:af)</f>
        <v>0</v>
      </c>
      <c r="AG431">
        <f>sumif(Plan!B:B,"924-025056-100",Plan!ag:ag)</f>
        <v>0</v>
      </c>
      <c r="AH431">
        <f>sumif(Plan!B:B,"924-025056-100",Plan!ah:ah)</f>
        <v>0</v>
      </c>
      <c r="AI431">
        <f>sumif(Plan!B:B,"924-025056-100",Plan!ai:ai)</f>
        <v>0</v>
      </c>
      <c r="AJ431">
        <f>sumif(Plan!B:B,"924-025056-100",Plan!aj:aj)</f>
        <v>0</v>
      </c>
      <c r="AK431">
        <f>sumif(Plan!B:B,"924-025056-100",Plan!ak:ak)</f>
        <v>0</v>
      </c>
      <c r="AL431">
        <f>sumif(Plan!B:B,"924-025056-100",Plan!al:al)</f>
        <v>0</v>
      </c>
      <c r="AM431">
        <f>sumif(Plan!B:B,"924-025056-100",Plan!am:am)</f>
        <v>0</v>
      </c>
      <c r="AN431">
        <f>sumif(Plan!B:B,"924-025056-100",Plan!an:an)</f>
        <v>0</v>
      </c>
      <c r="AO431">
        <f>sumif(Plan!B:B,"924-025056-100",Plan!ao:ao)</f>
        <v>0</v>
      </c>
    </row>
    <row r="432" spans="1:41">
      <c r="A432" t="s">
        <v>22</v>
      </c>
      <c r="B432" t="s">
        <v>289</v>
      </c>
      <c r="C432" t="s">
        <v>294</v>
      </c>
      <c r="E432">
        <v>1</v>
      </c>
      <c r="F432" t="s">
        <v>13</v>
      </c>
      <c r="H432" t="s">
        <v>16</v>
      </c>
      <c r="J432">
        <f>indirect(address(432,9))+indirect(address(430,10))-indirect(address(431,10))</f>
        <v>0</v>
      </c>
      <c r="K432">
        <f>indirect(address(432,10))+indirect(address(430,11))-indirect(address(431,11))</f>
        <v>0</v>
      </c>
      <c r="L432">
        <f>indirect(address(432,11))+indirect(address(430,12))-indirect(address(431,12))</f>
        <v>0</v>
      </c>
      <c r="M432">
        <f>indirect(address(432,12))+indirect(address(430,13))-indirect(address(431,13))</f>
        <v>0</v>
      </c>
      <c r="N432">
        <f>indirect(address(432,13))+indirect(address(430,14))-indirect(address(431,14))</f>
        <v>0</v>
      </c>
      <c r="O432">
        <f>indirect(address(432,14))+indirect(address(430,15))-indirect(address(431,15))</f>
        <v>0</v>
      </c>
      <c r="P432">
        <f>indirect(address(432,15))+indirect(address(430,16))-indirect(address(431,16))</f>
        <v>0</v>
      </c>
      <c r="Q432">
        <f>indirect(address(432,16))+indirect(address(430,17))-indirect(address(431,17))</f>
        <v>0</v>
      </c>
      <c r="R432">
        <f>indirect(address(432,17))+indirect(address(430,18))-indirect(address(431,18))</f>
        <v>0</v>
      </c>
      <c r="S432">
        <f>indirect(address(432,18))+indirect(address(430,19))-indirect(address(431,19))</f>
        <v>0</v>
      </c>
      <c r="T432">
        <f>indirect(address(432,19))+indirect(address(430,20))-indirect(address(431,20))</f>
        <v>0</v>
      </c>
      <c r="U432">
        <f>indirect(address(432,20))+indirect(address(430,21))-indirect(address(431,21))</f>
        <v>0</v>
      </c>
      <c r="V432">
        <f>indirect(address(432,21))+indirect(address(430,22))-indirect(address(431,22))</f>
        <v>0</v>
      </c>
      <c r="W432">
        <f>indirect(address(432,22))+indirect(address(430,23))-indirect(address(431,23))</f>
        <v>0</v>
      </c>
      <c r="X432">
        <f>indirect(address(432,23))+indirect(address(430,24))-indirect(address(431,24))</f>
        <v>0</v>
      </c>
      <c r="Y432">
        <f>indirect(address(432,24))+indirect(address(430,25))-indirect(address(431,25))</f>
        <v>0</v>
      </c>
      <c r="Z432">
        <f>indirect(address(432,25))+indirect(address(430,26))-indirect(address(431,26))</f>
        <v>0</v>
      </c>
      <c r="AA432">
        <f>indirect(address(432,26))+indirect(address(430,27))-indirect(address(431,27))</f>
        <v>0</v>
      </c>
      <c r="AB432">
        <f>indirect(address(432,27))+indirect(address(430,28))-indirect(address(431,28))</f>
        <v>0</v>
      </c>
      <c r="AC432">
        <f>indirect(address(432,28))+indirect(address(430,29))-indirect(address(431,29))</f>
        <v>0</v>
      </c>
      <c r="AD432">
        <f>indirect(address(432,29))+indirect(address(430,30))-indirect(address(431,30))</f>
        <v>0</v>
      </c>
      <c r="AE432">
        <f>indirect(address(432,30))+indirect(address(430,31))-indirect(address(431,31))</f>
        <v>0</v>
      </c>
      <c r="AF432">
        <f>indirect(address(432,31))+indirect(address(430,32))-indirect(address(431,32))</f>
        <v>0</v>
      </c>
      <c r="AG432">
        <f>indirect(address(432,32))+indirect(address(430,33))-indirect(address(431,33))</f>
        <v>0</v>
      </c>
      <c r="AH432">
        <f>indirect(address(432,33))+indirect(address(430,34))-indirect(address(431,34))</f>
        <v>0</v>
      </c>
      <c r="AI432">
        <f>indirect(address(432,34))+indirect(address(430,35))-indirect(address(431,35))</f>
        <v>0</v>
      </c>
      <c r="AJ432">
        <f>indirect(address(432,35))+indirect(address(430,36))-indirect(address(431,36))</f>
        <v>0</v>
      </c>
      <c r="AK432">
        <f>indirect(address(432,36))+indirect(address(430,37))-indirect(address(431,37))</f>
        <v>0</v>
      </c>
      <c r="AL432">
        <f>indirect(address(432,37))+indirect(address(430,38))-indirect(address(431,38))</f>
        <v>0</v>
      </c>
      <c r="AM432">
        <f>indirect(address(432,38))+indirect(address(430,39))-indirect(address(431,39))</f>
        <v>0</v>
      </c>
      <c r="AN432">
        <f>indirect(address(432,39))+indirect(address(430,40))-indirect(address(431,40))</f>
        <v>0</v>
      </c>
      <c r="AO432">
        <f>indirect(address(432,40))+indirect(address(430,41))-indirect(address(431,41))</f>
        <v>0</v>
      </c>
    </row>
    <row r="433" spans="1:41">
      <c r="I433" t="s">
        <v>14</v>
      </c>
      <c r="AO433">
        <f>sum(j433:an433)</f>
        <v>0</v>
      </c>
    </row>
    <row r="434" spans="1:41">
      <c r="I434" t="s">
        <v>15</v>
      </c>
      <c r="J434">
        <f>sumif(Plan!B:B,"924-025056-100",Plan!j:j)</f>
        <v>0</v>
      </c>
      <c r="K434">
        <f>sumif(Plan!B:B,"924-025056-100",Plan!k:k)</f>
        <v>0</v>
      </c>
      <c r="L434">
        <f>sumif(Plan!B:B,"924-025056-100",Plan!l:l)</f>
        <v>0</v>
      </c>
      <c r="M434">
        <f>sumif(Plan!B:B,"924-025056-100",Plan!m:m)</f>
        <v>0</v>
      </c>
      <c r="N434">
        <f>sumif(Plan!B:B,"924-025056-100",Plan!n:n)</f>
        <v>0</v>
      </c>
      <c r="O434">
        <f>sumif(Plan!B:B,"924-025056-100",Plan!o:o)</f>
        <v>0</v>
      </c>
      <c r="P434">
        <f>sumif(Plan!B:B,"924-025056-100",Plan!p:p)</f>
        <v>0</v>
      </c>
      <c r="Q434">
        <f>sumif(Plan!B:B,"924-025056-100",Plan!q:q)</f>
        <v>0</v>
      </c>
      <c r="R434">
        <f>sumif(Plan!B:B,"924-025056-100",Plan!r:r)</f>
        <v>0</v>
      </c>
      <c r="S434">
        <f>sumif(Plan!B:B,"924-025056-100",Plan!s:s)</f>
        <v>0</v>
      </c>
      <c r="T434">
        <f>sumif(Plan!B:B,"924-025056-100",Plan!t:t)</f>
        <v>0</v>
      </c>
      <c r="U434">
        <f>sumif(Plan!B:B,"924-025056-100",Plan!u:u)</f>
        <v>0</v>
      </c>
      <c r="V434">
        <f>sumif(Plan!B:B,"924-025056-100",Plan!v:v)</f>
        <v>0</v>
      </c>
      <c r="W434">
        <f>sumif(Plan!B:B,"924-025056-100",Plan!w:w)</f>
        <v>0</v>
      </c>
      <c r="X434">
        <f>sumif(Plan!B:B,"924-025056-100",Plan!x:x)</f>
        <v>0</v>
      </c>
      <c r="Y434">
        <f>sumif(Plan!B:B,"924-025056-100",Plan!y:y)</f>
        <v>0</v>
      </c>
      <c r="Z434">
        <f>sumif(Plan!B:B,"924-025056-100",Plan!z:z)</f>
        <v>0</v>
      </c>
      <c r="AA434">
        <f>sumif(Plan!B:B,"924-025056-100",Plan!aa:aa)</f>
        <v>0</v>
      </c>
      <c r="AB434">
        <f>sumif(Plan!B:B,"924-025056-100",Plan!ab:ab)</f>
        <v>0</v>
      </c>
      <c r="AC434">
        <f>sumif(Plan!B:B,"924-025056-100",Plan!ac:ac)</f>
        <v>0</v>
      </c>
      <c r="AD434">
        <f>sumif(Plan!B:B,"924-025056-100",Plan!ad:ad)</f>
        <v>0</v>
      </c>
      <c r="AE434">
        <f>sumif(Plan!B:B,"924-025056-100",Plan!ae:ae)</f>
        <v>0</v>
      </c>
      <c r="AF434">
        <f>sumif(Plan!B:B,"924-025056-100",Plan!af:af)</f>
        <v>0</v>
      </c>
      <c r="AG434">
        <f>sumif(Plan!B:B,"924-025056-100",Plan!ag:ag)</f>
        <v>0</v>
      </c>
      <c r="AH434">
        <f>sumif(Plan!B:B,"924-025056-100",Plan!ah:ah)</f>
        <v>0</v>
      </c>
      <c r="AI434">
        <f>sumif(Plan!B:B,"924-025056-100",Plan!ai:ai)</f>
        <v>0</v>
      </c>
      <c r="AJ434">
        <f>sumif(Plan!B:B,"924-025056-100",Plan!aj:aj)</f>
        <v>0</v>
      </c>
      <c r="AK434">
        <f>sumif(Plan!B:B,"924-025056-100",Plan!ak:ak)</f>
        <v>0</v>
      </c>
      <c r="AL434">
        <f>sumif(Plan!B:B,"924-025056-100",Plan!al:al)</f>
        <v>0</v>
      </c>
      <c r="AM434">
        <f>sumif(Plan!B:B,"924-025056-100",Plan!am:am)</f>
        <v>0</v>
      </c>
      <c r="AN434">
        <f>sumif(Plan!B:B,"924-025056-100",Plan!an:an)</f>
        <v>0</v>
      </c>
      <c r="AO434">
        <f>sumif(Plan!B:B,"924-025056-100",Plan!ao:ao)</f>
        <v>0</v>
      </c>
    </row>
    <row r="435" spans="1:41">
      <c r="A435" t="s">
        <v>78</v>
      </c>
      <c r="B435" t="s">
        <v>289</v>
      </c>
      <c r="C435" t="s">
        <v>295</v>
      </c>
      <c r="E435">
        <v>0.05</v>
      </c>
      <c r="F435" t="s">
        <v>13</v>
      </c>
      <c r="H435" t="s">
        <v>16</v>
      </c>
      <c r="J435">
        <f>indirect(address(435,9))+indirect(address(433,10))-indirect(address(434,10))</f>
        <v>0</v>
      </c>
      <c r="K435">
        <f>indirect(address(435,10))+indirect(address(433,11))-indirect(address(434,11))</f>
        <v>0</v>
      </c>
      <c r="L435">
        <f>indirect(address(435,11))+indirect(address(433,12))-indirect(address(434,12))</f>
        <v>0</v>
      </c>
      <c r="M435">
        <f>indirect(address(435,12))+indirect(address(433,13))-indirect(address(434,13))</f>
        <v>0</v>
      </c>
      <c r="N435">
        <f>indirect(address(435,13))+indirect(address(433,14))-indirect(address(434,14))</f>
        <v>0</v>
      </c>
      <c r="O435">
        <f>indirect(address(435,14))+indirect(address(433,15))-indirect(address(434,15))</f>
        <v>0</v>
      </c>
      <c r="P435">
        <f>indirect(address(435,15))+indirect(address(433,16))-indirect(address(434,16))</f>
        <v>0</v>
      </c>
      <c r="Q435">
        <f>indirect(address(435,16))+indirect(address(433,17))-indirect(address(434,17))</f>
        <v>0</v>
      </c>
      <c r="R435">
        <f>indirect(address(435,17))+indirect(address(433,18))-indirect(address(434,18))</f>
        <v>0</v>
      </c>
      <c r="S435">
        <f>indirect(address(435,18))+indirect(address(433,19))-indirect(address(434,19))</f>
        <v>0</v>
      </c>
      <c r="T435">
        <f>indirect(address(435,19))+indirect(address(433,20))-indirect(address(434,20))</f>
        <v>0</v>
      </c>
      <c r="U435">
        <f>indirect(address(435,20))+indirect(address(433,21))-indirect(address(434,21))</f>
        <v>0</v>
      </c>
      <c r="V435">
        <f>indirect(address(435,21))+indirect(address(433,22))-indirect(address(434,22))</f>
        <v>0</v>
      </c>
      <c r="W435">
        <f>indirect(address(435,22))+indirect(address(433,23))-indirect(address(434,23))</f>
        <v>0</v>
      </c>
      <c r="X435">
        <f>indirect(address(435,23))+indirect(address(433,24))-indirect(address(434,24))</f>
        <v>0</v>
      </c>
      <c r="Y435">
        <f>indirect(address(435,24))+indirect(address(433,25))-indirect(address(434,25))</f>
        <v>0</v>
      </c>
      <c r="Z435">
        <f>indirect(address(435,25))+indirect(address(433,26))-indirect(address(434,26))</f>
        <v>0</v>
      </c>
      <c r="AA435">
        <f>indirect(address(435,26))+indirect(address(433,27))-indirect(address(434,27))</f>
        <v>0</v>
      </c>
      <c r="AB435">
        <f>indirect(address(435,27))+indirect(address(433,28))-indirect(address(434,28))</f>
        <v>0</v>
      </c>
      <c r="AC435">
        <f>indirect(address(435,28))+indirect(address(433,29))-indirect(address(434,29))</f>
        <v>0</v>
      </c>
      <c r="AD435">
        <f>indirect(address(435,29))+indirect(address(433,30))-indirect(address(434,30))</f>
        <v>0</v>
      </c>
      <c r="AE435">
        <f>indirect(address(435,30))+indirect(address(433,31))-indirect(address(434,31))</f>
        <v>0</v>
      </c>
      <c r="AF435">
        <f>indirect(address(435,31))+indirect(address(433,32))-indirect(address(434,32))</f>
        <v>0</v>
      </c>
      <c r="AG435">
        <f>indirect(address(435,32))+indirect(address(433,33))-indirect(address(434,33))</f>
        <v>0</v>
      </c>
      <c r="AH435">
        <f>indirect(address(435,33))+indirect(address(433,34))-indirect(address(434,34))</f>
        <v>0</v>
      </c>
      <c r="AI435">
        <f>indirect(address(435,34))+indirect(address(433,35))-indirect(address(434,35))</f>
        <v>0</v>
      </c>
      <c r="AJ435">
        <f>indirect(address(435,35))+indirect(address(433,36))-indirect(address(434,36))</f>
        <v>0</v>
      </c>
      <c r="AK435">
        <f>indirect(address(435,36))+indirect(address(433,37))-indirect(address(434,37))</f>
        <v>0</v>
      </c>
      <c r="AL435">
        <f>indirect(address(435,37))+indirect(address(433,38))-indirect(address(434,38))</f>
        <v>0</v>
      </c>
      <c r="AM435">
        <f>indirect(address(435,38))+indirect(address(433,39))-indirect(address(434,39))</f>
        <v>0</v>
      </c>
      <c r="AN435">
        <f>indirect(address(435,39))+indirect(address(433,40))-indirect(address(434,40))</f>
        <v>0</v>
      </c>
      <c r="AO435">
        <f>indirect(address(435,40))+indirect(address(433,41))-indirect(address(434,41))</f>
        <v>0</v>
      </c>
    </row>
    <row r="436" spans="1:41">
      <c r="I436" t="s">
        <v>14</v>
      </c>
      <c r="AO436">
        <f>sum(j436:an436)</f>
        <v>0</v>
      </c>
    </row>
    <row r="437" spans="1:41">
      <c r="I437" t="s">
        <v>15</v>
      </c>
      <c r="J437">
        <f>sumif(Plan!B:B,"924-025056-100",Plan!j:j)</f>
        <v>0</v>
      </c>
      <c r="K437">
        <f>sumif(Plan!B:B,"924-025056-100",Plan!k:k)</f>
        <v>0</v>
      </c>
      <c r="L437">
        <f>sumif(Plan!B:B,"924-025056-100",Plan!l:l)</f>
        <v>0</v>
      </c>
      <c r="M437">
        <f>sumif(Plan!B:B,"924-025056-100",Plan!m:m)</f>
        <v>0</v>
      </c>
      <c r="N437">
        <f>sumif(Plan!B:B,"924-025056-100",Plan!n:n)</f>
        <v>0</v>
      </c>
      <c r="O437">
        <f>sumif(Plan!B:B,"924-025056-100",Plan!o:o)</f>
        <v>0</v>
      </c>
      <c r="P437">
        <f>sumif(Plan!B:B,"924-025056-100",Plan!p:p)</f>
        <v>0</v>
      </c>
      <c r="Q437">
        <f>sumif(Plan!B:B,"924-025056-100",Plan!q:q)</f>
        <v>0</v>
      </c>
      <c r="R437">
        <f>sumif(Plan!B:B,"924-025056-100",Plan!r:r)</f>
        <v>0</v>
      </c>
      <c r="S437">
        <f>sumif(Plan!B:B,"924-025056-100",Plan!s:s)</f>
        <v>0</v>
      </c>
      <c r="T437">
        <f>sumif(Plan!B:B,"924-025056-100",Plan!t:t)</f>
        <v>0</v>
      </c>
      <c r="U437">
        <f>sumif(Plan!B:B,"924-025056-100",Plan!u:u)</f>
        <v>0</v>
      </c>
      <c r="V437">
        <f>sumif(Plan!B:B,"924-025056-100",Plan!v:v)</f>
        <v>0</v>
      </c>
      <c r="W437">
        <f>sumif(Plan!B:B,"924-025056-100",Plan!w:w)</f>
        <v>0</v>
      </c>
      <c r="X437">
        <f>sumif(Plan!B:B,"924-025056-100",Plan!x:x)</f>
        <v>0</v>
      </c>
      <c r="Y437">
        <f>sumif(Plan!B:B,"924-025056-100",Plan!y:y)</f>
        <v>0</v>
      </c>
      <c r="Z437">
        <f>sumif(Plan!B:B,"924-025056-100",Plan!z:z)</f>
        <v>0</v>
      </c>
      <c r="AA437">
        <f>sumif(Plan!B:B,"924-025056-100",Plan!aa:aa)</f>
        <v>0</v>
      </c>
      <c r="AB437">
        <f>sumif(Plan!B:B,"924-025056-100",Plan!ab:ab)</f>
        <v>0</v>
      </c>
      <c r="AC437">
        <f>sumif(Plan!B:B,"924-025056-100",Plan!ac:ac)</f>
        <v>0</v>
      </c>
      <c r="AD437">
        <f>sumif(Plan!B:B,"924-025056-100",Plan!ad:ad)</f>
        <v>0</v>
      </c>
      <c r="AE437">
        <f>sumif(Plan!B:B,"924-025056-100",Plan!ae:ae)</f>
        <v>0</v>
      </c>
      <c r="AF437">
        <f>sumif(Plan!B:B,"924-025056-100",Plan!af:af)</f>
        <v>0</v>
      </c>
      <c r="AG437">
        <f>sumif(Plan!B:B,"924-025056-100",Plan!ag:ag)</f>
        <v>0</v>
      </c>
      <c r="AH437">
        <f>sumif(Plan!B:B,"924-025056-100",Plan!ah:ah)</f>
        <v>0</v>
      </c>
      <c r="AI437">
        <f>sumif(Plan!B:B,"924-025056-100",Plan!ai:ai)</f>
        <v>0</v>
      </c>
      <c r="AJ437">
        <f>sumif(Plan!B:B,"924-025056-100",Plan!aj:aj)</f>
        <v>0</v>
      </c>
      <c r="AK437">
        <f>sumif(Plan!B:B,"924-025056-100",Plan!ak:ak)</f>
        <v>0</v>
      </c>
      <c r="AL437">
        <f>sumif(Plan!B:B,"924-025056-100",Plan!al:al)</f>
        <v>0</v>
      </c>
      <c r="AM437">
        <f>sumif(Plan!B:B,"924-025056-100",Plan!am:am)</f>
        <v>0</v>
      </c>
      <c r="AN437">
        <f>sumif(Plan!B:B,"924-025056-100",Plan!an:an)</f>
        <v>0</v>
      </c>
      <c r="AO437">
        <f>sumif(Plan!B:B,"924-025056-100",Plan!ao:ao)</f>
        <v>0</v>
      </c>
    </row>
    <row r="438" spans="1:41">
      <c r="A438" t="s">
        <v>43</v>
      </c>
      <c r="B438" t="s">
        <v>289</v>
      </c>
      <c r="C438" t="s">
        <v>296</v>
      </c>
      <c r="E438">
        <v>0.05</v>
      </c>
      <c r="F438" t="s">
        <v>13</v>
      </c>
      <c r="H438" t="s">
        <v>16</v>
      </c>
      <c r="J438">
        <f>indirect(address(438,9))+indirect(address(436,10))-indirect(address(437,10))</f>
        <v>0</v>
      </c>
      <c r="K438">
        <f>indirect(address(438,10))+indirect(address(436,11))-indirect(address(437,11))</f>
        <v>0</v>
      </c>
      <c r="L438">
        <f>indirect(address(438,11))+indirect(address(436,12))-indirect(address(437,12))</f>
        <v>0</v>
      </c>
      <c r="M438">
        <f>indirect(address(438,12))+indirect(address(436,13))-indirect(address(437,13))</f>
        <v>0</v>
      </c>
      <c r="N438">
        <f>indirect(address(438,13))+indirect(address(436,14))-indirect(address(437,14))</f>
        <v>0</v>
      </c>
      <c r="O438">
        <f>indirect(address(438,14))+indirect(address(436,15))-indirect(address(437,15))</f>
        <v>0</v>
      </c>
      <c r="P438">
        <f>indirect(address(438,15))+indirect(address(436,16))-indirect(address(437,16))</f>
        <v>0</v>
      </c>
      <c r="Q438">
        <f>indirect(address(438,16))+indirect(address(436,17))-indirect(address(437,17))</f>
        <v>0</v>
      </c>
      <c r="R438">
        <f>indirect(address(438,17))+indirect(address(436,18))-indirect(address(437,18))</f>
        <v>0</v>
      </c>
      <c r="S438">
        <f>indirect(address(438,18))+indirect(address(436,19))-indirect(address(437,19))</f>
        <v>0</v>
      </c>
      <c r="T438">
        <f>indirect(address(438,19))+indirect(address(436,20))-indirect(address(437,20))</f>
        <v>0</v>
      </c>
      <c r="U438">
        <f>indirect(address(438,20))+indirect(address(436,21))-indirect(address(437,21))</f>
        <v>0</v>
      </c>
      <c r="V438">
        <f>indirect(address(438,21))+indirect(address(436,22))-indirect(address(437,22))</f>
        <v>0</v>
      </c>
      <c r="W438">
        <f>indirect(address(438,22))+indirect(address(436,23))-indirect(address(437,23))</f>
        <v>0</v>
      </c>
      <c r="X438">
        <f>indirect(address(438,23))+indirect(address(436,24))-indirect(address(437,24))</f>
        <v>0</v>
      </c>
      <c r="Y438">
        <f>indirect(address(438,24))+indirect(address(436,25))-indirect(address(437,25))</f>
        <v>0</v>
      </c>
      <c r="Z438">
        <f>indirect(address(438,25))+indirect(address(436,26))-indirect(address(437,26))</f>
        <v>0</v>
      </c>
      <c r="AA438">
        <f>indirect(address(438,26))+indirect(address(436,27))-indirect(address(437,27))</f>
        <v>0</v>
      </c>
      <c r="AB438">
        <f>indirect(address(438,27))+indirect(address(436,28))-indirect(address(437,28))</f>
        <v>0</v>
      </c>
      <c r="AC438">
        <f>indirect(address(438,28))+indirect(address(436,29))-indirect(address(437,29))</f>
        <v>0</v>
      </c>
      <c r="AD438">
        <f>indirect(address(438,29))+indirect(address(436,30))-indirect(address(437,30))</f>
        <v>0</v>
      </c>
      <c r="AE438">
        <f>indirect(address(438,30))+indirect(address(436,31))-indirect(address(437,31))</f>
        <v>0</v>
      </c>
      <c r="AF438">
        <f>indirect(address(438,31))+indirect(address(436,32))-indirect(address(437,32))</f>
        <v>0</v>
      </c>
      <c r="AG438">
        <f>indirect(address(438,32))+indirect(address(436,33))-indirect(address(437,33))</f>
        <v>0</v>
      </c>
      <c r="AH438">
        <f>indirect(address(438,33))+indirect(address(436,34))-indirect(address(437,34))</f>
        <v>0</v>
      </c>
      <c r="AI438">
        <f>indirect(address(438,34))+indirect(address(436,35))-indirect(address(437,35))</f>
        <v>0</v>
      </c>
      <c r="AJ438">
        <f>indirect(address(438,35))+indirect(address(436,36))-indirect(address(437,36))</f>
        <v>0</v>
      </c>
      <c r="AK438">
        <f>indirect(address(438,36))+indirect(address(436,37))-indirect(address(437,37))</f>
        <v>0</v>
      </c>
      <c r="AL438">
        <f>indirect(address(438,37))+indirect(address(436,38))-indirect(address(437,38))</f>
        <v>0</v>
      </c>
      <c r="AM438">
        <f>indirect(address(438,38))+indirect(address(436,39))-indirect(address(437,39))</f>
        <v>0</v>
      </c>
      <c r="AN438">
        <f>indirect(address(438,39))+indirect(address(436,40))-indirect(address(437,40))</f>
        <v>0</v>
      </c>
      <c r="AO438">
        <f>indirect(address(438,40))+indirect(address(436,41))-indirect(address(437,41))</f>
        <v>0</v>
      </c>
    </row>
    <row r="439" spans="1:41">
      <c r="I439" t="s">
        <v>14</v>
      </c>
      <c r="AO439">
        <f>sum(j439:an439)</f>
        <v>0</v>
      </c>
    </row>
    <row r="440" spans="1:41">
      <c r="I440" t="s">
        <v>15</v>
      </c>
      <c r="J440">
        <f>sumif(Plan!B:B,"924-025056-200",Plan!j:j)</f>
        <v>0</v>
      </c>
      <c r="K440">
        <f>sumif(Plan!B:B,"924-025056-200",Plan!k:k)</f>
        <v>0</v>
      </c>
      <c r="L440">
        <f>sumif(Plan!B:B,"924-025056-200",Plan!l:l)</f>
        <v>0</v>
      </c>
      <c r="M440">
        <f>sumif(Plan!B:B,"924-025056-200",Plan!m:m)</f>
        <v>0</v>
      </c>
      <c r="N440">
        <f>sumif(Plan!B:B,"924-025056-200",Plan!n:n)</f>
        <v>0</v>
      </c>
      <c r="O440">
        <f>sumif(Plan!B:B,"924-025056-200",Plan!o:o)</f>
        <v>0</v>
      </c>
      <c r="P440">
        <f>sumif(Plan!B:B,"924-025056-200",Plan!p:p)</f>
        <v>0</v>
      </c>
      <c r="Q440">
        <f>sumif(Plan!B:B,"924-025056-200",Plan!q:q)</f>
        <v>0</v>
      </c>
      <c r="R440">
        <f>sumif(Plan!B:B,"924-025056-200",Plan!r:r)</f>
        <v>0</v>
      </c>
      <c r="S440">
        <f>sumif(Plan!B:B,"924-025056-200",Plan!s:s)</f>
        <v>0</v>
      </c>
      <c r="T440">
        <f>sumif(Plan!B:B,"924-025056-200",Plan!t:t)</f>
        <v>0</v>
      </c>
      <c r="U440">
        <f>sumif(Plan!B:B,"924-025056-200",Plan!u:u)</f>
        <v>0</v>
      </c>
      <c r="V440">
        <f>sumif(Plan!B:B,"924-025056-200",Plan!v:v)</f>
        <v>0</v>
      </c>
      <c r="W440">
        <f>sumif(Plan!B:B,"924-025056-200",Plan!w:w)</f>
        <v>0</v>
      </c>
      <c r="X440">
        <f>sumif(Plan!B:B,"924-025056-200",Plan!x:x)</f>
        <v>0</v>
      </c>
      <c r="Y440">
        <f>sumif(Plan!B:B,"924-025056-200",Plan!y:y)</f>
        <v>0</v>
      </c>
      <c r="Z440">
        <f>sumif(Plan!B:B,"924-025056-200",Plan!z:z)</f>
        <v>0</v>
      </c>
      <c r="AA440">
        <f>sumif(Plan!B:B,"924-025056-200",Plan!aa:aa)</f>
        <v>0</v>
      </c>
      <c r="AB440">
        <f>sumif(Plan!B:B,"924-025056-200",Plan!ab:ab)</f>
        <v>0</v>
      </c>
      <c r="AC440">
        <f>sumif(Plan!B:B,"924-025056-200",Plan!ac:ac)</f>
        <v>0</v>
      </c>
      <c r="AD440">
        <f>sumif(Plan!B:B,"924-025056-200",Plan!ad:ad)</f>
        <v>0</v>
      </c>
      <c r="AE440">
        <f>sumif(Plan!B:B,"924-025056-200",Plan!ae:ae)</f>
        <v>0</v>
      </c>
      <c r="AF440">
        <f>sumif(Plan!B:B,"924-025056-200",Plan!af:af)</f>
        <v>0</v>
      </c>
      <c r="AG440">
        <f>sumif(Plan!B:B,"924-025056-200",Plan!ag:ag)</f>
        <v>0</v>
      </c>
      <c r="AH440">
        <f>sumif(Plan!B:B,"924-025056-200",Plan!ah:ah)</f>
        <v>0</v>
      </c>
      <c r="AI440">
        <f>sumif(Plan!B:B,"924-025056-200",Plan!ai:ai)</f>
        <v>0</v>
      </c>
      <c r="AJ440">
        <f>sumif(Plan!B:B,"924-025056-200",Plan!aj:aj)</f>
        <v>0</v>
      </c>
      <c r="AK440">
        <f>sumif(Plan!B:B,"924-025056-200",Plan!ak:ak)</f>
        <v>0</v>
      </c>
      <c r="AL440">
        <f>sumif(Plan!B:B,"924-025056-200",Plan!al:al)</f>
        <v>0</v>
      </c>
      <c r="AM440">
        <f>sumif(Plan!B:B,"924-025056-200",Plan!am:am)</f>
        <v>0</v>
      </c>
      <c r="AN440">
        <f>sumif(Plan!B:B,"924-025056-200",Plan!an:an)</f>
        <v>0</v>
      </c>
      <c r="AO440">
        <f>sumif(Plan!B:B,"924-025056-200",Plan!ao:ao)</f>
        <v>0</v>
      </c>
    </row>
    <row r="441" spans="1:41">
      <c r="A441" t="s">
        <v>17</v>
      </c>
      <c r="B441" t="s">
        <v>297</v>
      </c>
      <c r="C441" t="s">
        <v>299</v>
      </c>
      <c r="E441">
        <v>1</v>
      </c>
      <c r="F441" t="s">
        <v>13</v>
      </c>
      <c r="H441" t="s">
        <v>16</v>
      </c>
      <c r="J441">
        <f>indirect(address(441,9))+indirect(address(439,10))-indirect(address(440,10))</f>
        <v>0</v>
      </c>
      <c r="K441">
        <f>indirect(address(441,10))+indirect(address(439,11))-indirect(address(440,11))</f>
        <v>0</v>
      </c>
      <c r="L441">
        <f>indirect(address(441,11))+indirect(address(439,12))-indirect(address(440,12))</f>
        <v>0</v>
      </c>
      <c r="M441">
        <f>indirect(address(441,12))+indirect(address(439,13))-indirect(address(440,13))</f>
        <v>0</v>
      </c>
      <c r="N441">
        <f>indirect(address(441,13))+indirect(address(439,14))-indirect(address(440,14))</f>
        <v>0</v>
      </c>
      <c r="O441">
        <f>indirect(address(441,14))+indirect(address(439,15))-indirect(address(440,15))</f>
        <v>0</v>
      </c>
      <c r="P441">
        <f>indirect(address(441,15))+indirect(address(439,16))-indirect(address(440,16))</f>
        <v>0</v>
      </c>
      <c r="Q441">
        <f>indirect(address(441,16))+indirect(address(439,17))-indirect(address(440,17))</f>
        <v>0</v>
      </c>
      <c r="R441">
        <f>indirect(address(441,17))+indirect(address(439,18))-indirect(address(440,18))</f>
        <v>0</v>
      </c>
      <c r="S441">
        <f>indirect(address(441,18))+indirect(address(439,19))-indirect(address(440,19))</f>
        <v>0</v>
      </c>
      <c r="T441">
        <f>indirect(address(441,19))+indirect(address(439,20))-indirect(address(440,20))</f>
        <v>0</v>
      </c>
      <c r="U441">
        <f>indirect(address(441,20))+indirect(address(439,21))-indirect(address(440,21))</f>
        <v>0</v>
      </c>
      <c r="V441">
        <f>indirect(address(441,21))+indirect(address(439,22))-indirect(address(440,22))</f>
        <v>0</v>
      </c>
      <c r="W441">
        <f>indirect(address(441,22))+indirect(address(439,23))-indirect(address(440,23))</f>
        <v>0</v>
      </c>
      <c r="X441">
        <f>indirect(address(441,23))+indirect(address(439,24))-indirect(address(440,24))</f>
        <v>0</v>
      </c>
      <c r="Y441">
        <f>indirect(address(441,24))+indirect(address(439,25))-indirect(address(440,25))</f>
        <v>0</v>
      </c>
      <c r="Z441">
        <f>indirect(address(441,25))+indirect(address(439,26))-indirect(address(440,26))</f>
        <v>0</v>
      </c>
      <c r="AA441">
        <f>indirect(address(441,26))+indirect(address(439,27))-indirect(address(440,27))</f>
        <v>0</v>
      </c>
      <c r="AB441">
        <f>indirect(address(441,27))+indirect(address(439,28))-indirect(address(440,28))</f>
        <v>0</v>
      </c>
      <c r="AC441">
        <f>indirect(address(441,28))+indirect(address(439,29))-indirect(address(440,29))</f>
        <v>0</v>
      </c>
      <c r="AD441">
        <f>indirect(address(441,29))+indirect(address(439,30))-indirect(address(440,30))</f>
        <v>0</v>
      </c>
      <c r="AE441">
        <f>indirect(address(441,30))+indirect(address(439,31))-indirect(address(440,31))</f>
        <v>0</v>
      </c>
      <c r="AF441">
        <f>indirect(address(441,31))+indirect(address(439,32))-indirect(address(440,32))</f>
        <v>0</v>
      </c>
      <c r="AG441">
        <f>indirect(address(441,32))+indirect(address(439,33))-indirect(address(440,33))</f>
        <v>0</v>
      </c>
      <c r="AH441">
        <f>indirect(address(441,33))+indirect(address(439,34))-indirect(address(440,34))</f>
        <v>0</v>
      </c>
      <c r="AI441">
        <f>indirect(address(441,34))+indirect(address(439,35))-indirect(address(440,35))</f>
        <v>0</v>
      </c>
      <c r="AJ441">
        <f>indirect(address(441,35))+indirect(address(439,36))-indirect(address(440,36))</f>
        <v>0</v>
      </c>
      <c r="AK441">
        <f>indirect(address(441,36))+indirect(address(439,37))-indirect(address(440,37))</f>
        <v>0</v>
      </c>
      <c r="AL441">
        <f>indirect(address(441,37))+indirect(address(439,38))-indirect(address(440,38))</f>
        <v>0</v>
      </c>
      <c r="AM441">
        <f>indirect(address(441,38))+indirect(address(439,39))-indirect(address(440,39))</f>
        <v>0</v>
      </c>
      <c r="AN441">
        <f>indirect(address(441,39))+indirect(address(439,40))-indirect(address(440,40))</f>
        <v>0</v>
      </c>
      <c r="AO441">
        <f>indirect(address(441,40))+indirect(address(439,41))-indirect(address(440,41))</f>
        <v>0</v>
      </c>
    </row>
    <row r="442" spans="1:41">
      <c r="I442" t="s">
        <v>14</v>
      </c>
      <c r="AO442">
        <f>sum(j442:an442)</f>
        <v>0</v>
      </c>
    </row>
    <row r="443" spans="1:41">
      <c r="I443" t="s">
        <v>15</v>
      </c>
      <c r="J443">
        <f>sumif(Plan!B:B,"924-025056-200",Plan!j:j)</f>
        <v>0</v>
      </c>
      <c r="K443">
        <f>sumif(Plan!B:B,"924-025056-200",Plan!k:k)</f>
        <v>0</v>
      </c>
      <c r="L443">
        <f>sumif(Plan!B:B,"924-025056-200",Plan!l:l)</f>
        <v>0</v>
      </c>
      <c r="M443">
        <f>sumif(Plan!B:B,"924-025056-200",Plan!m:m)</f>
        <v>0</v>
      </c>
      <c r="N443">
        <f>sumif(Plan!B:B,"924-025056-200",Plan!n:n)</f>
        <v>0</v>
      </c>
      <c r="O443">
        <f>sumif(Plan!B:B,"924-025056-200",Plan!o:o)</f>
        <v>0</v>
      </c>
      <c r="P443">
        <f>sumif(Plan!B:B,"924-025056-200",Plan!p:p)</f>
        <v>0</v>
      </c>
      <c r="Q443">
        <f>sumif(Plan!B:B,"924-025056-200",Plan!q:q)</f>
        <v>0</v>
      </c>
      <c r="R443">
        <f>sumif(Plan!B:B,"924-025056-200",Plan!r:r)</f>
        <v>0</v>
      </c>
      <c r="S443">
        <f>sumif(Plan!B:B,"924-025056-200",Plan!s:s)</f>
        <v>0</v>
      </c>
      <c r="T443">
        <f>sumif(Plan!B:B,"924-025056-200",Plan!t:t)</f>
        <v>0</v>
      </c>
      <c r="U443">
        <f>sumif(Plan!B:B,"924-025056-200",Plan!u:u)</f>
        <v>0</v>
      </c>
      <c r="V443">
        <f>sumif(Plan!B:B,"924-025056-200",Plan!v:v)</f>
        <v>0</v>
      </c>
      <c r="W443">
        <f>sumif(Plan!B:B,"924-025056-200",Plan!w:w)</f>
        <v>0</v>
      </c>
      <c r="X443">
        <f>sumif(Plan!B:B,"924-025056-200",Plan!x:x)</f>
        <v>0</v>
      </c>
      <c r="Y443">
        <f>sumif(Plan!B:B,"924-025056-200",Plan!y:y)</f>
        <v>0</v>
      </c>
      <c r="Z443">
        <f>sumif(Plan!B:B,"924-025056-200",Plan!z:z)</f>
        <v>0</v>
      </c>
      <c r="AA443">
        <f>sumif(Plan!B:B,"924-025056-200",Plan!aa:aa)</f>
        <v>0</v>
      </c>
      <c r="AB443">
        <f>sumif(Plan!B:B,"924-025056-200",Plan!ab:ab)</f>
        <v>0</v>
      </c>
      <c r="AC443">
        <f>sumif(Plan!B:B,"924-025056-200",Plan!ac:ac)</f>
        <v>0</v>
      </c>
      <c r="AD443">
        <f>sumif(Plan!B:B,"924-025056-200",Plan!ad:ad)</f>
        <v>0</v>
      </c>
      <c r="AE443">
        <f>sumif(Plan!B:B,"924-025056-200",Plan!ae:ae)</f>
        <v>0</v>
      </c>
      <c r="AF443">
        <f>sumif(Plan!B:B,"924-025056-200",Plan!af:af)</f>
        <v>0</v>
      </c>
      <c r="AG443">
        <f>sumif(Plan!B:B,"924-025056-200",Plan!ag:ag)</f>
        <v>0</v>
      </c>
      <c r="AH443">
        <f>sumif(Plan!B:B,"924-025056-200",Plan!ah:ah)</f>
        <v>0</v>
      </c>
      <c r="AI443">
        <f>sumif(Plan!B:B,"924-025056-200",Plan!ai:ai)</f>
        <v>0</v>
      </c>
      <c r="AJ443">
        <f>sumif(Plan!B:B,"924-025056-200",Plan!aj:aj)</f>
        <v>0</v>
      </c>
      <c r="AK443">
        <f>sumif(Plan!B:B,"924-025056-200",Plan!ak:ak)</f>
        <v>0</v>
      </c>
      <c r="AL443">
        <f>sumif(Plan!B:B,"924-025056-200",Plan!al:al)</f>
        <v>0</v>
      </c>
      <c r="AM443">
        <f>sumif(Plan!B:B,"924-025056-200",Plan!am:am)</f>
        <v>0</v>
      </c>
      <c r="AN443">
        <f>sumif(Plan!B:B,"924-025056-200",Plan!an:an)</f>
        <v>0</v>
      </c>
      <c r="AO443">
        <f>sumif(Plan!B:B,"924-025056-200",Plan!ao:ao)</f>
        <v>0</v>
      </c>
    </row>
    <row r="444" spans="1:41">
      <c r="A444" t="s">
        <v>22</v>
      </c>
      <c r="B444" t="s">
        <v>297</v>
      </c>
      <c r="C444" t="s">
        <v>292</v>
      </c>
      <c r="E444">
        <v>1</v>
      </c>
      <c r="F444" t="s">
        <v>13</v>
      </c>
      <c r="H444" t="s">
        <v>16</v>
      </c>
      <c r="J444">
        <f>indirect(address(444,9))+indirect(address(442,10))-indirect(address(443,10))</f>
        <v>0</v>
      </c>
      <c r="K444">
        <f>indirect(address(444,10))+indirect(address(442,11))-indirect(address(443,11))</f>
        <v>0</v>
      </c>
      <c r="L444">
        <f>indirect(address(444,11))+indirect(address(442,12))-indirect(address(443,12))</f>
        <v>0</v>
      </c>
      <c r="M444">
        <f>indirect(address(444,12))+indirect(address(442,13))-indirect(address(443,13))</f>
        <v>0</v>
      </c>
      <c r="N444">
        <f>indirect(address(444,13))+indirect(address(442,14))-indirect(address(443,14))</f>
        <v>0</v>
      </c>
      <c r="O444">
        <f>indirect(address(444,14))+indirect(address(442,15))-indirect(address(443,15))</f>
        <v>0</v>
      </c>
      <c r="P444">
        <f>indirect(address(444,15))+indirect(address(442,16))-indirect(address(443,16))</f>
        <v>0</v>
      </c>
      <c r="Q444">
        <f>indirect(address(444,16))+indirect(address(442,17))-indirect(address(443,17))</f>
        <v>0</v>
      </c>
      <c r="R444">
        <f>indirect(address(444,17))+indirect(address(442,18))-indirect(address(443,18))</f>
        <v>0</v>
      </c>
      <c r="S444">
        <f>indirect(address(444,18))+indirect(address(442,19))-indirect(address(443,19))</f>
        <v>0</v>
      </c>
      <c r="T444">
        <f>indirect(address(444,19))+indirect(address(442,20))-indirect(address(443,20))</f>
        <v>0</v>
      </c>
      <c r="U444">
        <f>indirect(address(444,20))+indirect(address(442,21))-indirect(address(443,21))</f>
        <v>0</v>
      </c>
      <c r="V444">
        <f>indirect(address(444,21))+indirect(address(442,22))-indirect(address(443,22))</f>
        <v>0</v>
      </c>
      <c r="W444">
        <f>indirect(address(444,22))+indirect(address(442,23))-indirect(address(443,23))</f>
        <v>0</v>
      </c>
      <c r="X444">
        <f>indirect(address(444,23))+indirect(address(442,24))-indirect(address(443,24))</f>
        <v>0</v>
      </c>
      <c r="Y444">
        <f>indirect(address(444,24))+indirect(address(442,25))-indirect(address(443,25))</f>
        <v>0</v>
      </c>
      <c r="Z444">
        <f>indirect(address(444,25))+indirect(address(442,26))-indirect(address(443,26))</f>
        <v>0</v>
      </c>
      <c r="AA444">
        <f>indirect(address(444,26))+indirect(address(442,27))-indirect(address(443,27))</f>
        <v>0</v>
      </c>
      <c r="AB444">
        <f>indirect(address(444,27))+indirect(address(442,28))-indirect(address(443,28))</f>
        <v>0</v>
      </c>
      <c r="AC444">
        <f>indirect(address(444,28))+indirect(address(442,29))-indirect(address(443,29))</f>
        <v>0</v>
      </c>
      <c r="AD444">
        <f>indirect(address(444,29))+indirect(address(442,30))-indirect(address(443,30))</f>
        <v>0</v>
      </c>
      <c r="AE444">
        <f>indirect(address(444,30))+indirect(address(442,31))-indirect(address(443,31))</f>
        <v>0</v>
      </c>
      <c r="AF444">
        <f>indirect(address(444,31))+indirect(address(442,32))-indirect(address(443,32))</f>
        <v>0</v>
      </c>
      <c r="AG444">
        <f>indirect(address(444,32))+indirect(address(442,33))-indirect(address(443,33))</f>
        <v>0</v>
      </c>
      <c r="AH444">
        <f>indirect(address(444,33))+indirect(address(442,34))-indirect(address(443,34))</f>
        <v>0</v>
      </c>
      <c r="AI444">
        <f>indirect(address(444,34))+indirect(address(442,35))-indirect(address(443,35))</f>
        <v>0</v>
      </c>
      <c r="AJ444">
        <f>indirect(address(444,35))+indirect(address(442,36))-indirect(address(443,36))</f>
        <v>0</v>
      </c>
      <c r="AK444">
        <f>indirect(address(444,36))+indirect(address(442,37))-indirect(address(443,37))</f>
        <v>0</v>
      </c>
      <c r="AL444">
        <f>indirect(address(444,37))+indirect(address(442,38))-indirect(address(443,38))</f>
        <v>0</v>
      </c>
      <c r="AM444">
        <f>indirect(address(444,38))+indirect(address(442,39))-indirect(address(443,39))</f>
        <v>0</v>
      </c>
      <c r="AN444">
        <f>indirect(address(444,39))+indirect(address(442,40))-indirect(address(443,40))</f>
        <v>0</v>
      </c>
      <c r="AO444">
        <f>indirect(address(444,40))+indirect(address(442,41))-indirect(address(443,41))</f>
        <v>0</v>
      </c>
    </row>
    <row r="445" spans="1:41">
      <c r="I445" t="s">
        <v>14</v>
      </c>
      <c r="AO445">
        <f>sum(j445:an445)</f>
        <v>0</v>
      </c>
    </row>
    <row r="446" spans="1:41">
      <c r="I446" t="s">
        <v>15</v>
      </c>
      <c r="J446">
        <f>sumif(Plan!B:B,"924-025056-200",Plan!j:j)</f>
        <v>0</v>
      </c>
      <c r="K446">
        <f>sumif(Plan!B:B,"924-025056-200",Plan!k:k)</f>
        <v>0</v>
      </c>
      <c r="L446">
        <f>sumif(Plan!B:B,"924-025056-200",Plan!l:l)</f>
        <v>0</v>
      </c>
      <c r="M446">
        <f>sumif(Plan!B:B,"924-025056-200",Plan!m:m)</f>
        <v>0</v>
      </c>
      <c r="N446">
        <f>sumif(Plan!B:B,"924-025056-200",Plan!n:n)</f>
        <v>0</v>
      </c>
      <c r="O446">
        <f>sumif(Plan!B:B,"924-025056-200",Plan!o:o)</f>
        <v>0</v>
      </c>
      <c r="P446">
        <f>sumif(Plan!B:B,"924-025056-200",Plan!p:p)</f>
        <v>0</v>
      </c>
      <c r="Q446">
        <f>sumif(Plan!B:B,"924-025056-200",Plan!q:q)</f>
        <v>0</v>
      </c>
      <c r="R446">
        <f>sumif(Plan!B:B,"924-025056-200",Plan!r:r)</f>
        <v>0</v>
      </c>
      <c r="S446">
        <f>sumif(Plan!B:B,"924-025056-200",Plan!s:s)</f>
        <v>0</v>
      </c>
      <c r="T446">
        <f>sumif(Plan!B:B,"924-025056-200",Plan!t:t)</f>
        <v>0</v>
      </c>
      <c r="U446">
        <f>sumif(Plan!B:B,"924-025056-200",Plan!u:u)</f>
        <v>0</v>
      </c>
      <c r="V446">
        <f>sumif(Plan!B:B,"924-025056-200",Plan!v:v)</f>
        <v>0</v>
      </c>
      <c r="W446">
        <f>sumif(Plan!B:B,"924-025056-200",Plan!w:w)</f>
        <v>0</v>
      </c>
      <c r="X446">
        <f>sumif(Plan!B:B,"924-025056-200",Plan!x:x)</f>
        <v>0</v>
      </c>
      <c r="Y446">
        <f>sumif(Plan!B:B,"924-025056-200",Plan!y:y)</f>
        <v>0</v>
      </c>
      <c r="Z446">
        <f>sumif(Plan!B:B,"924-025056-200",Plan!z:z)</f>
        <v>0</v>
      </c>
      <c r="AA446">
        <f>sumif(Plan!B:B,"924-025056-200",Plan!aa:aa)</f>
        <v>0</v>
      </c>
      <c r="AB446">
        <f>sumif(Plan!B:B,"924-025056-200",Plan!ab:ab)</f>
        <v>0</v>
      </c>
      <c r="AC446">
        <f>sumif(Plan!B:B,"924-025056-200",Plan!ac:ac)</f>
        <v>0</v>
      </c>
      <c r="AD446">
        <f>sumif(Plan!B:B,"924-025056-200",Plan!ad:ad)</f>
        <v>0</v>
      </c>
      <c r="AE446">
        <f>sumif(Plan!B:B,"924-025056-200",Plan!ae:ae)</f>
        <v>0</v>
      </c>
      <c r="AF446">
        <f>sumif(Plan!B:B,"924-025056-200",Plan!af:af)</f>
        <v>0</v>
      </c>
      <c r="AG446">
        <f>sumif(Plan!B:B,"924-025056-200",Plan!ag:ag)</f>
        <v>0</v>
      </c>
      <c r="AH446">
        <f>sumif(Plan!B:B,"924-025056-200",Plan!ah:ah)</f>
        <v>0</v>
      </c>
      <c r="AI446">
        <f>sumif(Plan!B:B,"924-025056-200",Plan!ai:ai)</f>
        <v>0</v>
      </c>
      <c r="AJ446">
        <f>sumif(Plan!B:B,"924-025056-200",Plan!aj:aj)</f>
        <v>0</v>
      </c>
      <c r="AK446">
        <f>sumif(Plan!B:B,"924-025056-200",Plan!ak:ak)</f>
        <v>0</v>
      </c>
      <c r="AL446">
        <f>sumif(Plan!B:B,"924-025056-200",Plan!al:al)</f>
        <v>0</v>
      </c>
      <c r="AM446">
        <f>sumif(Plan!B:B,"924-025056-200",Plan!am:am)</f>
        <v>0</v>
      </c>
      <c r="AN446">
        <f>sumif(Plan!B:B,"924-025056-200",Plan!an:an)</f>
        <v>0</v>
      </c>
      <c r="AO446">
        <f>sumif(Plan!B:B,"924-025056-200",Plan!ao:ao)</f>
        <v>0</v>
      </c>
    </row>
    <row r="447" spans="1:41">
      <c r="A447" t="s">
        <v>22</v>
      </c>
      <c r="B447" t="s">
        <v>297</v>
      </c>
      <c r="C447" t="s">
        <v>293</v>
      </c>
      <c r="E447">
        <v>4</v>
      </c>
      <c r="F447" t="s">
        <v>13</v>
      </c>
      <c r="H447" t="s">
        <v>16</v>
      </c>
      <c r="J447">
        <f>indirect(address(447,9))+indirect(address(445,10))-indirect(address(446,10))</f>
        <v>0</v>
      </c>
      <c r="K447">
        <f>indirect(address(447,10))+indirect(address(445,11))-indirect(address(446,11))</f>
        <v>0</v>
      </c>
      <c r="L447">
        <f>indirect(address(447,11))+indirect(address(445,12))-indirect(address(446,12))</f>
        <v>0</v>
      </c>
      <c r="M447">
        <f>indirect(address(447,12))+indirect(address(445,13))-indirect(address(446,13))</f>
        <v>0</v>
      </c>
      <c r="N447">
        <f>indirect(address(447,13))+indirect(address(445,14))-indirect(address(446,14))</f>
        <v>0</v>
      </c>
      <c r="O447">
        <f>indirect(address(447,14))+indirect(address(445,15))-indirect(address(446,15))</f>
        <v>0</v>
      </c>
      <c r="P447">
        <f>indirect(address(447,15))+indirect(address(445,16))-indirect(address(446,16))</f>
        <v>0</v>
      </c>
      <c r="Q447">
        <f>indirect(address(447,16))+indirect(address(445,17))-indirect(address(446,17))</f>
        <v>0</v>
      </c>
      <c r="R447">
        <f>indirect(address(447,17))+indirect(address(445,18))-indirect(address(446,18))</f>
        <v>0</v>
      </c>
      <c r="S447">
        <f>indirect(address(447,18))+indirect(address(445,19))-indirect(address(446,19))</f>
        <v>0</v>
      </c>
      <c r="T447">
        <f>indirect(address(447,19))+indirect(address(445,20))-indirect(address(446,20))</f>
        <v>0</v>
      </c>
      <c r="U447">
        <f>indirect(address(447,20))+indirect(address(445,21))-indirect(address(446,21))</f>
        <v>0</v>
      </c>
      <c r="V447">
        <f>indirect(address(447,21))+indirect(address(445,22))-indirect(address(446,22))</f>
        <v>0</v>
      </c>
      <c r="W447">
        <f>indirect(address(447,22))+indirect(address(445,23))-indirect(address(446,23))</f>
        <v>0</v>
      </c>
      <c r="X447">
        <f>indirect(address(447,23))+indirect(address(445,24))-indirect(address(446,24))</f>
        <v>0</v>
      </c>
      <c r="Y447">
        <f>indirect(address(447,24))+indirect(address(445,25))-indirect(address(446,25))</f>
        <v>0</v>
      </c>
      <c r="Z447">
        <f>indirect(address(447,25))+indirect(address(445,26))-indirect(address(446,26))</f>
        <v>0</v>
      </c>
      <c r="AA447">
        <f>indirect(address(447,26))+indirect(address(445,27))-indirect(address(446,27))</f>
        <v>0</v>
      </c>
      <c r="AB447">
        <f>indirect(address(447,27))+indirect(address(445,28))-indirect(address(446,28))</f>
        <v>0</v>
      </c>
      <c r="AC447">
        <f>indirect(address(447,28))+indirect(address(445,29))-indirect(address(446,29))</f>
        <v>0</v>
      </c>
      <c r="AD447">
        <f>indirect(address(447,29))+indirect(address(445,30))-indirect(address(446,30))</f>
        <v>0</v>
      </c>
      <c r="AE447">
        <f>indirect(address(447,30))+indirect(address(445,31))-indirect(address(446,31))</f>
        <v>0</v>
      </c>
      <c r="AF447">
        <f>indirect(address(447,31))+indirect(address(445,32))-indirect(address(446,32))</f>
        <v>0</v>
      </c>
      <c r="AG447">
        <f>indirect(address(447,32))+indirect(address(445,33))-indirect(address(446,33))</f>
        <v>0</v>
      </c>
      <c r="AH447">
        <f>indirect(address(447,33))+indirect(address(445,34))-indirect(address(446,34))</f>
        <v>0</v>
      </c>
      <c r="AI447">
        <f>indirect(address(447,34))+indirect(address(445,35))-indirect(address(446,35))</f>
        <v>0</v>
      </c>
      <c r="AJ447">
        <f>indirect(address(447,35))+indirect(address(445,36))-indirect(address(446,36))</f>
        <v>0</v>
      </c>
      <c r="AK447">
        <f>indirect(address(447,36))+indirect(address(445,37))-indirect(address(446,37))</f>
        <v>0</v>
      </c>
      <c r="AL447">
        <f>indirect(address(447,37))+indirect(address(445,38))-indirect(address(446,38))</f>
        <v>0</v>
      </c>
      <c r="AM447">
        <f>indirect(address(447,38))+indirect(address(445,39))-indirect(address(446,39))</f>
        <v>0</v>
      </c>
      <c r="AN447">
        <f>indirect(address(447,39))+indirect(address(445,40))-indirect(address(446,40))</f>
        <v>0</v>
      </c>
      <c r="AO447">
        <f>indirect(address(447,40))+indirect(address(445,41))-indirect(address(446,41))</f>
        <v>0</v>
      </c>
    </row>
    <row r="448" spans="1:41">
      <c r="I448" t="s">
        <v>14</v>
      </c>
      <c r="AO448">
        <f>sum(j448:an448)</f>
        <v>0</v>
      </c>
    </row>
    <row r="449" spans="1:41">
      <c r="I449" t="s">
        <v>15</v>
      </c>
      <c r="J449">
        <f>sumif(Plan!B:B,"924-025056-200",Plan!j:j)</f>
        <v>0</v>
      </c>
      <c r="K449">
        <f>sumif(Plan!B:B,"924-025056-200",Plan!k:k)</f>
        <v>0</v>
      </c>
      <c r="L449">
        <f>sumif(Plan!B:B,"924-025056-200",Plan!l:l)</f>
        <v>0</v>
      </c>
      <c r="M449">
        <f>sumif(Plan!B:B,"924-025056-200",Plan!m:m)</f>
        <v>0</v>
      </c>
      <c r="N449">
        <f>sumif(Plan!B:B,"924-025056-200",Plan!n:n)</f>
        <v>0</v>
      </c>
      <c r="O449">
        <f>sumif(Plan!B:B,"924-025056-200",Plan!o:o)</f>
        <v>0</v>
      </c>
      <c r="P449">
        <f>sumif(Plan!B:B,"924-025056-200",Plan!p:p)</f>
        <v>0</v>
      </c>
      <c r="Q449">
        <f>sumif(Plan!B:B,"924-025056-200",Plan!q:q)</f>
        <v>0</v>
      </c>
      <c r="R449">
        <f>sumif(Plan!B:B,"924-025056-200",Plan!r:r)</f>
        <v>0</v>
      </c>
      <c r="S449">
        <f>sumif(Plan!B:B,"924-025056-200",Plan!s:s)</f>
        <v>0</v>
      </c>
      <c r="T449">
        <f>sumif(Plan!B:B,"924-025056-200",Plan!t:t)</f>
        <v>0</v>
      </c>
      <c r="U449">
        <f>sumif(Plan!B:B,"924-025056-200",Plan!u:u)</f>
        <v>0</v>
      </c>
      <c r="V449">
        <f>sumif(Plan!B:B,"924-025056-200",Plan!v:v)</f>
        <v>0</v>
      </c>
      <c r="W449">
        <f>sumif(Plan!B:B,"924-025056-200",Plan!w:w)</f>
        <v>0</v>
      </c>
      <c r="X449">
        <f>sumif(Plan!B:B,"924-025056-200",Plan!x:x)</f>
        <v>0</v>
      </c>
      <c r="Y449">
        <f>sumif(Plan!B:B,"924-025056-200",Plan!y:y)</f>
        <v>0</v>
      </c>
      <c r="Z449">
        <f>sumif(Plan!B:B,"924-025056-200",Plan!z:z)</f>
        <v>0</v>
      </c>
      <c r="AA449">
        <f>sumif(Plan!B:B,"924-025056-200",Plan!aa:aa)</f>
        <v>0</v>
      </c>
      <c r="AB449">
        <f>sumif(Plan!B:B,"924-025056-200",Plan!ab:ab)</f>
        <v>0</v>
      </c>
      <c r="AC449">
        <f>sumif(Plan!B:B,"924-025056-200",Plan!ac:ac)</f>
        <v>0</v>
      </c>
      <c r="AD449">
        <f>sumif(Plan!B:B,"924-025056-200",Plan!ad:ad)</f>
        <v>0</v>
      </c>
      <c r="AE449">
        <f>sumif(Plan!B:B,"924-025056-200",Plan!ae:ae)</f>
        <v>0</v>
      </c>
      <c r="AF449">
        <f>sumif(Plan!B:B,"924-025056-200",Plan!af:af)</f>
        <v>0</v>
      </c>
      <c r="AG449">
        <f>sumif(Plan!B:B,"924-025056-200",Plan!ag:ag)</f>
        <v>0</v>
      </c>
      <c r="AH449">
        <f>sumif(Plan!B:B,"924-025056-200",Plan!ah:ah)</f>
        <v>0</v>
      </c>
      <c r="AI449">
        <f>sumif(Plan!B:B,"924-025056-200",Plan!ai:ai)</f>
        <v>0</v>
      </c>
      <c r="AJ449">
        <f>sumif(Plan!B:B,"924-025056-200",Plan!aj:aj)</f>
        <v>0</v>
      </c>
      <c r="AK449">
        <f>sumif(Plan!B:B,"924-025056-200",Plan!ak:ak)</f>
        <v>0</v>
      </c>
      <c r="AL449">
        <f>sumif(Plan!B:B,"924-025056-200",Plan!al:al)</f>
        <v>0</v>
      </c>
      <c r="AM449">
        <f>sumif(Plan!B:B,"924-025056-200",Plan!am:am)</f>
        <v>0</v>
      </c>
      <c r="AN449">
        <f>sumif(Plan!B:B,"924-025056-200",Plan!an:an)</f>
        <v>0</v>
      </c>
      <c r="AO449">
        <f>sumif(Plan!B:B,"924-025056-200",Plan!ao:ao)</f>
        <v>0</v>
      </c>
    </row>
    <row r="450" spans="1:41">
      <c r="A450" t="s">
        <v>22</v>
      </c>
      <c r="B450" t="s">
        <v>297</v>
      </c>
      <c r="C450" t="s">
        <v>294</v>
      </c>
      <c r="E450">
        <v>1</v>
      </c>
      <c r="F450" t="s">
        <v>13</v>
      </c>
      <c r="H450" t="s">
        <v>16</v>
      </c>
      <c r="J450">
        <f>indirect(address(450,9))+indirect(address(448,10))-indirect(address(449,10))</f>
        <v>0</v>
      </c>
      <c r="K450">
        <f>indirect(address(450,10))+indirect(address(448,11))-indirect(address(449,11))</f>
        <v>0</v>
      </c>
      <c r="L450">
        <f>indirect(address(450,11))+indirect(address(448,12))-indirect(address(449,12))</f>
        <v>0</v>
      </c>
      <c r="M450">
        <f>indirect(address(450,12))+indirect(address(448,13))-indirect(address(449,13))</f>
        <v>0</v>
      </c>
      <c r="N450">
        <f>indirect(address(450,13))+indirect(address(448,14))-indirect(address(449,14))</f>
        <v>0</v>
      </c>
      <c r="O450">
        <f>indirect(address(450,14))+indirect(address(448,15))-indirect(address(449,15))</f>
        <v>0</v>
      </c>
      <c r="P450">
        <f>indirect(address(450,15))+indirect(address(448,16))-indirect(address(449,16))</f>
        <v>0</v>
      </c>
      <c r="Q450">
        <f>indirect(address(450,16))+indirect(address(448,17))-indirect(address(449,17))</f>
        <v>0</v>
      </c>
      <c r="R450">
        <f>indirect(address(450,17))+indirect(address(448,18))-indirect(address(449,18))</f>
        <v>0</v>
      </c>
      <c r="S450">
        <f>indirect(address(450,18))+indirect(address(448,19))-indirect(address(449,19))</f>
        <v>0</v>
      </c>
      <c r="T450">
        <f>indirect(address(450,19))+indirect(address(448,20))-indirect(address(449,20))</f>
        <v>0</v>
      </c>
      <c r="U450">
        <f>indirect(address(450,20))+indirect(address(448,21))-indirect(address(449,21))</f>
        <v>0</v>
      </c>
      <c r="V450">
        <f>indirect(address(450,21))+indirect(address(448,22))-indirect(address(449,22))</f>
        <v>0</v>
      </c>
      <c r="W450">
        <f>indirect(address(450,22))+indirect(address(448,23))-indirect(address(449,23))</f>
        <v>0</v>
      </c>
      <c r="X450">
        <f>indirect(address(450,23))+indirect(address(448,24))-indirect(address(449,24))</f>
        <v>0</v>
      </c>
      <c r="Y450">
        <f>indirect(address(450,24))+indirect(address(448,25))-indirect(address(449,25))</f>
        <v>0</v>
      </c>
      <c r="Z450">
        <f>indirect(address(450,25))+indirect(address(448,26))-indirect(address(449,26))</f>
        <v>0</v>
      </c>
      <c r="AA450">
        <f>indirect(address(450,26))+indirect(address(448,27))-indirect(address(449,27))</f>
        <v>0</v>
      </c>
      <c r="AB450">
        <f>indirect(address(450,27))+indirect(address(448,28))-indirect(address(449,28))</f>
        <v>0</v>
      </c>
      <c r="AC450">
        <f>indirect(address(450,28))+indirect(address(448,29))-indirect(address(449,29))</f>
        <v>0</v>
      </c>
      <c r="AD450">
        <f>indirect(address(450,29))+indirect(address(448,30))-indirect(address(449,30))</f>
        <v>0</v>
      </c>
      <c r="AE450">
        <f>indirect(address(450,30))+indirect(address(448,31))-indirect(address(449,31))</f>
        <v>0</v>
      </c>
      <c r="AF450">
        <f>indirect(address(450,31))+indirect(address(448,32))-indirect(address(449,32))</f>
        <v>0</v>
      </c>
      <c r="AG450">
        <f>indirect(address(450,32))+indirect(address(448,33))-indirect(address(449,33))</f>
        <v>0</v>
      </c>
      <c r="AH450">
        <f>indirect(address(450,33))+indirect(address(448,34))-indirect(address(449,34))</f>
        <v>0</v>
      </c>
      <c r="AI450">
        <f>indirect(address(450,34))+indirect(address(448,35))-indirect(address(449,35))</f>
        <v>0</v>
      </c>
      <c r="AJ450">
        <f>indirect(address(450,35))+indirect(address(448,36))-indirect(address(449,36))</f>
        <v>0</v>
      </c>
      <c r="AK450">
        <f>indirect(address(450,36))+indirect(address(448,37))-indirect(address(449,37))</f>
        <v>0</v>
      </c>
      <c r="AL450">
        <f>indirect(address(450,37))+indirect(address(448,38))-indirect(address(449,38))</f>
        <v>0</v>
      </c>
      <c r="AM450">
        <f>indirect(address(450,38))+indirect(address(448,39))-indirect(address(449,39))</f>
        <v>0</v>
      </c>
      <c r="AN450">
        <f>indirect(address(450,39))+indirect(address(448,40))-indirect(address(449,40))</f>
        <v>0</v>
      </c>
      <c r="AO450">
        <f>indirect(address(450,40))+indirect(address(448,41))-indirect(address(449,41))</f>
        <v>0</v>
      </c>
    </row>
    <row r="451" spans="1:41">
      <c r="I451" t="s">
        <v>14</v>
      </c>
      <c r="AO451">
        <f>sum(j451:an451)</f>
        <v>0</v>
      </c>
    </row>
    <row r="452" spans="1:41">
      <c r="I452" t="s">
        <v>15</v>
      </c>
      <c r="J452">
        <f>sumif(Plan!B:B,"924-025056-200",Plan!j:j)</f>
        <v>0</v>
      </c>
      <c r="K452">
        <f>sumif(Plan!B:B,"924-025056-200",Plan!k:k)</f>
        <v>0</v>
      </c>
      <c r="L452">
        <f>sumif(Plan!B:B,"924-025056-200",Plan!l:l)</f>
        <v>0</v>
      </c>
      <c r="M452">
        <f>sumif(Plan!B:B,"924-025056-200",Plan!m:m)</f>
        <v>0</v>
      </c>
      <c r="N452">
        <f>sumif(Plan!B:B,"924-025056-200",Plan!n:n)</f>
        <v>0</v>
      </c>
      <c r="O452">
        <f>sumif(Plan!B:B,"924-025056-200",Plan!o:o)</f>
        <v>0</v>
      </c>
      <c r="P452">
        <f>sumif(Plan!B:B,"924-025056-200",Plan!p:p)</f>
        <v>0</v>
      </c>
      <c r="Q452">
        <f>sumif(Plan!B:B,"924-025056-200",Plan!q:q)</f>
        <v>0</v>
      </c>
      <c r="R452">
        <f>sumif(Plan!B:B,"924-025056-200",Plan!r:r)</f>
        <v>0</v>
      </c>
      <c r="S452">
        <f>sumif(Plan!B:B,"924-025056-200",Plan!s:s)</f>
        <v>0</v>
      </c>
      <c r="T452">
        <f>sumif(Plan!B:B,"924-025056-200",Plan!t:t)</f>
        <v>0</v>
      </c>
      <c r="U452">
        <f>sumif(Plan!B:B,"924-025056-200",Plan!u:u)</f>
        <v>0</v>
      </c>
      <c r="V452">
        <f>sumif(Plan!B:B,"924-025056-200",Plan!v:v)</f>
        <v>0</v>
      </c>
      <c r="W452">
        <f>sumif(Plan!B:B,"924-025056-200",Plan!w:w)</f>
        <v>0</v>
      </c>
      <c r="X452">
        <f>sumif(Plan!B:B,"924-025056-200",Plan!x:x)</f>
        <v>0</v>
      </c>
      <c r="Y452">
        <f>sumif(Plan!B:B,"924-025056-200",Plan!y:y)</f>
        <v>0</v>
      </c>
      <c r="Z452">
        <f>sumif(Plan!B:B,"924-025056-200",Plan!z:z)</f>
        <v>0</v>
      </c>
      <c r="AA452">
        <f>sumif(Plan!B:B,"924-025056-200",Plan!aa:aa)</f>
        <v>0</v>
      </c>
      <c r="AB452">
        <f>sumif(Plan!B:B,"924-025056-200",Plan!ab:ab)</f>
        <v>0</v>
      </c>
      <c r="AC452">
        <f>sumif(Plan!B:B,"924-025056-200",Plan!ac:ac)</f>
        <v>0</v>
      </c>
      <c r="AD452">
        <f>sumif(Plan!B:B,"924-025056-200",Plan!ad:ad)</f>
        <v>0</v>
      </c>
      <c r="AE452">
        <f>sumif(Plan!B:B,"924-025056-200",Plan!ae:ae)</f>
        <v>0</v>
      </c>
      <c r="AF452">
        <f>sumif(Plan!B:B,"924-025056-200",Plan!af:af)</f>
        <v>0</v>
      </c>
      <c r="AG452">
        <f>sumif(Plan!B:B,"924-025056-200",Plan!ag:ag)</f>
        <v>0</v>
      </c>
      <c r="AH452">
        <f>sumif(Plan!B:B,"924-025056-200",Plan!ah:ah)</f>
        <v>0</v>
      </c>
      <c r="AI452">
        <f>sumif(Plan!B:B,"924-025056-200",Plan!ai:ai)</f>
        <v>0</v>
      </c>
      <c r="AJ452">
        <f>sumif(Plan!B:B,"924-025056-200",Plan!aj:aj)</f>
        <v>0</v>
      </c>
      <c r="AK452">
        <f>sumif(Plan!B:B,"924-025056-200",Plan!ak:ak)</f>
        <v>0</v>
      </c>
      <c r="AL452">
        <f>sumif(Plan!B:B,"924-025056-200",Plan!al:al)</f>
        <v>0</v>
      </c>
      <c r="AM452">
        <f>sumif(Plan!B:B,"924-025056-200",Plan!am:am)</f>
        <v>0</v>
      </c>
      <c r="AN452">
        <f>sumif(Plan!B:B,"924-025056-200",Plan!an:an)</f>
        <v>0</v>
      </c>
      <c r="AO452">
        <f>sumif(Plan!B:B,"924-025056-200",Plan!ao:ao)</f>
        <v>0</v>
      </c>
    </row>
    <row r="453" spans="1:41">
      <c r="A453" t="s">
        <v>78</v>
      </c>
      <c r="B453" t="s">
        <v>297</v>
      </c>
      <c r="C453" t="s">
        <v>300</v>
      </c>
      <c r="E453">
        <v>0.05</v>
      </c>
      <c r="F453" t="s">
        <v>13</v>
      </c>
      <c r="H453" t="s">
        <v>16</v>
      </c>
      <c r="J453">
        <f>indirect(address(453,9))+indirect(address(451,10))-indirect(address(452,10))</f>
        <v>0</v>
      </c>
      <c r="K453">
        <f>indirect(address(453,10))+indirect(address(451,11))-indirect(address(452,11))</f>
        <v>0</v>
      </c>
      <c r="L453">
        <f>indirect(address(453,11))+indirect(address(451,12))-indirect(address(452,12))</f>
        <v>0</v>
      </c>
      <c r="M453">
        <f>indirect(address(453,12))+indirect(address(451,13))-indirect(address(452,13))</f>
        <v>0</v>
      </c>
      <c r="N453">
        <f>indirect(address(453,13))+indirect(address(451,14))-indirect(address(452,14))</f>
        <v>0</v>
      </c>
      <c r="O453">
        <f>indirect(address(453,14))+indirect(address(451,15))-indirect(address(452,15))</f>
        <v>0</v>
      </c>
      <c r="P453">
        <f>indirect(address(453,15))+indirect(address(451,16))-indirect(address(452,16))</f>
        <v>0</v>
      </c>
      <c r="Q453">
        <f>indirect(address(453,16))+indirect(address(451,17))-indirect(address(452,17))</f>
        <v>0</v>
      </c>
      <c r="R453">
        <f>indirect(address(453,17))+indirect(address(451,18))-indirect(address(452,18))</f>
        <v>0</v>
      </c>
      <c r="S453">
        <f>indirect(address(453,18))+indirect(address(451,19))-indirect(address(452,19))</f>
        <v>0</v>
      </c>
      <c r="T453">
        <f>indirect(address(453,19))+indirect(address(451,20))-indirect(address(452,20))</f>
        <v>0</v>
      </c>
      <c r="U453">
        <f>indirect(address(453,20))+indirect(address(451,21))-indirect(address(452,21))</f>
        <v>0</v>
      </c>
      <c r="V453">
        <f>indirect(address(453,21))+indirect(address(451,22))-indirect(address(452,22))</f>
        <v>0</v>
      </c>
      <c r="W453">
        <f>indirect(address(453,22))+indirect(address(451,23))-indirect(address(452,23))</f>
        <v>0</v>
      </c>
      <c r="X453">
        <f>indirect(address(453,23))+indirect(address(451,24))-indirect(address(452,24))</f>
        <v>0</v>
      </c>
      <c r="Y453">
        <f>indirect(address(453,24))+indirect(address(451,25))-indirect(address(452,25))</f>
        <v>0</v>
      </c>
      <c r="Z453">
        <f>indirect(address(453,25))+indirect(address(451,26))-indirect(address(452,26))</f>
        <v>0</v>
      </c>
      <c r="AA453">
        <f>indirect(address(453,26))+indirect(address(451,27))-indirect(address(452,27))</f>
        <v>0</v>
      </c>
      <c r="AB453">
        <f>indirect(address(453,27))+indirect(address(451,28))-indirect(address(452,28))</f>
        <v>0</v>
      </c>
      <c r="AC453">
        <f>indirect(address(453,28))+indirect(address(451,29))-indirect(address(452,29))</f>
        <v>0</v>
      </c>
      <c r="AD453">
        <f>indirect(address(453,29))+indirect(address(451,30))-indirect(address(452,30))</f>
        <v>0</v>
      </c>
      <c r="AE453">
        <f>indirect(address(453,30))+indirect(address(451,31))-indirect(address(452,31))</f>
        <v>0</v>
      </c>
      <c r="AF453">
        <f>indirect(address(453,31))+indirect(address(451,32))-indirect(address(452,32))</f>
        <v>0</v>
      </c>
      <c r="AG453">
        <f>indirect(address(453,32))+indirect(address(451,33))-indirect(address(452,33))</f>
        <v>0</v>
      </c>
      <c r="AH453">
        <f>indirect(address(453,33))+indirect(address(451,34))-indirect(address(452,34))</f>
        <v>0</v>
      </c>
      <c r="AI453">
        <f>indirect(address(453,34))+indirect(address(451,35))-indirect(address(452,35))</f>
        <v>0</v>
      </c>
      <c r="AJ453">
        <f>indirect(address(453,35))+indirect(address(451,36))-indirect(address(452,36))</f>
        <v>0</v>
      </c>
      <c r="AK453">
        <f>indirect(address(453,36))+indirect(address(451,37))-indirect(address(452,37))</f>
        <v>0</v>
      </c>
      <c r="AL453">
        <f>indirect(address(453,37))+indirect(address(451,38))-indirect(address(452,38))</f>
        <v>0</v>
      </c>
      <c r="AM453">
        <f>indirect(address(453,38))+indirect(address(451,39))-indirect(address(452,39))</f>
        <v>0</v>
      </c>
      <c r="AN453">
        <f>indirect(address(453,39))+indirect(address(451,40))-indirect(address(452,40))</f>
        <v>0</v>
      </c>
      <c r="AO453">
        <f>indirect(address(453,40))+indirect(address(451,41))-indirect(address(452,41))</f>
        <v>0</v>
      </c>
    </row>
    <row r="454" spans="1:41">
      <c r="I454" t="s">
        <v>14</v>
      </c>
      <c r="AO454">
        <f>sum(j454:an454)</f>
        <v>0</v>
      </c>
    </row>
    <row r="455" spans="1:41">
      <c r="I455" t="s">
        <v>15</v>
      </c>
      <c r="J455">
        <f>sumif(Plan!B:B,"924-025056-200",Plan!j:j)</f>
        <v>0</v>
      </c>
      <c r="K455">
        <f>sumif(Plan!B:B,"924-025056-200",Plan!k:k)</f>
        <v>0</v>
      </c>
      <c r="L455">
        <f>sumif(Plan!B:B,"924-025056-200",Plan!l:l)</f>
        <v>0</v>
      </c>
      <c r="M455">
        <f>sumif(Plan!B:B,"924-025056-200",Plan!m:m)</f>
        <v>0</v>
      </c>
      <c r="N455">
        <f>sumif(Plan!B:B,"924-025056-200",Plan!n:n)</f>
        <v>0</v>
      </c>
      <c r="O455">
        <f>sumif(Plan!B:B,"924-025056-200",Plan!o:o)</f>
        <v>0</v>
      </c>
      <c r="P455">
        <f>sumif(Plan!B:B,"924-025056-200",Plan!p:p)</f>
        <v>0</v>
      </c>
      <c r="Q455">
        <f>sumif(Plan!B:B,"924-025056-200",Plan!q:q)</f>
        <v>0</v>
      </c>
      <c r="R455">
        <f>sumif(Plan!B:B,"924-025056-200",Plan!r:r)</f>
        <v>0</v>
      </c>
      <c r="S455">
        <f>sumif(Plan!B:B,"924-025056-200",Plan!s:s)</f>
        <v>0</v>
      </c>
      <c r="T455">
        <f>sumif(Plan!B:B,"924-025056-200",Plan!t:t)</f>
        <v>0</v>
      </c>
      <c r="U455">
        <f>sumif(Plan!B:B,"924-025056-200",Plan!u:u)</f>
        <v>0</v>
      </c>
      <c r="V455">
        <f>sumif(Plan!B:B,"924-025056-200",Plan!v:v)</f>
        <v>0</v>
      </c>
      <c r="W455">
        <f>sumif(Plan!B:B,"924-025056-200",Plan!w:w)</f>
        <v>0</v>
      </c>
      <c r="X455">
        <f>sumif(Plan!B:B,"924-025056-200",Plan!x:x)</f>
        <v>0</v>
      </c>
      <c r="Y455">
        <f>sumif(Plan!B:B,"924-025056-200",Plan!y:y)</f>
        <v>0</v>
      </c>
      <c r="Z455">
        <f>sumif(Plan!B:B,"924-025056-200",Plan!z:z)</f>
        <v>0</v>
      </c>
      <c r="AA455">
        <f>sumif(Plan!B:B,"924-025056-200",Plan!aa:aa)</f>
        <v>0</v>
      </c>
      <c r="AB455">
        <f>sumif(Plan!B:B,"924-025056-200",Plan!ab:ab)</f>
        <v>0</v>
      </c>
      <c r="AC455">
        <f>sumif(Plan!B:B,"924-025056-200",Plan!ac:ac)</f>
        <v>0</v>
      </c>
      <c r="AD455">
        <f>sumif(Plan!B:B,"924-025056-200",Plan!ad:ad)</f>
        <v>0</v>
      </c>
      <c r="AE455">
        <f>sumif(Plan!B:B,"924-025056-200",Plan!ae:ae)</f>
        <v>0</v>
      </c>
      <c r="AF455">
        <f>sumif(Plan!B:B,"924-025056-200",Plan!af:af)</f>
        <v>0</v>
      </c>
      <c r="AG455">
        <f>sumif(Plan!B:B,"924-025056-200",Plan!ag:ag)</f>
        <v>0</v>
      </c>
      <c r="AH455">
        <f>sumif(Plan!B:B,"924-025056-200",Plan!ah:ah)</f>
        <v>0</v>
      </c>
      <c r="AI455">
        <f>sumif(Plan!B:B,"924-025056-200",Plan!ai:ai)</f>
        <v>0</v>
      </c>
      <c r="AJ455">
        <f>sumif(Plan!B:B,"924-025056-200",Plan!aj:aj)</f>
        <v>0</v>
      </c>
      <c r="AK455">
        <f>sumif(Plan!B:B,"924-025056-200",Plan!ak:ak)</f>
        <v>0</v>
      </c>
      <c r="AL455">
        <f>sumif(Plan!B:B,"924-025056-200",Plan!al:al)</f>
        <v>0</v>
      </c>
      <c r="AM455">
        <f>sumif(Plan!B:B,"924-025056-200",Plan!am:am)</f>
        <v>0</v>
      </c>
      <c r="AN455">
        <f>sumif(Plan!B:B,"924-025056-200",Plan!an:an)</f>
        <v>0</v>
      </c>
      <c r="AO455">
        <f>sumif(Plan!B:B,"924-025056-200",Plan!ao:ao)</f>
        <v>0</v>
      </c>
    </row>
    <row r="456" spans="1:41">
      <c r="A456" t="s">
        <v>43</v>
      </c>
      <c r="B456" t="s">
        <v>297</v>
      </c>
      <c r="C456" t="s">
        <v>301</v>
      </c>
      <c r="E456">
        <v>0.05</v>
      </c>
      <c r="F456" t="s">
        <v>13</v>
      </c>
      <c r="H456" t="s">
        <v>16</v>
      </c>
      <c r="J456">
        <f>indirect(address(456,9))+indirect(address(454,10))-indirect(address(455,10))</f>
        <v>0</v>
      </c>
      <c r="K456">
        <f>indirect(address(456,10))+indirect(address(454,11))-indirect(address(455,11))</f>
        <v>0</v>
      </c>
      <c r="L456">
        <f>indirect(address(456,11))+indirect(address(454,12))-indirect(address(455,12))</f>
        <v>0</v>
      </c>
      <c r="M456">
        <f>indirect(address(456,12))+indirect(address(454,13))-indirect(address(455,13))</f>
        <v>0</v>
      </c>
      <c r="N456">
        <f>indirect(address(456,13))+indirect(address(454,14))-indirect(address(455,14))</f>
        <v>0</v>
      </c>
      <c r="O456">
        <f>indirect(address(456,14))+indirect(address(454,15))-indirect(address(455,15))</f>
        <v>0</v>
      </c>
      <c r="P456">
        <f>indirect(address(456,15))+indirect(address(454,16))-indirect(address(455,16))</f>
        <v>0</v>
      </c>
      <c r="Q456">
        <f>indirect(address(456,16))+indirect(address(454,17))-indirect(address(455,17))</f>
        <v>0</v>
      </c>
      <c r="R456">
        <f>indirect(address(456,17))+indirect(address(454,18))-indirect(address(455,18))</f>
        <v>0</v>
      </c>
      <c r="S456">
        <f>indirect(address(456,18))+indirect(address(454,19))-indirect(address(455,19))</f>
        <v>0</v>
      </c>
      <c r="T456">
        <f>indirect(address(456,19))+indirect(address(454,20))-indirect(address(455,20))</f>
        <v>0</v>
      </c>
      <c r="U456">
        <f>indirect(address(456,20))+indirect(address(454,21))-indirect(address(455,21))</f>
        <v>0</v>
      </c>
      <c r="V456">
        <f>indirect(address(456,21))+indirect(address(454,22))-indirect(address(455,22))</f>
        <v>0</v>
      </c>
      <c r="W456">
        <f>indirect(address(456,22))+indirect(address(454,23))-indirect(address(455,23))</f>
        <v>0</v>
      </c>
      <c r="X456">
        <f>indirect(address(456,23))+indirect(address(454,24))-indirect(address(455,24))</f>
        <v>0</v>
      </c>
      <c r="Y456">
        <f>indirect(address(456,24))+indirect(address(454,25))-indirect(address(455,25))</f>
        <v>0</v>
      </c>
      <c r="Z456">
        <f>indirect(address(456,25))+indirect(address(454,26))-indirect(address(455,26))</f>
        <v>0</v>
      </c>
      <c r="AA456">
        <f>indirect(address(456,26))+indirect(address(454,27))-indirect(address(455,27))</f>
        <v>0</v>
      </c>
      <c r="AB456">
        <f>indirect(address(456,27))+indirect(address(454,28))-indirect(address(455,28))</f>
        <v>0</v>
      </c>
      <c r="AC456">
        <f>indirect(address(456,28))+indirect(address(454,29))-indirect(address(455,29))</f>
        <v>0</v>
      </c>
      <c r="AD456">
        <f>indirect(address(456,29))+indirect(address(454,30))-indirect(address(455,30))</f>
        <v>0</v>
      </c>
      <c r="AE456">
        <f>indirect(address(456,30))+indirect(address(454,31))-indirect(address(455,31))</f>
        <v>0</v>
      </c>
      <c r="AF456">
        <f>indirect(address(456,31))+indirect(address(454,32))-indirect(address(455,32))</f>
        <v>0</v>
      </c>
      <c r="AG456">
        <f>indirect(address(456,32))+indirect(address(454,33))-indirect(address(455,33))</f>
        <v>0</v>
      </c>
      <c r="AH456">
        <f>indirect(address(456,33))+indirect(address(454,34))-indirect(address(455,34))</f>
        <v>0</v>
      </c>
      <c r="AI456">
        <f>indirect(address(456,34))+indirect(address(454,35))-indirect(address(455,35))</f>
        <v>0</v>
      </c>
      <c r="AJ456">
        <f>indirect(address(456,35))+indirect(address(454,36))-indirect(address(455,36))</f>
        <v>0</v>
      </c>
      <c r="AK456">
        <f>indirect(address(456,36))+indirect(address(454,37))-indirect(address(455,37))</f>
        <v>0</v>
      </c>
      <c r="AL456">
        <f>indirect(address(456,37))+indirect(address(454,38))-indirect(address(455,38))</f>
        <v>0</v>
      </c>
      <c r="AM456">
        <f>indirect(address(456,38))+indirect(address(454,39))-indirect(address(455,39))</f>
        <v>0</v>
      </c>
      <c r="AN456">
        <f>indirect(address(456,39))+indirect(address(454,40))-indirect(address(455,40))</f>
        <v>0</v>
      </c>
      <c r="AO456">
        <f>indirect(address(456,40))+indirect(address(454,41))-indirect(address(455,41))</f>
        <v>0</v>
      </c>
    </row>
    <row r="457" spans="1:41">
      <c r="I457" t="s">
        <v>14</v>
      </c>
      <c r="AO457">
        <f>sum(j457:an457)</f>
        <v>0</v>
      </c>
    </row>
    <row r="458" spans="1:41">
      <c r="I458" t="s">
        <v>15</v>
      </c>
      <c r="J458">
        <f>sumif(Plan!B:B,"924-025056-300",Plan!j:j)</f>
        <v>0</v>
      </c>
      <c r="K458">
        <f>sumif(Plan!B:B,"924-025056-300",Plan!k:k)</f>
        <v>0</v>
      </c>
      <c r="L458">
        <f>sumif(Plan!B:B,"924-025056-300",Plan!l:l)</f>
        <v>0</v>
      </c>
      <c r="M458">
        <f>sumif(Plan!B:B,"924-025056-300",Plan!m:m)</f>
        <v>0</v>
      </c>
      <c r="N458">
        <f>sumif(Plan!B:B,"924-025056-300",Plan!n:n)</f>
        <v>0</v>
      </c>
      <c r="O458">
        <f>sumif(Plan!B:B,"924-025056-300",Plan!o:o)</f>
        <v>0</v>
      </c>
      <c r="P458">
        <f>sumif(Plan!B:B,"924-025056-300",Plan!p:p)</f>
        <v>0</v>
      </c>
      <c r="Q458">
        <f>sumif(Plan!B:B,"924-025056-300",Plan!q:q)</f>
        <v>0</v>
      </c>
      <c r="R458">
        <f>sumif(Plan!B:B,"924-025056-300",Plan!r:r)</f>
        <v>0</v>
      </c>
      <c r="S458">
        <f>sumif(Plan!B:B,"924-025056-300",Plan!s:s)</f>
        <v>0</v>
      </c>
      <c r="T458">
        <f>sumif(Plan!B:B,"924-025056-300",Plan!t:t)</f>
        <v>0</v>
      </c>
      <c r="U458">
        <f>sumif(Plan!B:B,"924-025056-300",Plan!u:u)</f>
        <v>0</v>
      </c>
      <c r="V458">
        <f>sumif(Plan!B:B,"924-025056-300",Plan!v:v)</f>
        <v>0</v>
      </c>
      <c r="W458">
        <f>sumif(Plan!B:B,"924-025056-300",Plan!w:w)</f>
        <v>0</v>
      </c>
      <c r="X458">
        <f>sumif(Plan!B:B,"924-025056-300",Plan!x:x)</f>
        <v>0</v>
      </c>
      <c r="Y458">
        <f>sumif(Plan!B:B,"924-025056-300",Plan!y:y)</f>
        <v>0</v>
      </c>
      <c r="Z458">
        <f>sumif(Plan!B:B,"924-025056-300",Plan!z:z)</f>
        <v>0</v>
      </c>
      <c r="AA458">
        <f>sumif(Plan!B:B,"924-025056-300",Plan!aa:aa)</f>
        <v>0</v>
      </c>
      <c r="AB458">
        <f>sumif(Plan!B:B,"924-025056-300",Plan!ab:ab)</f>
        <v>0</v>
      </c>
      <c r="AC458">
        <f>sumif(Plan!B:B,"924-025056-300",Plan!ac:ac)</f>
        <v>0</v>
      </c>
      <c r="AD458">
        <f>sumif(Plan!B:B,"924-025056-300",Plan!ad:ad)</f>
        <v>0</v>
      </c>
      <c r="AE458">
        <f>sumif(Plan!B:B,"924-025056-300",Plan!ae:ae)</f>
        <v>0</v>
      </c>
      <c r="AF458">
        <f>sumif(Plan!B:B,"924-025056-300",Plan!af:af)</f>
        <v>0</v>
      </c>
      <c r="AG458">
        <f>sumif(Plan!B:B,"924-025056-300",Plan!ag:ag)</f>
        <v>0</v>
      </c>
      <c r="AH458">
        <f>sumif(Plan!B:B,"924-025056-300",Plan!ah:ah)</f>
        <v>0</v>
      </c>
      <c r="AI458">
        <f>sumif(Plan!B:B,"924-025056-300",Plan!ai:ai)</f>
        <v>0</v>
      </c>
      <c r="AJ458">
        <f>sumif(Plan!B:B,"924-025056-300",Plan!aj:aj)</f>
        <v>0</v>
      </c>
      <c r="AK458">
        <f>sumif(Plan!B:B,"924-025056-300",Plan!ak:ak)</f>
        <v>0</v>
      </c>
      <c r="AL458">
        <f>sumif(Plan!B:B,"924-025056-300",Plan!al:al)</f>
        <v>0</v>
      </c>
      <c r="AM458">
        <f>sumif(Plan!B:B,"924-025056-300",Plan!am:am)</f>
        <v>0</v>
      </c>
      <c r="AN458">
        <f>sumif(Plan!B:B,"924-025056-300",Plan!an:an)</f>
        <v>0</v>
      </c>
      <c r="AO458">
        <f>sumif(Plan!B:B,"924-025056-300",Plan!ao:ao)</f>
        <v>0</v>
      </c>
    </row>
    <row r="459" spans="1:41">
      <c r="A459" t="s">
        <v>17</v>
      </c>
      <c r="B459" t="s">
        <v>302</v>
      </c>
      <c r="C459" t="s">
        <v>303</v>
      </c>
      <c r="E459">
        <v>1</v>
      </c>
      <c r="F459" t="s">
        <v>13</v>
      </c>
      <c r="H459" t="s">
        <v>16</v>
      </c>
      <c r="J459">
        <f>indirect(address(459,9))+indirect(address(457,10))-indirect(address(458,10))</f>
        <v>0</v>
      </c>
      <c r="K459">
        <f>indirect(address(459,10))+indirect(address(457,11))-indirect(address(458,11))</f>
        <v>0</v>
      </c>
      <c r="L459">
        <f>indirect(address(459,11))+indirect(address(457,12))-indirect(address(458,12))</f>
        <v>0</v>
      </c>
      <c r="M459">
        <f>indirect(address(459,12))+indirect(address(457,13))-indirect(address(458,13))</f>
        <v>0</v>
      </c>
      <c r="N459">
        <f>indirect(address(459,13))+indirect(address(457,14))-indirect(address(458,14))</f>
        <v>0</v>
      </c>
      <c r="O459">
        <f>indirect(address(459,14))+indirect(address(457,15))-indirect(address(458,15))</f>
        <v>0</v>
      </c>
      <c r="P459">
        <f>indirect(address(459,15))+indirect(address(457,16))-indirect(address(458,16))</f>
        <v>0</v>
      </c>
      <c r="Q459">
        <f>indirect(address(459,16))+indirect(address(457,17))-indirect(address(458,17))</f>
        <v>0</v>
      </c>
      <c r="R459">
        <f>indirect(address(459,17))+indirect(address(457,18))-indirect(address(458,18))</f>
        <v>0</v>
      </c>
      <c r="S459">
        <f>indirect(address(459,18))+indirect(address(457,19))-indirect(address(458,19))</f>
        <v>0</v>
      </c>
      <c r="T459">
        <f>indirect(address(459,19))+indirect(address(457,20))-indirect(address(458,20))</f>
        <v>0</v>
      </c>
      <c r="U459">
        <f>indirect(address(459,20))+indirect(address(457,21))-indirect(address(458,21))</f>
        <v>0</v>
      </c>
      <c r="V459">
        <f>indirect(address(459,21))+indirect(address(457,22))-indirect(address(458,22))</f>
        <v>0</v>
      </c>
      <c r="W459">
        <f>indirect(address(459,22))+indirect(address(457,23))-indirect(address(458,23))</f>
        <v>0</v>
      </c>
      <c r="X459">
        <f>indirect(address(459,23))+indirect(address(457,24))-indirect(address(458,24))</f>
        <v>0</v>
      </c>
      <c r="Y459">
        <f>indirect(address(459,24))+indirect(address(457,25))-indirect(address(458,25))</f>
        <v>0</v>
      </c>
      <c r="Z459">
        <f>indirect(address(459,25))+indirect(address(457,26))-indirect(address(458,26))</f>
        <v>0</v>
      </c>
      <c r="AA459">
        <f>indirect(address(459,26))+indirect(address(457,27))-indirect(address(458,27))</f>
        <v>0</v>
      </c>
      <c r="AB459">
        <f>indirect(address(459,27))+indirect(address(457,28))-indirect(address(458,28))</f>
        <v>0</v>
      </c>
      <c r="AC459">
        <f>indirect(address(459,28))+indirect(address(457,29))-indirect(address(458,29))</f>
        <v>0</v>
      </c>
      <c r="AD459">
        <f>indirect(address(459,29))+indirect(address(457,30))-indirect(address(458,30))</f>
        <v>0</v>
      </c>
      <c r="AE459">
        <f>indirect(address(459,30))+indirect(address(457,31))-indirect(address(458,31))</f>
        <v>0</v>
      </c>
      <c r="AF459">
        <f>indirect(address(459,31))+indirect(address(457,32))-indirect(address(458,32))</f>
        <v>0</v>
      </c>
      <c r="AG459">
        <f>indirect(address(459,32))+indirect(address(457,33))-indirect(address(458,33))</f>
        <v>0</v>
      </c>
      <c r="AH459">
        <f>indirect(address(459,33))+indirect(address(457,34))-indirect(address(458,34))</f>
        <v>0</v>
      </c>
      <c r="AI459">
        <f>indirect(address(459,34))+indirect(address(457,35))-indirect(address(458,35))</f>
        <v>0</v>
      </c>
      <c r="AJ459">
        <f>indirect(address(459,35))+indirect(address(457,36))-indirect(address(458,36))</f>
        <v>0</v>
      </c>
      <c r="AK459">
        <f>indirect(address(459,36))+indirect(address(457,37))-indirect(address(458,37))</f>
        <v>0</v>
      </c>
      <c r="AL459">
        <f>indirect(address(459,37))+indirect(address(457,38))-indirect(address(458,38))</f>
        <v>0</v>
      </c>
      <c r="AM459">
        <f>indirect(address(459,38))+indirect(address(457,39))-indirect(address(458,39))</f>
        <v>0</v>
      </c>
      <c r="AN459">
        <f>indirect(address(459,39))+indirect(address(457,40))-indirect(address(458,40))</f>
        <v>0</v>
      </c>
      <c r="AO459">
        <f>indirect(address(459,40))+indirect(address(457,41))-indirect(address(458,41))</f>
        <v>0</v>
      </c>
    </row>
    <row r="460" spans="1:41">
      <c r="I460" t="s">
        <v>14</v>
      </c>
      <c r="AO460">
        <f>sum(j460:an460)</f>
        <v>0</v>
      </c>
    </row>
    <row r="461" spans="1:41">
      <c r="I461" t="s">
        <v>15</v>
      </c>
      <c r="J461">
        <f>sumif(Plan!B:B,"924-025056-300",Plan!j:j)</f>
        <v>0</v>
      </c>
      <c r="K461">
        <f>sumif(Plan!B:B,"924-025056-300",Plan!k:k)</f>
        <v>0</v>
      </c>
      <c r="L461">
        <f>sumif(Plan!B:B,"924-025056-300",Plan!l:l)</f>
        <v>0</v>
      </c>
      <c r="M461">
        <f>sumif(Plan!B:B,"924-025056-300",Plan!m:m)</f>
        <v>0</v>
      </c>
      <c r="N461">
        <f>sumif(Plan!B:B,"924-025056-300",Plan!n:n)</f>
        <v>0</v>
      </c>
      <c r="O461">
        <f>sumif(Plan!B:B,"924-025056-300",Plan!o:o)</f>
        <v>0</v>
      </c>
      <c r="P461">
        <f>sumif(Plan!B:B,"924-025056-300",Plan!p:p)</f>
        <v>0</v>
      </c>
      <c r="Q461">
        <f>sumif(Plan!B:B,"924-025056-300",Plan!q:q)</f>
        <v>0</v>
      </c>
      <c r="R461">
        <f>sumif(Plan!B:B,"924-025056-300",Plan!r:r)</f>
        <v>0</v>
      </c>
      <c r="S461">
        <f>sumif(Plan!B:B,"924-025056-300",Plan!s:s)</f>
        <v>0</v>
      </c>
      <c r="T461">
        <f>sumif(Plan!B:B,"924-025056-300",Plan!t:t)</f>
        <v>0</v>
      </c>
      <c r="U461">
        <f>sumif(Plan!B:B,"924-025056-300",Plan!u:u)</f>
        <v>0</v>
      </c>
      <c r="V461">
        <f>sumif(Plan!B:B,"924-025056-300",Plan!v:v)</f>
        <v>0</v>
      </c>
      <c r="W461">
        <f>sumif(Plan!B:B,"924-025056-300",Plan!w:w)</f>
        <v>0</v>
      </c>
      <c r="X461">
        <f>sumif(Plan!B:B,"924-025056-300",Plan!x:x)</f>
        <v>0</v>
      </c>
      <c r="Y461">
        <f>sumif(Plan!B:B,"924-025056-300",Plan!y:y)</f>
        <v>0</v>
      </c>
      <c r="Z461">
        <f>sumif(Plan!B:B,"924-025056-300",Plan!z:z)</f>
        <v>0</v>
      </c>
      <c r="AA461">
        <f>sumif(Plan!B:B,"924-025056-300",Plan!aa:aa)</f>
        <v>0</v>
      </c>
      <c r="AB461">
        <f>sumif(Plan!B:B,"924-025056-300",Plan!ab:ab)</f>
        <v>0</v>
      </c>
      <c r="AC461">
        <f>sumif(Plan!B:B,"924-025056-300",Plan!ac:ac)</f>
        <v>0</v>
      </c>
      <c r="AD461">
        <f>sumif(Plan!B:B,"924-025056-300",Plan!ad:ad)</f>
        <v>0</v>
      </c>
      <c r="AE461">
        <f>sumif(Plan!B:B,"924-025056-300",Plan!ae:ae)</f>
        <v>0</v>
      </c>
      <c r="AF461">
        <f>sumif(Plan!B:B,"924-025056-300",Plan!af:af)</f>
        <v>0</v>
      </c>
      <c r="AG461">
        <f>sumif(Plan!B:B,"924-025056-300",Plan!ag:ag)</f>
        <v>0</v>
      </c>
      <c r="AH461">
        <f>sumif(Plan!B:B,"924-025056-300",Plan!ah:ah)</f>
        <v>0</v>
      </c>
      <c r="AI461">
        <f>sumif(Plan!B:B,"924-025056-300",Plan!ai:ai)</f>
        <v>0</v>
      </c>
      <c r="AJ461">
        <f>sumif(Plan!B:B,"924-025056-300",Plan!aj:aj)</f>
        <v>0</v>
      </c>
      <c r="AK461">
        <f>sumif(Plan!B:B,"924-025056-300",Plan!ak:ak)</f>
        <v>0</v>
      </c>
      <c r="AL461">
        <f>sumif(Plan!B:B,"924-025056-300",Plan!al:al)</f>
        <v>0</v>
      </c>
      <c r="AM461">
        <f>sumif(Plan!B:B,"924-025056-300",Plan!am:am)</f>
        <v>0</v>
      </c>
      <c r="AN461">
        <f>sumif(Plan!B:B,"924-025056-300",Plan!an:an)</f>
        <v>0</v>
      </c>
      <c r="AO461">
        <f>sumif(Plan!B:B,"924-025056-300",Plan!ao:ao)</f>
        <v>0</v>
      </c>
    </row>
    <row r="462" spans="1:41">
      <c r="A462" t="s">
        <v>22</v>
      </c>
      <c r="B462" t="s">
        <v>302</v>
      </c>
      <c r="C462" t="s">
        <v>292</v>
      </c>
      <c r="E462">
        <v>1</v>
      </c>
      <c r="F462" t="s">
        <v>13</v>
      </c>
      <c r="H462" t="s">
        <v>16</v>
      </c>
      <c r="J462">
        <f>indirect(address(462,9))+indirect(address(460,10))-indirect(address(461,10))</f>
        <v>0</v>
      </c>
      <c r="K462">
        <f>indirect(address(462,10))+indirect(address(460,11))-indirect(address(461,11))</f>
        <v>0</v>
      </c>
      <c r="L462">
        <f>indirect(address(462,11))+indirect(address(460,12))-indirect(address(461,12))</f>
        <v>0</v>
      </c>
      <c r="M462">
        <f>indirect(address(462,12))+indirect(address(460,13))-indirect(address(461,13))</f>
        <v>0</v>
      </c>
      <c r="N462">
        <f>indirect(address(462,13))+indirect(address(460,14))-indirect(address(461,14))</f>
        <v>0</v>
      </c>
      <c r="O462">
        <f>indirect(address(462,14))+indirect(address(460,15))-indirect(address(461,15))</f>
        <v>0</v>
      </c>
      <c r="P462">
        <f>indirect(address(462,15))+indirect(address(460,16))-indirect(address(461,16))</f>
        <v>0</v>
      </c>
      <c r="Q462">
        <f>indirect(address(462,16))+indirect(address(460,17))-indirect(address(461,17))</f>
        <v>0</v>
      </c>
      <c r="R462">
        <f>indirect(address(462,17))+indirect(address(460,18))-indirect(address(461,18))</f>
        <v>0</v>
      </c>
      <c r="S462">
        <f>indirect(address(462,18))+indirect(address(460,19))-indirect(address(461,19))</f>
        <v>0</v>
      </c>
      <c r="T462">
        <f>indirect(address(462,19))+indirect(address(460,20))-indirect(address(461,20))</f>
        <v>0</v>
      </c>
      <c r="U462">
        <f>indirect(address(462,20))+indirect(address(460,21))-indirect(address(461,21))</f>
        <v>0</v>
      </c>
      <c r="V462">
        <f>indirect(address(462,21))+indirect(address(460,22))-indirect(address(461,22))</f>
        <v>0</v>
      </c>
      <c r="W462">
        <f>indirect(address(462,22))+indirect(address(460,23))-indirect(address(461,23))</f>
        <v>0</v>
      </c>
      <c r="X462">
        <f>indirect(address(462,23))+indirect(address(460,24))-indirect(address(461,24))</f>
        <v>0</v>
      </c>
      <c r="Y462">
        <f>indirect(address(462,24))+indirect(address(460,25))-indirect(address(461,25))</f>
        <v>0</v>
      </c>
      <c r="Z462">
        <f>indirect(address(462,25))+indirect(address(460,26))-indirect(address(461,26))</f>
        <v>0</v>
      </c>
      <c r="AA462">
        <f>indirect(address(462,26))+indirect(address(460,27))-indirect(address(461,27))</f>
        <v>0</v>
      </c>
      <c r="AB462">
        <f>indirect(address(462,27))+indirect(address(460,28))-indirect(address(461,28))</f>
        <v>0</v>
      </c>
      <c r="AC462">
        <f>indirect(address(462,28))+indirect(address(460,29))-indirect(address(461,29))</f>
        <v>0</v>
      </c>
      <c r="AD462">
        <f>indirect(address(462,29))+indirect(address(460,30))-indirect(address(461,30))</f>
        <v>0</v>
      </c>
      <c r="AE462">
        <f>indirect(address(462,30))+indirect(address(460,31))-indirect(address(461,31))</f>
        <v>0</v>
      </c>
      <c r="AF462">
        <f>indirect(address(462,31))+indirect(address(460,32))-indirect(address(461,32))</f>
        <v>0</v>
      </c>
      <c r="AG462">
        <f>indirect(address(462,32))+indirect(address(460,33))-indirect(address(461,33))</f>
        <v>0</v>
      </c>
      <c r="AH462">
        <f>indirect(address(462,33))+indirect(address(460,34))-indirect(address(461,34))</f>
        <v>0</v>
      </c>
      <c r="AI462">
        <f>indirect(address(462,34))+indirect(address(460,35))-indirect(address(461,35))</f>
        <v>0</v>
      </c>
      <c r="AJ462">
        <f>indirect(address(462,35))+indirect(address(460,36))-indirect(address(461,36))</f>
        <v>0</v>
      </c>
      <c r="AK462">
        <f>indirect(address(462,36))+indirect(address(460,37))-indirect(address(461,37))</f>
        <v>0</v>
      </c>
      <c r="AL462">
        <f>indirect(address(462,37))+indirect(address(460,38))-indirect(address(461,38))</f>
        <v>0</v>
      </c>
      <c r="AM462">
        <f>indirect(address(462,38))+indirect(address(460,39))-indirect(address(461,39))</f>
        <v>0</v>
      </c>
      <c r="AN462">
        <f>indirect(address(462,39))+indirect(address(460,40))-indirect(address(461,40))</f>
        <v>0</v>
      </c>
      <c r="AO462">
        <f>indirect(address(462,40))+indirect(address(460,41))-indirect(address(461,41))</f>
        <v>0</v>
      </c>
    </row>
    <row r="463" spans="1:41">
      <c r="I463" t="s">
        <v>14</v>
      </c>
      <c r="AO463">
        <f>sum(j463:an463)</f>
        <v>0</v>
      </c>
    </row>
    <row r="464" spans="1:41">
      <c r="I464" t="s">
        <v>15</v>
      </c>
      <c r="J464">
        <f>sumif(Plan!B:B,"924-025056-300",Plan!j:j)</f>
        <v>0</v>
      </c>
      <c r="K464">
        <f>sumif(Plan!B:B,"924-025056-300",Plan!k:k)</f>
        <v>0</v>
      </c>
      <c r="L464">
        <f>sumif(Plan!B:B,"924-025056-300",Plan!l:l)</f>
        <v>0</v>
      </c>
      <c r="M464">
        <f>sumif(Plan!B:B,"924-025056-300",Plan!m:m)</f>
        <v>0</v>
      </c>
      <c r="N464">
        <f>sumif(Plan!B:B,"924-025056-300",Plan!n:n)</f>
        <v>0</v>
      </c>
      <c r="O464">
        <f>sumif(Plan!B:B,"924-025056-300",Plan!o:o)</f>
        <v>0</v>
      </c>
      <c r="P464">
        <f>sumif(Plan!B:B,"924-025056-300",Plan!p:p)</f>
        <v>0</v>
      </c>
      <c r="Q464">
        <f>sumif(Plan!B:B,"924-025056-300",Plan!q:q)</f>
        <v>0</v>
      </c>
      <c r="R464">
        <f>sumif(Plan!B:B,"924-025056-300",Plan!r:r)</f>
        <v>0</v>
      </c>
      <c r="S464">
        <f>sumif(Plan!B:B,"924-025056-300",Plan!s:s)</f>
        <v>0</v>
      </c>
      <c r="T464">
        <f>sumif(Plan!B:B,"924-025056-300",Plan!t:t)</f>
        <v>0</v>
      </c>
      <c r="U464">
        <f>sumif(Plan!B:B,"924-025056-300",Plan!u:u)</f>
        <v>0</v>
      </c>
      <c r="V464">
        <f>sumif(Plan!B:B,"924-025056-300",Plan!v:v)</f>
        <v>0</v>
      </c>
      <c r="W464">
        <f>sumif(Plan!B:B,"924-025056-300",Plan!w:w)</f>
        <v>0</v>
      </c>
      <c r="X464">
        <f>sumif(Plan!B:B,"924-025056-300",Plan!x:x)</f>
        <v>0</v>
      </c>
      <c r="Y464">
        <f>sumif(Plan!B:B,"924-025056-300",Plan!y:y)</f>
        <v>0</v>
      </c>
      <c r="Z464">
        <f>sumif(Plan!B:B,"924-025056-300",Plan!z:z)</f>
        <v>0</v>
      </c>
      <c r="AA464">
        <f>sumif(Plan!B:B,"924-025056-300",Plan!aa:aa)</f>
        <v>0</v>
      </c>
      <c r="AB464">
        <f>sumif(Plan!B:B,"924-025056-300",Plan!ab:ab)</f>
        <v>0</v>
      </c>
      <c r="AC464">
        <f>sumif(Plan!B:B,"924-025056-300",Plan!ac:ac)</f>
        <v>0</v>
      </c>
      <c r="AD464">
        <f>sumif(Plan!B:B,"924-025056-300",Plan!ad:ad)</f>
        <v>0</v>
      </c>
      <c r="AE464">
        <f>sumif(Plan!B:B,"924-025056-300",Plan!ae:ae)</f>
        <v>0</v>
      </c>
      <c r="AF464">
        <f>sumif(Plan!B:B,"924-025056-300",Plan!af:af)</f>
        <v>0</v>
      </c>
      <c r="AG464">
        <f>sumif(Plan!B:B,"924-025056-300",Plan!ag:ag)</f>
        <v>0</v>
      </c>
      <c r="AH464">
        <f>sumif(Plan!B:B,"924-025056-300",Plan!ah:ah)</f>
        <v>0</v>
      </c>
      <c r="AI464">
        <f>sumif(Plan!B:B,"924-025056-300",Plan!ai:ai)</f>
        <v>0</v>
      </c>
      <c r="AJ464">
        <f>sumif(Plan!B:B,"924-025056-300",Plan!aj:aj)</f>
        <v>0</v>
      </c>
      <c r="AK464">
        <f>sumif(Plan!B:B,"924-025056-300",Plan!ak:ak)</f>
        <v>0</v>
      </c>
      <c r="AL464">
        <f>sumif(Plan!B:B,"924-025056-300",Plan!al:al)</f>
        <v>0</v>
      </c>
      <c r="AM464">
        <f>sumif(Plan!B:B,"924-025056-300",Plan!am:am)</f>
        <v>0</v>
      </c>
      <c r="AN464">
        <f>sumif(Plan!B:B,"924-025056-300",Plan!an:an)</f>
        <v>0</v>
      </c>
      <c r="AO464">
        <f>sumif(Plan!B:B,"924-025056-300",Plan!ao:ao)</f>
        <v>0</v>
      </c>
    </row>
    <row r="465" spans="1:41">
      <c r="A465" t="s">
        <v>22</v>
      </c>
      <c r="B465" t="s">
        <v>302</v>
      </c>
      <c r="C465" t="s">
        <v>293</v>
      </c>
      <c r="E465">
        <v>4</v>
      </c>
      <c r="F465" t="s">
        <v>13</v>
      </c>
      <c r="H465" t="s">
        <v>16</v>
      </c>
      <c r="J465">
        <f>indirect(address(465,9))+indirect(address(463,10))-indirect(address(464,10))</f>
        <v>0</v>
      </c>
      <c r="K465">
        <f>indirect(address(465,10))+indirect(address(463,11))-indirect(address(464,11))</f>
        <v>0</v>
      </c>
      <c r="L465">
        <f>indirect(address(465,11))+indirect(address(463,12))-indirect(address(464,12))</f>
        <v>0</v>
      </c>
      <c r="M465">
        <f>indirect(address(465,12))+indirect(address(463,13))-indirect(address(464,13))</f>
        <v>0</v>
      </c>
      <c r="N465">
        <f>indirect(address(465,13))+indirect(address(463,14))-indirect(address(464,14))</f>
        <v>0</v>
      </c>
      <c r="O465">
        <f>indirect(address(465,14))+indirect(address(463,15))-indirect(address(464,15))</f>
        <v>0</v>
      </c>
      <c r="P465">
        <f>indirect(address(465,15))+indirect(address(463,16))-indirect(address(464,16))</f>
        <v>0</v>
      </c>
      <c r="Q465">
        <f>indirect(address(465,16))+indirect(address(463,17))-indirect(address(464,17))</f>
        <v>0</v>
      </c>
      <c r="R465">
        <f>indirect(address(465,17))+indirect(address(463,18))-indirect(address(464,18))</f>
        <v>0</v>
      </c>
      <c r="S465">
        <f>indirect(address(465,18))+indirect(address(463,19))-indirect(address(464,19))</f>
        <v>0</v>
      </c>
      <c r="T465">
        <f>indirect(address(465,19))+indirect(address(463,20))-indirect(address(464,20))</f>
        <v>0</v>
      </c>
      <c r="U465">
        <f>indirect(address(465,20))+indirect(address(463,21))-indirect(address(464,21))</f>
        <v>0</v>
      </c>
      <c r="V465">
        <f>indirect(address(465,21))+indirect(address(463,22))-indirect(address(464,22))</f>
        <v>0</v>
      </c>
      <c r="W465">
        <f>indirect(address(465,22))+indirect(address(463,23))-indirect(address(464,23))</f>
        <v>0</v>
      </c>
      <c r="X465">
        <f>indirect(address(465,23))+indirect(address(463,24))-indirect(address(464,24))</f>
        <v>0</v>
      </c>
      <c r="Y465">
        <f>indirect(address(465,24))+indirect(address(463,25))-indirect(address(464,25))</f>
        <v>0</v>
      </c>
      <c r="Z465">
        <f>indirect(address(465,25))+indirect(address(463,26))-indirect(address(464,26))</f>
        <v>0</v>
      </c>
      <c r="AA465">
        <f>indirect(address(465,26))+indirect(address(463,27))-indirect(address(464,27))</f>
        <v>0</v>
      </c>
      <c r="AB465">
        <f>indirect(address(465,27))+indirect(address(463,28))-indirect(address(464,28))</f>
        <v>0</v>
      </c>
      <c r="AC465">
        <f>indirect(address(465,28))+indirect(address(463,29))-indirect(address(464,29))</f>
        <v>0</v>
      </c>
      <c r="AD465">
        <f>indirect(address(465,29))+indirect(address(463,30))-indirect(address(464,30))</f>
        <v>0</v>
      </c>
      <c r="AE465">
        <f>indirect(address(465,30))+indirect(address(463,31))-indirect(address(464,31))</f>
        <v>0</v>
      </c>
      <c r="AF465">
        <f>indirect(address(465,31))+indirect(address(463,32))-indirect(address(464,32))</f>
        <v>0</v>
      </c>
      <c r="AG465">
        <f>indirect(address(465,32))+indirect(address(463,33))-indirect(address(464,33))</f>
        <v>0</v>
      </c>
      <c r="AH465">
        <f>indirect(address(465,33))+indirect(address(463,34))-indirect(address(464,34))</f>
        <v>0</v>
      </c>
      <c r="AI465">
        <f>indirect(address(465,34))+indirect(address(463,35))-indirect(address(464,35))</f>
        <v>0</v>
      </c>
      <c r="AJ465">
        <f>indirect(address(465,35))+indirect(address(463,36))-indirect(address(464,36))</f>
        <v>0</v>
      </c>
      <c r="AK465">
        <f>indirect(address(465,36))+indirect(address(463,37))-indirect(address(464,37))</f>
        <v>0</v>
      </c>
      <c r="AL465">
        <f>indirect(address(465,37))+indirect(address(463,38))-indirect(address(464,38))</f>
        <v>0</v>
      </c>
      <c r="AM465">
        <f>indirect(address(465,38))+indirect(address(463,39))-indirect(address(464,39))</f>
        <v>0</v>
      </c>
      <c r="AN465">
        <f>indirect(address(465,39))+indirect(address(463,40))-indirect(address(464,40))</f>
        <v>0</v>
      </c>
      <c r="AO465">
        <f>indirect(address(465,40))+indirect(address(463,41))-indirect(address(464,41))</f>
        <v>0</v>
      </c>
    </row>
    <row r="466" spans="1:41">
      <c r="I466" t="s">
        <v>14</v>
      </c>
      <c r="AO466">
        <f>sum(j466:an466)</f>
        <v>0</v>
      </c>
    </row>
    <row r="467" spans="1:41">
      <c r="I467" t="s">
        <v>15</v>
      </c>
      <c r="J467">
        <f>sumif(Plan!B:B,"924-025056-300",Plan!j:j)</f>
        <v>0</v>
      </c>
      <c r="K467">
        <f>sumif(Plan!B:B,"924-025056-300",Plan!k:k)</f>
        <v>0</v>
      </c>
      <c r="L467">
        <f>sumif(Plan!B:B,"924-025056-300",Plan!l:l)</f>
        <v>0</v>
      </c>
      <c r="M467">
        <f>sumif(Plan!B:B,"924-025056-300",Plan!m:m)</f>
        <v>0</v>
      </c>
      <c r="N467">
        <f>sumif(Plan!B:B,"924-025056-300",Plan!n:n)</f>
        <v>0</v>
      </c>
      <c r="O467">
        <f>sumif(Plan!B:B,"924-025056-300",Plan!o:o)</f>
        <v>0</v>
      </c>
      <c r="P467">
        <f>sumif(Plan!B:B,"924-025056-300",Plan!p:p)</f>
        <v>0</v>
      </c>
      <c r="Q467">
        <f>sumif(Plan!B:B,"924-025056-300",Plan!q:q)</f>
        <v>0</v>
      </c>
      <c r="R467">
        <f>sumif(Plan!B:B,"924-025056-300",Plan!r:r)</f>
        <v>0</v>
      </c>
      <c r="S467">
        <f>sumif(Plan!B:B,"924-025056-300",Plan!s:s)</f>
        <v>0</v>
      </c>
      <c r="T467">
        <f>sumif(Plan!B:B,"924-025056-300",Plan!t:t)</f>
        <v>0</v>
      </c>
      <c r="U467">
        <f>sumif(Plan!B:B,"924-025056-300",Plan!u:u)</f>
        <v>0</v>
      </c>
      <c r="V467">
        <f>sumif(Plan!B:B,"924-025056-300",Plan!v:v)</f>
        <v>0</v>
      </c>
      <c r="W467">
        <f>sumif(Plan!B:B,"924-025056-300",Plan!w:w)</f>
        <v>0</v>
      </c>
      <c r="X467">
        <f>sumif(Plan!B:B,"924-025056-300",Plan!x:x)</f>
        <v>0</v>
      </c>
      <c r="Y467">
        <f>sumif(Plan!B:B,"924-025056-300",Plan!y:y)</f>
        <v>0</v>
      </c>
      <c r="Z467">
        <f>sumif(Plan!B:B,"924-025056-300",Plan!z:z)</f>
        <v>0</v>
      </c>
      <c r="AA467">
        <f>sumif(Plan!B:B,"924-025056-300",Plan!aa:aa)</f>
        <v>0</v>
      </c>
      <c r="AB467">
        <f>sumif(Plan!B:B,"924-025056-300",Plan!ab:ab)</f>
        <v>0</v>
      </c>
      <c r="AC467">
        <f>sumif(Plan!B:B,"924-025056-300",Plan!ac:ac)</f>
        <v>0</v>
      </c>
      <c r="AD467">
        <f>sumif(Plan!B:B,"924-025056-300",Plan!ad:ad)</f>
        <v>0</v>
      </c>
      <c r="AE467">
        <f>sumif(Plan!B:B,"924-025056-300",Plan!ae:ae)</f>
        <v>0</v>
      </c>
      <c r="AF467">
        <f>sumif(Plan!B:B,"924-025056-300",Plan!af:af)</f>
        <v>0</v>
      </c>
      <c r="AG467">
        <f>sumif(Plan!B:B,"924-025056-300",Plan!ag:ag)</f>
        <v>0</v>
      </c>
      <c r="AH467">
        <f>sumif(Plan!B:B,"924-025056-300",Plan!ah:ah)</f>
        <v>0</v>
      </c>
      <c r="AI467">
        <f>sumif(Plan!B:B,"924-025056-300",Plan!ai:ai)</f>
        <v>0</v>
      </c>
      <c r="AJ467">
        <f>sumif(Plan!B:B,"924-025056-300",Plan!aj:aj)</f>
        <v>0</v>
      </c>
      <c r="AK467">
        <f>sumif(Plan!B:B,"924-025056-300",Plan!ak:ak)</f>
        <v>0</v>
      </c>
      <c r="AL467">
        <f>sumif(Plan!B:B,"924-025056-300",Plan!al:al)</f>
        <v>0</v>
      </c>
      <c r="AM467">
        <f>sumif(Plan!B:B,"924-025056-300",Plan!am:am)</f>
        <v>0</v>
      </c>
      <c r="AN467">
        <f>sumif(Plan!B:B,"924-025056-300",Plan!an:an)</f>
        <v>0</v>
      </c>
      <c r="AO467">
        <f>sumif(Plan!B:B,"924-025056-300",Plan!ao:ao)</f>
        <v>0</v>
      </c>
    </row>
    <row r="468" spans="1:41">
      <c r="A468" t="s">
        <v>22</v>
      </c>
      <c r="B468" t="s">
        <v>302</v>
      </c>
      <c r="C468" t="s">
        <v>294</v>
      </c>
      <c r="E468">
        <v>1</v>
      </c>
      <c r="F468" t="s">
        <v>13</v>
      </c>
      <c r="H468" t="s">
        <v>16</v>
      </c>
      <c r="J468">
        <f>indirect(address(468,9))+indirect(address(466,10))-indirect(address(467,10))</f>
        <v>0</v>
      </c>
      <c r="K468">
        <f>indirect(address(468,10))+indirect(address(466,11))-indirect(address(467,11))</f>
        <v>0</v>
      </c>
      <c r="L468">
        <f>indirect(address(468,11))+indirect(address(466,12))-indirect(address(467,12))</f>
        <v>0</v>
      </c>
      <c r="M468">
        <f>indirect(address(468,12))+indirect(address(466,13))-indirect(address(467,13))</f>
        <v>0</v>
      </c>
      <c r="N468">
        <f>indirect(address(468,13))+indirect(address(466,14))-indirect(address(467,14))</f>
        <v>0</v>
      </c>
      <c r="O468">
        <f>indirect(address(468,14))+indirect(address(466,15))-indirect(address(467,15))</f>
        <v>0</v>
      </c>
      <c r="P468">
        <f>indirect(address(468,15))+indirect(address(466,16))-indirect(address(467,16))</f>
        <v>0</v>
      </c>
      <c r="Q468">
        <f>indirect(address(468,16))+indirect(address(466,17))-indirect(address(467,17))</f>
        <v>0</v>
      </c>
      <c r="R468">
        <f>indirect(address(468,17))+indirect(address(466,18))-indirect(address(467,18))</f>
        <v>0</v>
      </c>
      <c r="S468">
        <f>indirect(address(468,18))+indirect(address(466,19))-indirect(address(467,19))</f>
        <v>0</v>
      </c>
      <c r="T468">
        <f>indirect(address(468,19))+indirect(address(466,20))-indirect(address(467,20))</f>
        <v>0</v>
      </c>
      <c r="U468">
        <f>indirect(address(468,20))+indirect(address(466,21))-indirect(address(467,21))</f>
        <v>0</v>
      </c>
      <c r="V468">
        <f>indirect(address(468,21))+indirect(address(466,22))-indirect(address(467,22))</f>
        <v>0</v>
      </c>
      <c r="W468">
        <f>indirect(address(468,22))+indirect(address(466,23))-indirect(address(467,23))</f>
        <v>0</v>
      </c>
      <c r="X468">
        <f>indirect(address(468,23))+indirect(address(466,24))-indirect(address(467,24))</f>
        <v>0</v>
      </c>
      <c r="Y468">
        <f>indirect(address(468,24))+indirect(address(466,25))-indirect(address(467,25))</f>
        <v>0</v>
      </c>
      <c r="Z468">
        <f>indirect(address(468,25))+indirect(address(466,26))-indirect(address(467,26))</f>
        <v>0</v>
      </c>
      <c r="AA468">
        <f>indirect(address(468,26))+indirect(address(466,27))-indirect(address(467,27))</f>
        <v>0</v>
      </c>
      <c r="AB468">
        <f>indirect(address(468,27))+indirect(address(466,28))-indirect(address(467,28))</f>
        <v>0</v>
      </c>
      <c r="AC468">
        <f>indirect(address(468,28))+indirect(address(466,29))-indirect(address(467,29))</f>
        <v>0</v>
      </c>
      <c r="AD468">
        <f>indirect(address(468,29))+indirect(address(466,30))-indirect(address(467,30))</f>
        <v>0</v>
      </c>
      <c r="AE468">
        <f>indirect(address(468,30))+indirect(address(466,31))-indirect(address(467,31))</f>
        <v>0</v>
      </c>
      <c r="AF468">
        <f>indirect(address(468,31))+indirect(address(466,32))-indirect(address(467,32))</f>
        <v>0</v>
      </c>
      <c r="AG468">
        <f>indirect(address(468,32))+indirect(address(466,33))-indirect(address(467,33))</f>
        <v>0</v>
      </c>
      <c r="AH468">
        <f>indirect(address(468,33))+indirect(address(466,34))-indirect(address(467,34))</f>
        <v>0</v>
      </c>
      <c r="AI468">
        <f>indirect(address(468,34))+indirect(address(466,35))-indirect(address(467,35))</f>
        <v>0</v>
      </c>
      <c r="AJ468">
        <f>indirect(address(468,35))+indirect(address(466,36))-indirect(address(467,36))</f>
        <v>0</v>
      </c>
      <c r="AK468">
        <f>indirect(address(468,36))+indirect(address(466,37))-indirect(address(467,37))</f>
        <v>0</v>
      </c>
      <c r="AL468">
        <f>indirect(address(468,37))+indirect(address(466,38))-indirect(address(467,38))</f>
        <v>0</v>
      </c>
      <c r="AM468">
        <f>indirect(address(468,38))+indirect(address(466,39))-indirect(address(467,39))</f>
        <v>0</v>
      </c>
      <c r="AN468">
        <f>indirect(address(468,39))+indirect(address(466,40))-indirect(address(467,40))</f>
        <v>0</v>
      </c>
      <c r="AO468">
        <f>indirect(address(468,40))+indirect(address(466,41))-indirect(address(467,41))</f>
        <v>0</v>
      </c>
    </row>
    <row r="469" spans="1:41">
      <c r="I469" t="s">
        <v>14</v>
      </c>
      <c r="AO469">
        <f>sum(j469:an469)</f>
        <v>0</v>
      </c>
    </row>
    <row r="470" spans="1:41">
      <c r="I470" t="s">
        <v>15</v>
      </c>
      <c r="J470">
        <f>sumif(Plan!B:B,"924-025056-300",Plan!j:j)</f>
        <v>0</v>
      </c>
      <c r="K470">
        <f>sumif(Plan!B:B,"924-025056-300",Plan!k:k)</f>
        <v>0</v>
      </c>
      <c r="L470">
        <f>sumif(Plan!B:B,"924-025056-300",Plan!l:l)</f>
        <v>0</v>
      </c>
      <c r="M470">
        <f>sumif(Plan!B:B,"924-025056-300",Plan!m:m)</f>
        <v>0</v>
      </c>
      <c r="N470">
        <f>sumif(Plan!B:B,"924-025056-300",Plan!n:n)</f>
        <v>0</v>
      </c>
      <c r="O470">
        <f>sumif(Plan!B:B,"924-025056-300",Plan!o:o)</f>
        <v>0</v>
      </c>
      <c r="P470">
        <f>sumif(Plan!B:B,"924-025056-300",Plan!p:p)</f>
        <v>0</v>
      </c>
      <c r="Q470">
        <f>sumif(Plan!B:B,"924-025056-300",Plan!q:q)</f>
        <v>0</v>
      </c>
      <c r="R470">
        <f>sumif(Plan!B:B,"924-025056-300",Plan!r:r)</f>
        <v>0</v>
      </c>
      <c r="S470">
        <f>sumif(Plan!B:B,"924-025056-300",Plan!s:s)</f>
        <v>0</v>
      </c>
      <c r="T470">
        <f>sumif(Plan!B:B,"924-025056-300",Plan!t:t)</f>
        <v>0</v>
      </c>
      <c r="U470">
        <f>sumif(Plan!B:B,"924-025056-300",Plan!u:u)</f>
        <v>0</v>
      </c>
      <c r="V470">
        <f>sumif(Plan!B:B,"924-025056-300",Plan!v:v)</f>
        <v>0</v>
      </c>
      <c r="W470">
        <f>sumif(Plan!B:B,"924-025056-300",Plan!w:w)</f>
        <v>0</v>
      </c>
      <c r="X470">
        <f>sumif(Plan!B:B,"924-025056-300",Plan!x:x)</f>
        <v>0</v>
      </c>
      <c r="Y470">
        <f>sumif(Plan!B:B,"924-025056-300",Plan!y:y)</f>
        <v>0</v>
      </c>
      <c r="Z470">
        <f>sumif(Plan!B:B,"924-025056-300",Plan!z:z)</f>
        <v>0</v>
      </c>
      <c r="AA470">
        <f>sumif(Plan!B:B,"924-025056-300",Plan!aa:aa)</f>
        <v>0</v>
      </c>
      <c r="AB470">
        <f>sumif(Plan!B:B,"924-025056-300",Plan!ab:ab)</f>
        <v>0</v>
      </c>
      <c r="AC470">
        <f>sumif(Plan!B:B,"924-025056-300",Plan!ac:ac)</f>
        <v>0</v>
      </c>
      <c r="AD470">
        <f>sumif(Plan!B:B,"924-025056-300",Plan!ad:ad)</f>
        <v>0</v>
      </c>
      <c r="AE470">
        <f>sumif(Plan!B:B,"924-025056-300",Plan!ae:ae)</f>
        <v>0</v>
      </c>
      <c r="AF470">
        <f>sumif(Plan!B:B,"924-025056-300",Plan!af:af)</f>
        <v>0</v>
      </c>
      <c r="AG470">
        <f>sumif(Plan!B:B,"924-025056-300",Plan!ag:ag)</f>
        <v>0</v>
      </c>
      <c r="AH470">
        <f>sumif(Plan!B:B,"924-025056-300",Plan!ah:ah)</f>
        <v>0</v>
      </c>
      <c r="AI470">
        <f>sumif(Plan!B:B,"924-025056-300",Plan!ai:ai)</f>
        <v>0</v>
      </c>
      <c r="AJ470">
        <f>sumif(Plan!B:B,"924-025056-300",Plan!aj:aj)</f>
        <v>0</v>
      </c>
      <c r="AK470">
        <f>sumif(Plan!B:B,"924-025056-300",Plan!ak:ak)</f>
        <v>0</v>
      </c>
      <c r="AL470">
        <f>sumif(Plan!B:B,"924-025056-300",Plan!al:al)</f>
        <v>0</v>
      </c>
      <c r="AM470">
        <f>sumif(Plan!B:B,"924-025056-300",Plan!am:am)</f>
        <v>0</v>
      </c>
      <c r="AN470">
        <f>sumif(Plan!B:B,"924-025056-300",Plan!an:an)</f>
        <v>0</v>
      </c>
      <c r="AO470">
        <f>sumif(Plan!B:B,"924-025056-300",Plan!ao:ao)</f>
        <v>0</v>
      </c>
    </row>
    <row r="471" spans="1:41">
      <c r="A471" t="s">
        <v>22</v>
      </c>
      <c r="B471" t="s">
        <v>302</v>
      </c>
      <c r="C471" t="s">
        <v>304</v>
      </c>
      <c r="E471">
        <v>1</v>
      </c>
      <c r="F471" t="s">
        <v>13</v>
      </c>
      <c r="H471" t="s">
        <v>16</v>
      </c>
      <c r="J471">
        <f>indirect(address(471,9))+indirect(address(469,10))-indirect(address(470,10))</f>
        <v>0</v>
      </c>
      <c r="K471">
        <f>indirect(address(471,10))+indirect(address(469,11))-indirect(address(470,11))</f>
        <v>0</v>
      </c>
      <c r="L471">
        <f>indirect(address(471,11))+indirect(address(469,12))-indirect(address(470,12))</f>
        <v>0</v>
      </c>
      <c r="M471">
        <f>indirect(address(471,12))+indirect(address(469,13))-indirect(address(470,13))</f>
        <v>0</v>
      </c>
      <c r="N471">
        <f>indirect(address(471,13))+indirect(address(469,14))-indirect(address(470,14))</f>
        <v>0</v>
      </c>
      <c r="O471">
        <f>indirect(address(471,14))+indirect(address(469,15))-indirect(address(470,15))</f>
        <v>0</v>
      </c>
      <c r="P471">
        <f>indirect(address(471,15))+indirect(address(469,16))-indirect(address(470,16))</f>
        <v>0</v>
      </c>
      <c r="Q471">
        <f>indirect(address(471,16))+indirect(address(469,17))-indirect(address(470,17))</f>
        <v>0</v>
      </c>
      <c r="R471">
        <f>indirect(address(471,17))+indirect(address(469,18))-indirect(address(470,18))</f>
        <v>0</v>
      </c>
      <c r="S471">
        <f>indirect(address(471,18))+indirect(address(469,19))-indirect(address(470,19))</f>
        <v>0</v>
      </c>
      <c r="T471">
        <f>indirect(address(471,19))+indirect(address(469,20))-indirect(address(470,20))</f>
        <v>0</v>
      </c>
      <c r="U471">
        <f>indirect(address(471,20))+indirect(address(469,21))-indirect(address(470,21))</f>
        <v>0</v>
      </c>
      <c r="V471">
        <f>indirect(address(471,21))+indirect(address(469,22))-indirect(address(470,22))</f>
        <v>0</v>
      </c>
      <c r="W471">
        <f>indirect(address(471,22))+indirect(address(469,23))-indirect(address(470,23))</f>
        <v>0</v>
      </c>
      <c r="X471">
        <f>indirect(address(471,23))+indirect(address(469,24))-indirect(address(470,24))</f>
        <v>0</v>
      </c>
      <c r="Y471">
        <f>indirect(address(471,24))+indirect(address(469,25))-indirect(address(470,25))</f>
        <v>0</v>
      </c>
      <c r="Z471">
        <f>indirect(address(471,25))+indirect(address(469,26))-indirect(address(470,26))</f>
        <v>0</v>
      </c>
      <c r="AA471">
        <f>indirect(address(471,26))+indirect(address(469,27))-indirect(address(470,27))</f>
        <v>0</v>
      </c>
      <c r="AB471">
        <f>indirect(address(471,27))+indirect(address(469,28))-indirect(address(470,28))</f>
        <v>0</v>
      </c>
      <c r="AC471">
        <f>indirect(address(471,28))+indirect(address(469,29))-indirect(address(470,29))</f>
        <v>0</v>
      </c>
      <c r="AD471">
        <f>indirect(address(471,29))+indirect(address(469,30))-indirect(address(470,30))</f>
        <v>0</v>
      </c>
      <c r="AE471">
        <f>indirect(address(471,30))+indirect(address(469,31))-indirect(address(470,31))</f>
        <v>0</v>
      </c>
      <c r="AF471">
        <f>indirect(address(471,31))+indirect(address(469,32))-indirect(address(470,32))</f>
        <v>0</v>
      </c>
      <c r="AG471">
        <f>indirect(address(471,32))+indirect(address(469,33))-indirect(address(470,33))</f>
        <v>0</v>
      </c>
      <c r="AH471">
        <f>indirect(address(471,33))+indirect(address(469,34))-indirect(address(470,34))</f>
        <v>0</v>
      </c>
      <c r="AI471">
        <f>indirect(address(471,34))+indirect(address(469,35))-indirect(address(470,35))</f>
        <v>0</v>
      </c>
      <c r="AJ471">
        <f>indirect(address(471,35))+indirect(address(469,36))-indirect(address(470,36))</f>
        <v>0</v>
      </c>
      <c r="AK471">
        <f>indirect(address(471,36))+indirect(address(469,37))-indirect(address(470,37))</f>
        <v>0</v>
      </c>
      <c r="AL471">
        <f>indirect(address(471,37))+indirect(address(469,38))-indirect(address(470,38))</f>
        <v>0</v>
      </c>
      <c r="AM471">
        <f>indirect(address(471,38))+indirect(address(469,39))-indirect(address(470,39))</f>
        <v>0</v>
      </c>
      <c r="AN471">
        <f>indirect(address(471,39))+indirect(address(469,40))-indirect(address(470,40))</f>
        <v>0</v>
      </c>
      <c r="AO471">
        <f>indirect(address(471,40))+indirect(address(469,41))-indirect(address(470,41))</f>
        <v>0</v>
      </c>
    </row>
    <row r="472" spans="1:41">
      <c r="I472" t="s">
        <v>14</v>
      </c>
      <c r="AO472">
        <f>sum(j472:an472)</f>
        <v>0</v>
      </c>
    </row>
    <row r="473" spans="1:41">
      <c r="I473" t="s">
        <v>15</v>
      </c>
      <c r="J473">
        <f>sumif(Plan!B:B,"924-025056-300",Plan!j:j)</f>
        <v>0</v>
      </c>
      <c r="K473">
        <f>sumif(Plan!B:B,"924-025056-300",Plan!k:k)</f>
        <v>0</v>
      </c>
      <c r="L473">
        <f>sumif(Plan!B:B,"924-025056-300",Plan!l:l)</f>
        <v>0</v>
      </c>
      <c r="M473">
        <f>sumif(Plan!B:B,"924-025056-300",Plan!m:m)</f>
        <v>0</v>
      </c>
      <c r="N473">
        <f>sumif(Plan!B:B,"924-025056-300",Plan!n:n)</f>
        <v>0</v>
      </c>
      <c r="O473">
        <f>sumif(Plan!B:B,"924-025056-300",Plan!o:o)</f>
        <v>0</v>
      </c>
      <c r="P473">
        <f>sumif(Plan!B:B,"924-025056-300",Plan!p:p)</f>
        <v>0</v>
      </c>
      <c r="Q473">
        <f>sumif(Plan!B:B,"924-025056-300",Plan!q:q)</f>
        <v>0</v>
      </c>
      <c r="R473">
        <f>sumif(Plan!B:B,"924-025056-300",Plan!r:r)</f>
        <v>0</v>
      </c>
      <c r="S473">
        <f>sumif(Plan!B:B,"924-025056-300",Plan!s:s)</f>
        <v>0</v>
      </c>
      <c r="T473">
        <f>sumif(Plan!B:B,"924-025056-300",Plan!t:t)</f>
        <v>0</v>
      </c>
      <c r="U473">
        <f>sumif(Plan!B:B,"924-025056-300",Plan!u:u)</f>
        <v>0</v>
      </c>
      <c r="V473">
        <f>sumif(Plan!B:B,"924-025056-300",Plan!v:v)</f>
        <v>0</v>
      </c>
      <c r="W473">
        <f>sumif(Plan!B:B,"924-025056-300",Plan!w:w)</f>
        <v>0</v>
      </c>
      <c r="X473">
        <f>sumif(Plan!B:B,"924-025056-300",Plan!x:x)</f>
        <v>0</v>
      </c>
      <c r="Y473">
        <f>sumif(Plan!B:B,"924-025056-300",Plan!y:y)</f>
        <v>0</v>
      </c>
      <c r="Z473">
        <f>sumif(Plan!B:B,"924-025056-300",Plan!z:z)</f>
        <v>0</v>
      </c>
      <c r="AA473">
        <f>sumif(Plan!B:B,"924-025056-300",Plan!aa:aa)</f>
        <v>0</v>
      </c>
      <c r="AB473">
        <f>sumif(Plan!B:B,"924-025056-300",Plan!ab:ab)</f>
        <v>0</v>
      </c>
      <c r="AC473">
        <f>sumif(Plan!B:B,"924-025056-300",Plan!ac:ac)</f>
        <v>0</v>
      </c>
      <c r="AD473">
        <f>sumif(Plan!B:B,"924-025056-300",Plan!ad:ad)</f>
        <v>0</v>
      </c>
      <c r="AE473">
        <f>sumif(Plan!B:B,"924-025056-300",Plan!ae:ae)</f>
        <v>0</v>
      </c>
      <c r="AF473">
        <f>sumif(Plan!B:B,"924-025056-300",Plan!af:af)</f>
        <v>0</v>
      </c>
      <c r="AG473">
        <f>sumif(Plan!B:B,"924-025056-300",Plan!ag:ag)</f>
        <v>0</v>
      </c>
      <c r="AH473">
        <f>sumif(Plan!B:B,"924-025056-300",Plan!ah:ah)</f>
        <v>0</v>
      </c>
      <c r="AI473">
        <f>sumif(Plan!B:B,"924-025056-300",Plan!ai:ai)</f>
        <v>0</v>
      </c>
      <c r="AJ473">
        <f>sumif(Plan!B:B,"924-025056-300",Plan!aj:aj)</f>
        <v>0</v>
      </c>
      <c r="AK473">
        <f>sumif(Plan!B:B,"924-025056-300",Plan!ak:ak)</f>
        <v>0</v>
      </c>
      <c r="AL473">
        <f>sumif(Plan!B:B,"924-025056-300",Plan!al:al)</f>
        <v>0</v>
      </c>
      <c r="AM473">
        <f>sumif(Plan!B:B,"924-025056-300",Plan!am:am)</f>
        <v>0</v>
      </c>
      <c r="AN473">
        <f>sumif(Plan!B:B,"924-025056-300",Plan!an:an)</f>
        <v>0</v>
      </c>
      <c r="AO473">
        <f>sumif(Plan!B:B,"924-025056-300",Plan!ao:ao)</f>
        <v>0</v>
      </c>
    </row>
    <row r="474" spans="1:41">
      <c r="A474" t="s">
        <v>22</v>
      </c>
      <c r="B474" t="s">
        <v>302</v>
      </c>
      <c r="C474" t="s">
        <v>305</v>
      </c>
      <c r="E474">
        <v>1</v>
      </c>
      <c r="F474" t="s">
        <v>13</v>
      </c>
      <c r="H474" t="s">
        <v>16</v>
      </c>
      <c r="J474">
        <f>indirect(address(474,9))+indirect(address(472,10))-indirect(address(473,10))</f>
        <v>0</v>
      </c>
      <c r="K474">
        <f>indirect(address(474,10))+indirect(address(472,11))-indirect(address(473,11))</f>
        <v>0</v>
      </c>
      <c r="L474">
        <f>indirect(address(474,11))+indirect(address(472,12))-indirect(address(473,12))</f>
        <v>0</v>
      </c>
      <c r="M474">
        <f>indirect(address(474,12))+indirect(address(472,13))-indirect(address(473,13))</f>
        <v>0</v>
      </c>
      <c r="N474">
        <f>indirect(address(474,13))+indirect(address(472,14))-indirect(address(473,14))</f>
        <v>0</v>
      </c>
      <c r="O474">
        <f>indirect(address(474,14))+indirect(address(472,15))-indirect(address(473,15))</f>
        <v>0</v>
      </c>
      <c r="P474">
        <f>indirect(address(474,15))+indirect(address(472,16))-indirect(address(473,16))</f>
        <v>0</v>
      </c>
      <c r="Q474">
        <f>indirect(address(474,16))+indirect(address(472,17))-indirect(address(473,17))</f>
        <v>0</v>
      </c>
      <c r="R474">
        <f>indirect(address(474,17))+indirect(address(472,18))-indirect(address(473,18))</f>
        <v>0</v>
      </c>
      <c r="S474">
        <f>indirect(address(474,18))+indirect(address(472,19))-indirect(address(473,19))</f>
        <v>0</v>
      </c>
      <c r="T474">
        <f>indirect(address(474,19))+indirect(address(472,20))-indirect(address(473,20))</f>
        <v>0</v>
      </c>
      <c r="U474">
        <f>indirect(address(474,20))+indirect(address(472,21))-indirect(address(473,21))</f>
        <v>0</v>
      </c>
      <c r="V474">
        <f>indirect(address(474,21))+indirect(address(472,22))-indirect(address(473,22))</f>
        <v>0</v>
      </c>
      <c r="W474">
        <f>indirect(address(474,22))+indirect(address(472,23))-indirect(address(473,23))</f>
        <v>0</v>
      </c>
      <c r="X474">
        <f>indirect(address(474,23))+indirect(address(472,24))-indirect(address(473,24))</f>
        <v>0</v>
      </c>
      <c r="Y474">
        <f>indirect(address(474,24))+indirect(address(472,25))-indirect(address(473,25))</f>
        <v>0</v>
      </c>
      <c r="Z474">
        <f>indirect(address(474,25))+indirect(address(472,26))-indirect(address(473,26))</f>
        <v>0</v>
      </c>
      <c r="AA474">
        <f>indirect(address(474,26))+indirect(address(472,27))-indirect(address(473,27))</f>
        <v>0</v>
      </c>
      <c r="AB474">
        <f>indirect(address(474,27))+indirect(address(472,28))-indirect(address(473,28))</f>
        <v>0</v>
      </c>
      <c r="AC474">
        <f>indirect(address(474,28))+indirect(address(472,29))-indirect(address(473,29))</f>
        <v>0</v>
      </c>
      <c r="AD474">
        <f>indirect(address(474,29))+indirect(address(472,30))-indirect(address(473,30))</f>
        <v>0</v>
      </c>
      <c r="AE474">
        <f>indirect(address(474,30))+indirect(address(472,31))-indirect(address(473,31))</f>
        <v>0</v>
      </c>
      <c r="AF474">
        <f>indirect(address(474,31))+indirect(address(472,32))-indirect(address(473,32))</f>
        <v>0</v>
      </c>
      <c r="AG474">
        <f>indirect(address(474,32))+indirect(address(472,33))-indirect(address(473,33))</f>
        <v>0</v>
      </c>
      <c r="AH474">
        <f>indirect(address(474,33))+indirect(address(472,34))-indirect(address(473,34))</f>
        <v>0</v>
      </c>
      <c r="AI474">
        <f>indirect(address(474,34))+indirect(address(472,35))-indirect(address(473,35))</f>
        <v>0</v>
      </c>
      <c r="AJ474">
        <f>indirect(address(474,35))+indirect(address(472,36))-indirect(address(473,36))</f>
        <v>0</v>
      </c>
      <c r="AK474">
        <f>indirect(address(474,36))+indirect(address(472,37))-indirect(address(473,37))</f>
        <v>0</v>
      </c>
      <c r="AL474">
        <f>indirect(address(474,37))+indirect(address(472,38))-indirect(address(473,38))</f>
        <v>0</v>
      </c>
      <c r="AM474">
        <f>indirect(address(474,38))+indirect(address(472,39))-indirect(address(473,39))</f>
        <v>0</v>
      </c>
      <c r="AN474">
        <f>indirect(address(474,39))+indirect(address(472,40))-indirect(address(473,40))</f>
        <v>0</v>
      </c>
      <c r="AO474">
        <f>indirect(address(474,40))+indirect(address(472,41))-indirect(address(473,41))</f>
        <v>0</v>
      </c>
    </row>
    <row r="475" spans="1:41">
      <c r="I475" t="s">
        <v>14</v>
      </c>
      <c r="AO475">
        <f>sum(j475:an475)</f>
        <v>0</v>
      </c>
    </row>
    <row r="476" spans="1:41">
      <c r="I476" t="s">
        <v>15</v>
      </c>
      <c r="J476">
        <f>sumif(Plan!B:B,"924-025056-300",Plan!j:j)</f>
        <v>0</v>
      </c>
      <c r="K476">
        <f>sumif(Plan!B:B,"924-025056-300",Plan!k:k)</f>
        <v>0</v>
      </c>
      <c r="L476">
        <f>sumif(Plan!B:B,"924-025056-300",Plan!l:l)</f>
        <v>0</v>
      </c>
      <c r="M476">
        <f>sumif(Plan!B:B,"924-025056-300",Plan!m:m)</f>
        <v>0</v>
      </c>
      <c r="N476">
        <f>sumif(Plan!B:B,"924-025056-300",Plan!n:n)</f>
        <v>0</v>
      </c>
      <c r="O476">
        <f>sumif(Plan!B:B,"924-025056-300",Plan!o:o)</f>
        <v>0</v>
      </c>
      <c r="P476">
        <f>sumif(Plan!B:B,"924-025056-300",Plan!p:p)</f>
        <v>0</v>
      </c>
      <c r="Q476">
        <f>sumif(Plan!B:B,"924-025056-300",Plan!q:q)</f>
        <v>0</v>
      </c>
      <c r="R476">
        <f>sumif(Plan!B:B,"924-025056-300",Plan!r:r)</f>
        <v>0</v>
      </c>
      <c r="S476">
        <f>sumif(Plan!B:B,"924-025056-300",Plan!s:s)</f>
        <v>0</v>
      </c>
      <c r="T476">
        <f>sumif(Plan!B:B,"924-025056-300",Plan!t:t)</f>
        <v>0</v>
      </c>
      <c r="U476">
        <f>sumif(Plan!B:B,"924-025056-300",Plan!u:u)</f>
        <v>0</v>
      </c>
      <c r="V476">
        <f>sumif(Plan!B:B,"924-025056-300",Plan!v:v)</f>
        <v>0</v>
      </c>
      <c r="W476">
        <f>sumif(Plan!B:B,"924-025056-300",Plan!w:w)</f>
        <v>0</v>
      </c>
      <c r="X476">
        <f>sumif(Plan!B:B,"924-025056-300",Plan!x:x)</f>
        <v>0</v>
      </c>
      <c r="Y476">
        <f>sumif(Plan!B:B,"924-025056-300",Plan!y:y)</f>
        <v>0</v>
      </c>
      <c r="Z476">
        <f>sumif(Plan!B:B,"924-025056-300",Plan!z:z)</f>
        <v>0</v>
      </c>
      <c r="AA476">
        <f>sumif(Plan!B:B,"924-025056-300",Plan!aa:aa)</f>
        <v>0</v>
      </c>
      <c r="AB476">
        <f>sumif(Plan!B:B,"924-025056-300",Plan!ab:ab)</f>
        <v>0</v>
      </c>
      <c r="AC476">
        <f>sumif(Plan!B:B,"924-025056-300",Plan!ac:ac)</f>
        <v>0</v>
      </c>
      <c r="AD476">
        <f>sumif(Plan!B:B,"924-025056-300",Plan!ad:ad)</f>
        <v>0</v>
      </c>
      <c r="AE476">
        <f>sumif(Plan!B:B,"924-025056-300",Plan!ae:ae)</f>
        <v>0</v>
      </c>
      <c r="AF476">
        <f>sumif(Plan!B:B,"924-025056-300",Plan!af:af)</f>
        <v>0</v>
      </c>
      <c r="AG476">
        <f>sumif(Plan!B:B,"924-025056-300",Plan!ag:ag)</f>
        <v>0</v>
      </c>
      <c r="AH476">
        <f>sumif(Plan!B:B,"924-025056-300",Plan!ah:ah)</f>
        <v>0</v>
      </c>
      <c r="AI476">
        <f>sumif(Plan!B:B,"924-025056-300",Plan!ai:ai)</f>
        <v>0</v>
      </c>
      <c r="AJ476">
        <f>sumif(Plan!B:B,"924-025056-300",Plan!aj:aj)</f>
        <v>0</v>
      </c>
      <c r="AK476">
        <f>sumif(Plan!B:B,"924-025056-300",Plan!ak:ak)</f>
        <v>0</v>
      </c>
      <c r="AL476">
        <f>sumif(Plan!B:B,"924-025056-300",Plan!al:al)</f>
        <v>0</v>
      </c>
      <c r="AM476">
        <f>sumif(Plan!B:B,"924-025056-300",Plan!am:am)</f>
        <v>0</v>
      </c>
      <c r="AN476">
        <f>sumif(Plan!B:B,"924-025056-300",Plan!an:an)</f>
        <v>0</v>
      </c>
      <c r="AO476">
        <f>sumif(Plan!B:B,"924-025056-300",Plan!ao:ao)</f>
        <v>0</v>
      </c>
    </row>
    <row r="477" spans="1:41">
      <c r="A477" t="s">
        <v>22</v>
      </c>
      <c r="B477" t="s">
        <v>302</v>
      </c>
      <c r="C477" t="s">
        <v>306</v>
      </c>
      <c r="E477">
        <v>1</v>
      </c>
      <c r="F477" t="s">
        <v>13</v>
      </c>
      <c r="H477" t="s">
        <v>16</v>
      </c>
      <c r="J477">
        <f>indirect(address(477,9))+indirect(address(475,10))-indirect(address(476,10))</f>
        <v>0</v>
      </c>
      <c r="K477">
        <f>indirect(address(477,10))+indirect(address(475,11))-indirect(address(476,11))</f>
        <v>0</v>
      </c>
      <c r="L477">
        <f>indirect(address(477,11))+indirect(address(475,12))-indirect(address(476,12))</f>
        <v>0</v>
      </c>
      <c r="M477">
        <f>indirect(address(477,12))+indirect(address(475,13))-indirect(address(476,13))</f>
        <v>0</v>
      </c>
      <c r="N477">
        <f>indirect(address(477,13))+indirect(address(475,14))-indirect(address(476,14))</f>
        <v>0</v>
      </c>
      <c r="O477">
        <f>indirect(address(477,14))+indirect(address(475,15))-indirect(address(476,15))</f>
        <v>0</v>
      </c>
      <c r="P477">
        <f>indirect(address(477,15))+indirect(address(475,16))-indirect(address(476,16))</f>
        <v>0</v>
      </c>
      <c r="Q477">
        <f>indirect(address(477,16))+indirect(address(475,17))-indirect(address(476,17))</f>
        <v>0</v>
      </c>
      <c r="R477">
        <f>indirect(address(477,17))+indirect(address(475,18))-indirect(address(476,18))</f>
        <v>0</v>
      </c>
      <c r="S477">
        <f>indirect(address(477,18))+indirect(address(475,19))-indirect(address(476,19))</f>
        <v>0</v>
      </c>
      <c r="T477">
        <f>indirect(address(477,19))+indirect(address(475,20))-indirect(address(476,20))</f>
        <v>0</v>
      </c>
      <c r="U477">
        <f>indirect(address(477,20))+indirect(address(475,21))-indirect(address(476,21))</f>
        <v>0</v>
      </c>
      <c r="V477">
        <f>indirect(address(477,21))+indirect(address(475,22))-indirect(address(476,22))</f>
        <v>0</v>
      </c>
      <c r="W477">
        <f>indirect(address(477,22))+indirect(address(475,23))-indirect(address(476,23))</f>
        <v>0</v>
      </c>
      <c r="X477">
        <f>indirect(address(477,23))+indirect(address(475,24))-indirect(address(476,24))</f>
        <v>0</v>
      </c>
      <c r="Y477">
        <f>indirect(address(477,24))+indirect(address(475,25))-indirect(address(476,25))</f>
        <v>0</v>
      </c>
      <c r="Z477">
        <f>indirect(address(477,25))+indirect(address(475,26))-indirect(address(476,26))</f>
        <v>0</v>
      </c>
      <c r="AA477">
        <f>indirect(address(477,26))+indirect(address(475,27))-indirect(address(476,27))</f>
        <v>0</v>
      </c>
      <c r="AB477">
        <f>indirect(address(477,27))+indirect(address(475,28))-indirect(address(476,28))</f>
        <v>0</v>
      </c>
      <c r="AC477">
        <f>indirect(address(477,28))+indirect(address(475,29))-indirect(address(476,29))</f>
        <v>0</v>
      </c>
      <c r="AD477">
        <f>indirect(address(477,29))+indirect(address(475,30))-indirect(address(476,30))</f>
        <v>0</v>
      </c>
      <c r="AE477">
        <f>indirect(address(477,30))+indirect(address(475,31))-indirect(address(476,31))</f>
        <v>0</v>
      </c>
      <c r="AF477">
        <f>indirect(address(477,31))+indirect(address(475,32))-indirect(address(476,32))</f>
        <v>0</v>
      </c>
      <c r="AG477">
        <f>indirect(address(477,32))+indirect(address(475,33))-indirect(address(476,33))</f>
        <v>0</v>
      </c>
      <c r="AH477">
        <f>indirect(address(477,33))+indirect(address(475,34))-indirect(address(476,34))</f>
        <v>0</v>
      </c>
      <c r="AI477">
        <f>indirect(address(477,34))+indirect(address(475,35))-indirect(address(476,35))</f>
        <v>0</v>
      </c>
      <c r="AJ477">
        <f>indirect(address(477,35))+indirect(address(475,36))-indirect(address(476,36))</f>
        <v>0</v>
      </c>
      <c r="AK477">
        <f>indirect(address(477,36))+indirect(address(475,37))-indirect(address(476,37))</f>
        <v>0</v>
      </c>
      <c r="AL477">
        <f>indirect(address(477,37))+indirect(address(475,38))-indirect(address(476,38))</f>
        <v>0</v>
      </c>
      <c r="AM477">
        <f>indirect(address(477,38))+indirect(address(475,39))-indirect(address(476,39))</f>
        <v>0</v>
      </c>
      <c r="AN477">
        <f>indirect(address(477,39))+indirect(address(475,40))-indirect(address(476,40))</f>
        <v>0</v>
      </c>
      <c r="AO477">
        <f>indirect(address(477,40))+indirect(address(475,41))-indirect(address(476,41))</f>
        <v>0</v>
      </c>
    </row>
    <row r="478" spans="1:41">
      <c r="I478" t="s">
        <v>14</v>
      </c>
      <c r="AO478">
        <f>sum(j478:an478)</f>
        <v>0</v>
      </c>
    </row>
    <row r="479" spans="1:41">
      <c r="I479" t="s">
        <v>15</v>
      </c>
      <c r="J479">
        <f>sumif(Plan!B:B,"924-025056-300",Plan!j:j)</f>
        <v>0</v>
      </c>
      <c r="K479">
        <f>sumif(Plan!B:B,"924-025056-300",Plan!k:k)</f>
        <v>0</v>
      </c>
      <c r="L479">
        <f>sumif(Plan!B:B,"924-025056-300",Plan!l:l)</f>
        <v>0</v>
      </c>
      <c r="M479">
        <f>sumif(Plan!B:B,"924-025056-300",Plan!m:m)</f>
        <v>0</v>
      </c>
      <c r="N479">
        <f>sumif(Plan!B:B,"924-025056-300",Plan!n:n)</f>
        <v>0</v>
      </c>
      <c r="O479">
        <f>sumif(Plan!B:B,"924-025056-300",Plan!o:o)</f>
        <v>0</v>
      </c>
      <c r="P479">
        <f>sumif(Plan!B:B,"924-025056-300",Plan!p:p)</f>
        <v>0</v>
      </c>
      <c r="Q479">
        <f>sumif(Plan!B:B,"924-025056-300",Plan!q:q)</f>
        <v>0</v>
      </c>
      <c r="R479">
        <f>sumif(Plan!B:B,"924-025056-300",Plan!r:r)</f>
        <v>0</v>
      </c>
      <c r="S479">
        <f>sumif(Plan!B:B,"924-025056-300",Plan!s:s)</f>
        <v>0</v>
      </c>
      <c r="T479">
        <f>sumif(Plan!B:B,"924-025056-300",Plan!t:t)</f>
        <v>0</v>
      </c>
      <c r="U479">
        <f>sumif(Plan!B:B,"924-025056-300",Plan!u:u)</f>
        <v>0</v>
      </c>
      <c r="V479">
        <f>sumif(Plan!B:B,"924-025056-300",Plan!v:v)</f>
        <v>0</v>
      </c>
      <c r="W479">
        <f>sumif(Plan!B:B,"924-025056-300",Plan!w:w)</f>
        <v>0</v>
      </c>
      <c r="X479">
        <f>sumif(Plan!B:B,"924-025056-300",Plan!x:x)</f>
        <v>0</v>
      </c>
      <c r="Y479">
        <f>sumif(Plan!B:B,"924-025056-300",Plan!y:y)</f>
        <v>0</v>
      </c>
      <c r="Z479">
        <f>sumif(Plan!B:B,"924-025056-300",Plan!z:z)</f>
        <v>0</v>
      </c>
      <c r="AA479">
        <f>sumif(Plan!B:B,"924-025056-300",Plan!aa:aa)</f>
        <v>0</v>
      </c>
      <c r="AB479">
        <f>sumif(Plan!B:B,"924-025056-300",Plan!ab:ab)</f>
        <v>0</v>
      </c>
      <c r="AC479">
        <f>sumif(Plan!B:B,"924-025056-300",Plan!ac:ac)</f>
        <v>0</v>
      </c>
      <c r="AD479">
        <f>sumif(Plan!B:B,"924-025056-300",Plan!ad:ad)</f>
        <v>0</v>
      </c>
      <c r="AE479">
        <f>sumif(Plan!B:B,"924-025056-300",Plan!ae:ae)</f>
        <v>0</v>
      </c>
      <c r="AF479">
        <f>sumif(Plan!B:B,"924-025056-300",Plan!af:af)</f>
        <v>0</v>
      </c>
      <c r="AG479">
        <f>sumif(Plan!B:B,"924-025056-300",Plan!ag:ag)</f>
        <v>0</v>
      </c>
      <c r="AH479">
        <f>sumif(Plan!B:B,"924-025056-300",Plan!ah:ah)</f>
        <v>0</v>
      </c>
      <c r="AI479">
        <f>sumif(Plan!B:B,"924-025056-300",Plan!ai:ai)</f>
        <v>0</v>
      </c>
      <c r="AJ479">
        <f>sumif(Plan!B:B,"924-025056-300",Plan!aj:aj)</f>
        <v>0</v>
      </c>
      <c r="AK479">
        <f>sumif(Plan!B:B,"924-025056-300",Plan!ak:ak)</f>
        <v>0</v>
      </c>
      <c r="AL479">
        <f>sumif(Plan!B:B,"924-025056-300",Plan!al:al)</f>
        <v>0</v>
      </c>
      <c r="AM479">
        <f>sumif(Plan!B:B,"924-025056-300",Plan!am:am)</f>
        <v>0</v>
      </c>
      <c r="AN479">
        <f>sumif(Plan!B:B,"924-025056-300",Plan!an:an)</f>
        <v>0</v>
      </c>
      <c r="AO479">
        <f>sumif(Plan!B:B,"924-025056-300",Plan!ao:ao)</f>
        <v>0</v>
      </c>
    </row>
    <row r="480" spans="1:41">
      <c r="A480" t="s">
        <v>78</v>
      </c>
      <c r="B480" t="s">
        <v>302</v>
      </c>
      <c r="C480" t="s">
        <v>295</v>
      </c>
      <c r="E480">
        <v>0.05</v>
      </c>
      <c r="F480" t="s">
        <v>13</v>
      </c>
      <c r="H480" t="s">
        <v>16</v>
      </c>
      <c r="J480">
        <f>indirect(address(480,9))+indirect(address(478,10))-indirect(address(479,10))</f>
        <v>0</v>
      </c>
      <c r="K480">
        <f>indirect(address(480,10))+indirect(address(478,11))-indirect(address(479,11))</f>
        <v>0</v>
      </c>
      <c r="L480">
        <f>indirect(address(480,11))+indirect(address(478,12))-indirect(address(479,12))</f>
        <v>0</v>
      </c>
      <c r="M480">
        <f>indirect(address(480,12))+indirect(address(478,13))-indirect(address(479,13))</f>
        <v>0</v>
      </c>
      <c r="N480">
        <f>indirect(address(480,13))+indirect(address(478,14))-indirect(address(479,14))</f>
        <v>0</v>
      </c>
      <c r="O480">
        <f>indirect(address(480,14))+indirect(address(478,15))-indirect(address(479,15))</f>
        <v>0</v>
      </c>
      <c r="P480">
        <f>indirect(address(480,15))+indirect(address(478,16))-indirect(address(479,16))</f>
        <v>0</v>
      </c>
      <c r="Q480">
        <f>indirect(address(480,16))+indirect(address(478,17))-indirect(address(479,17))</f>
        <v>0</v>
      </c>
      <c r="R480">
        <f>indirect(address(480,17))+indirect(address(478,18))-indirect(address(479,18))</f>
        <v>0</v>
      </c>
      <c r="S480">
        <f>indirect(address(480,18))+indirect(address(478,19))-indirect(address(479,19))</f>
        <v>0</v>
      </c>
      <c r="T480">
        <f>indirect(address(480,19))+indirect(address(478,20))-indirect(address(479,20))</f>
        <v>0</v>
      </c>
      <c r="U480">
        <f>indirect(address(480,20))+indirect(address(478,21))-indirect(address(479,21))</f>
        <v>0</v>
      </c>
      <c r="V480">
        <f>indirect(address(480,21))+indirect(address(478,22))-indirect(address(479,22))</f>
        <v>0</v>
      </c>
      <c r="W480">
        <f>indirect(address(480,22))+indirect(address(478,23))-indirect(address(479,23))</f>
        <v>0</v>
      </c>
      <c r="X480">
        <f>indirect(address(480,23))+indirect(address(478,24))-indirect(address(479,24))</f>
        <v>0</v>
      </c>
      <c r="Y480">
        <f>indirect(address(480,24))+indirect(address(478,25))-indirect(address(479,25))</f>
        <v>0</v>
      </c>
      <c r="Z480">
        <f>indirect(address(480,25))+indirect(address(478,26))-indirect(address(479,26))</f>
        <v>0</v>
      </c>
      <c r="AA480">
        <f>indirect(address(480,26))+indirect(address(478,27))-indirect(address(479,27))</f>
        <v>0</v>
      </c>
      <c r="AB480">
        <f>indirect(address(480,27))+indirect(address(478,28))-indirect(address(479,28))</f>
        <v>0</v>
      </c>
      <c r="AC480">
        <f>indirect(address(480,28))+indirect(address(478,29))-indirect(address(479,29))</f>
        <v>0</v>
      </c>
      <c r="AD480">
        <f>indirect(address(480,29))+indirect(address(478,30))-indirect(address(479,30))</f>
        <v>0</v>
      </c>
      <c r="AE480">
        <f>indirect(address(480,30))+indirect(address(478,31))-indirect(address(479,31))</f>
        <v>0</v>
      </c>
      <c r="AF480">
        <f>indirect(address(480,31))+indirect(address(478,32))-indirect(address(479,32))</f>
        <v>0</v>
      </c>
      <c r="AG480">
        <f>indirect(address(480,32))+indirect(address(478,33))-indirect(address(479,33))</f>
        <v>0</v>
      </c>
      <c r="AH480">
        <f>indirect(address(480,33))+indirect(address(478,34))-indirect(address(479,34))</f>
        <v>0</v>
      </c>
      <c r="AI480">
        <f>indirect(address(480,34))+indirect(address(478,35))-indirect(address(479,35))</f>
        <v>0</v>
      </c>
      <c r="AJ480">
        <f>indirect(address(480,35))+indirect(address(478,36))-indirect(address(479,36))</f>
        <v>0</v>
      </c>
      <c r="AK480">
        <f>indirect(address(480,36))+indirect(address(478,37))-indirect(address(479,37))</f>
        <v>0</v>
      </c>
      <c r="AL480">
        <f>indirect(address(480,37))+indirect(address(478,38))-indirect(address(479,38))</f>
        <v>0</v>
      </c>
      <c r="AM480">
        <f>indirect(address(480,38))+indirect(address(478,39))-indirect(address(479,39))</f>
        <v>0</v>
      </c>
      <c r="AN480">
        <f>indirect(address(480,39))+indirect(address(478,40))-indirect(address(479,40))</f>
        <v>0</v>
      </c>
      <c r="AO480">
        <f>indirect(address(480,40))+indirect(address(478,41))-indirect(address(479,41))</f>
        <v>0</v>
      </c>
    </row>
    <row r="481" spans="1:41">
      <c r="I481" t="s">
        <v>14</v>
      </c>
      <c r="AO481">
        <f>sum(j481:an481)</f>
        <v>0</v>
      </c>
    </row>
    <row r="482" spans="1:41">
      <c r="I482" t="s">
        <v>15</v>
      </c>
      <c r="J482">
        <f>sumif(Plan!B:B,"924-025056-300",Plan!j:j)</f>
        <v>0</v>
      </c>
      <c r="K482">
        <f>sumif(Plan!B:B,"924-025056-300",Plan!k:k)</f>
        <v>0</v>
      </c>
      <c r="L482">
        <f>sumif(Plan!B:B,"924-025056-300",Plan!l:l)</f>
        <v>0</v>
      </c>
      <c r="M482">
        <f>sumif(Plan!B:B,"924-025056-300",Plan!m:m)</f>
        <v>0</v>
      </c>
      <c r="N482">
        <f>sumif(Plan!B:B,"924-025056-300",Plan!n:n)</f>
        <v>0</v>
      </c>
      <c r="O482">
        <f>sumif(Plan!B:B,"924-025056-300",Plan!o:o)</f>
        <v>0</v>
      </c>
      <c r="P482">
        <f>sumif(Plan!B:B,"924-025056-300",Plan!p:p)</f>
        <v>0</v>
      </c>
      <c r="Q482">
        <f>sumif(Plan!B:B,"924-025056-300",Plan!q:q)</f>
        <v>0</v>
      </c>
      <c r="R482">
        <f>sumif(Plan!B:B,"924-025056-300",Plan!r:r)</f>
        <v>0</v>
      </c>
      <c r="S482">
        <f>sumif(Plan!B:B,"924-025056-300",Plan!s:s)</f>
        <v>0</v>
      </c>
      <c r="T482">
        <f>sumif(Plan!B:B,"924-025056-300",Plan!t:t)</f>
        <v>0</v>
      </c>
      <c r="U482">
        <f>sumif(Plan!B:B,"924-025056-300",Plan!u:u)</f>
        <v>0</v>
      </c>
      <c r="V482">
        <f>sumif(Plan!B:B,"924-025056-300",Plan!v:v)</f>
        <v>0</v>
      </c>
      <c r="W482">
        <f>sumif(Plan!B:B,"924-025056-300",Plan!w:w)</f>
        <v>0</v>
      </c>
      <c r="X482">
        <f>sumif(Plan!B:B,"924-025056-300",Plan!x:x)</f>
        <v>0</v>
      </c>
      <c r="Y482">
        <f>sumif(Plan!B:B,"924-025056-300",Plan!y:y)</f>
        <v>0</v>
      </c>
      <c r="Z482">
        <f>sumif(Plan!B:B,"924-025056-300",Plan!z:z)</f>
        <v>0</v>
      </c>
      <c r="AA482">
        <f>sumif(Plan!B:B,"924-025056-300",Plan!aa:aa)</f>
        <v>0</v>
      </c>
      <c r="AB482">
        <f>sumif(Plan!B:B,"924-025056-300",Plan!ab:ab)</f>
        <v>0</v>
      </c>
      <c r="AC482">
        <f>sumif(Plan!B:B,"924-025056-300",Plan!ac:ac)</f>
        <v>0</v>
      </c>
      <c r="AD482">
        <f>sumif(Plan!B:B,"924-025056-300",Plan!ad:ad)</f>
        <v>0</v>
      </c>
      <c r="AE482">
        <f>sumif(Plan!B:B,"924-025056-300",Plan!ae:ae)</f>
        <v>0</v>
      </c>
      <c r="AF482">
        <f>sumif(Plan!B:B,"924-025056-300",Plan!af:af)</f>
        <v>0</v>
      </c>
      <c r="AG482">
        <f>sumif(Plan!B:B,"924-025056-300",Plan!ag:ag)</f>
        <v>0</v>
      </c>
      <c r="AH482">
        <f>sumif(Plan!B:B,"924-025056-300",Plan!ah:ah)</f>
        <v>0</v>
      </c>
      <c r="AI482">
        <f>sumif(Plan!B:B,"924-025056-300",Plan!ai:ai)</f>
        <v>0</v>
      </c>
      <c r="AJ482">
        <f>sumif(Plan!B:B,"924-025056-300",Plan!aj:aj)</f>
        <v>0</v>
      </c>
      <c r="AK482">
        <f>sumif(Plan!B:B,"924-025056-300",Plan!ak:ak)</f>
        <v>0</v>
      </c>
      <c r="AL482">
        <f>sumif(Plan!B:B,"924-025056-300",Plan!al:al)</f>
        <v>0</v>
      </c>
      <c r="AM482">
        <f>sumif(Plan!B:B,"924-025056-300",Plan!am:am)</f>
        <v>0</v>
      </c>
      <c r="AN482">
        <f>sumif(Plan!B:B,"924-025056-300",Plan!an:an)</f>
        <v>0</v>
      </c>
      <c r="AO482">
        <f>sumif(Plan!B:B,"924-025056-300",Plan!ao:ao)</f>
        <v>0</v>
      </c>
    </row>
    <row r="483" spans="1:41">
      <c r="A483" t="s">
        <v>43</v>
      </c>
      <c r="B483" t="s">
        <v>302</v>
      </c>
      <c r="C483" t="s">
        <v>307</v>
      </c>
      <c r="E483">
        <v>0.05</v>
      </c>
      <c r="F483" t="s">
        <v>13</v>
      </c>
      <c r="H483" t="s">
        <v>16</v>
      </c>
      <c r="J483">
        <f>indirect(address(483,9))+indirect(address(481,10))-indirect(address(482,10))</f>
        <v>0</v>
      </c>
      <c r="K483">
        <f>indirect(address(483,10))+indirect(address(481,11))-indirect(address(482,11))</f>
        <v>0</v>
      </c>
      <c r="L483">
        <f>indirect(address(483,11))+indirect(address(481,12))-indirect(address(482,12))</f>
        <v>0</v>
      </c>
      <c r="M483">
        <f>indirect(address(483,12))+indirect(address(481,13))-indirect(address(482,13))</f>
        <v>0</v>
      </c>
      <c r="N483">
        <f>indirect(address(483,13))+indirect(address(481,14))-indirect(address(482,14))</f>
        <v>0</v>
      </c>
      <c r="O483">
        <f>indirect(address(483,14))+indirect(address(481,15))-indirect(address(482,15))</f>
        <v>0</v>
      </c>
      <c r="P483">
        <f>indirect(address(483,15))+indirect(address(481,16))-indirect(address(482,16))</f>
        <v>0</v>
      </c>
      <c r="Q483">
        <f>indirect(address(483,16))+indirect(address(481,17))-indirect(address(482,17))</f>
        <v>0</v>
      </c>
      <c r="R483">
        <f>indirect(address(483,17))+indirect(address(481,18))-indirect(address(482,18))</f>
        <v>0</v>
      </c>
      <c r="S483">
        <f>indirect(address(483,18))+indirect(address(481,19))-indirect(address(482,19))</f>
        <v>0</v>
      </c>
      <c r="T483">
        <f>indirect(address(483,19))+indirect(address(481,20))-indirect(address(482,20))</f>
        <v>0</v>
      </c>
      <c r="U483">
        <f>indirect(address(483,20))+indirect(address(481,21))-indirect(address(482,21))</f>
        <v>0</v>
      </c>
      <c r="V483">
        <f>indirect(address(483,21))+indirect(address(481,22))-indirect(address(482,22))</f>
        <v>0</v>
      </c>
      <c r="W483">
        <f>indirect(address(483,22))+indirect(address(481,23))-indirect(address(482,23))</f>
        <v>0</v>
      </c>
      <c r="X483">
        <f>indirect(address(483,23))+indirect(address(481,24))-indirect(address(482,24))</f>
        <v>0</v>
      </c>
      <c r="Y483">
        <f>indirect(address(483,24))+indirect(address(481,25))-indirect(address(482,25))</f>
        <v>0</v>
      </c>
      <c r="Z483">
        <f>indirect(address(483,25))+indirect(address(481,26))-indirect(address(482,26))</f>
        <v>0</v>
      </c>
      <c r="AA483">
        <f>indirect(address(483,26))+indirect(address(481,27))-indirect(address(482,27))</f>
        <v>0</v>
      </c>
      <c r="AB483">
        <f>indirect(address(483,27))+indirect(address(481,28))-indirect(address(482,28))</f>
        <v>0</v>
      </c>
      <c r="AC483">
        <f>indirect(address(483,28))+indirect(address(481,29))-indirect(address(482,29))</f>
        <v>0</v>
      </c>
      <c r="AD483">
        <f>indirect(address(483,29))+indirect(address(481,30))-indirect(address(482,30))</f>
        <v>0</v>
      </c>
      <c r="AE483">
        <f>indirect(address(483,30))+indirect(address(481,31))-indirect(address(482,31))</f>
        <v>0</v>
      </c>
      <c r="AF483">
        <f>indirect(address(483,31))+indirect(address(481,32))-indirect(address(482,32))</f>
        <v>0</v>
      </c>
      <c r="AG483">
        <f>indirect(address(483,32))+indirect(address(481,33))-indirect(address(482,33))</f>
        <v>0</v>
      </c>
      <c r="AH483">
        <f>indirect(address(483,33))+indirect(address(481,34))-indirect(address(482,34))</f>
        <v>0</v>
      </c>
      <c r="AI483">
        <f>indirect(address(483,34))+indirect(address(481,35))-indirect(address(482,35))</f>
        <v>0</v>
      </c>
      <c r="AJ483">
        <f>indirect(address(483,35))+indirect(address(481,36))-indirect(address(482,36))</f>
        <v>0</v>
      </c>
      <c r="AK483">
        <f>indirect(address(483,36))+indirect(address(481,37))-indirect(address(482,37))</f>
        <v>0</v>
      </c>
      <c r="AL483">
        <f>indirect(address(483,37))+indirect(address(481,38))-indirect(address(482,38))</f>
        <v>0</v>
      </c>
      <c r="AM483">
        <f>indirect(address(483,38))+indirect(address(481,39))-indirect(address(482,39))</f>
        <v>0</v>
      </c>
      <c r="AN483">
        <f>indirect(address(483,39))+indirect(address(481,40))-indirect(address(482,40))</f>
        <v>0</v>
      </c>
      <c r="AO483">
        <f>indirect(address(483,40))+indirect(address(481,41))-indirect(address(482,41))</f>
        <v>0</v>
      </c>
    </row>
    <row r="484" spans="1:41">
      <c r="I484" t="s">
        <v>14</v>
      </c>
      <c r="AO484">
        <f>sum(j484:an484)</f>
        <v>0</v>
      </c>
    </row>
    <row r="485" spans="1:41">
      <c r="I485" t="s">
        <v>15</v>
      </c>
      <c r="J485">
        <f>sumif(Plan!B:B,"924-025056-400",Plan!j:j)</f>
        <v>0</v>
      </c>
      <c r="K485">
        <f>sumif(Plan!B:B,"924-025056-400",Plan!k:k)</f>
        <v>0</v>
      </c>
      <c r="L485">
        <f>sumif(Plan!B:B,"924-025056-400",Plan!l:l)</f>
        <v>0</v>
      </c>
      <c r="M485">
        <f>sumif(Plan!B:B,"924-025056-400",Plan!m:m)</f>
        <v>0</v>
      </c>
      <c r="N485">
        <f>sumif(Plan!B:B,"924-025056-400",Plan!n:n)</f>
        <v>0</v>
      </c>
      <c r="O485">
        <f>sumif(Plan!B:B,"924-025056-400",Plan!o:o)</f>
        <v>0</v>
      </c>
      <c r="P485">
        <f>sumif(Plan!B:B,"924-025056-400",Plan!p:p)</f>
        <v>0</v>
      </c>
      <c r="Q485">
        <f>sumif(Plan!B:B,"924-025056-400",Plan!q:q)</f>
        <v>0</v>
      </c>
      <c r="R485">
        <f>sumif(Plan!B:B,"924-025056-400",Plan!r:r)</f>
        <v>0</v>
      </c>
      <c r="S485">
        <f>sumif(Plan!B:B,"924-025056-400",Plan!s:s)</f>
        <v>0</v>
      </c>
      <c r="T485">
        <f>sumif(Plan!B:B,"924-025056-400",Plan!t:t)</f>
        <v>0</v>
      </c>
      <c r="U485">
        <f>sumif(Plan!B:B,"924-025056-400",Plan!u:u)</f>
        <v>0</v>
      </c>
      <c r="V485">
        <f>sumif(Plan!B:B,"924-025056-400",Plan!v:v)</f>
        <v>0</v>
      </c>
      <c r="W485">
        <f>sumif(Plan!B:B,"924-025056-400",Plan!w:w)</f>
        <v>0</v>
      </c>
      <c r="X485">
        <f>sumif(Plan!B:B,"924-025056-400",Plan!x:x)</f>
        <v>0</v>
      </c>
      <c r="Y485">
        <f>sumif(Plan!B:B,"924-025056-400",Plan!y:y)</f>
        <v>0</v>
      </c>
      <c r="Z485">
        <f>sumif(Plan!B:B,"924-025056-400",Plan!z:z)</f>
        <v>0</v>
      </c>
      <c r="AA485">
        <f>sumif(Plan!B:B,"924-025056-400",Plan!aa:aa)</f>
        <v>0</v>
      </c>
      <c r="AB485">
        <f>sumif(Plan!B:B,"924-025056-400",Plan!ab:ab)</f>
        <v>0</v>
      </c>
      <c r="AC485">
        <f>sumif(Plan!B:B,"924-025056-400",Plan!ac:ac)</f>
        <v>0</v>
      </c>
      <c r="AD485">
        <f>sumif(Plan!B:B,"924-025056-400",Plan!ad:ad)</f>
        <v>0</v>
      </c>
      <c r="AE485">
        <f>sumif(Plan!B:B,"924-025056-400",Plan!ae:ae)</f>
        <v>0</v>
      </c>
      <c r="AF485">
        <f>sumif(Plan!B:B,"924-025056-400",Plan!af:af)</f>
        <v>0</v>
      </c>
      <c r="AG485">
        <f>sumif(Plan!B:B,"924-025056-400",Plan!ag:ag)</f>
        <v>0</v>
      </c>
      <c r="AH485">
        <f>sumif(Plan!B:B,"924-025056-400",Plan!ah:ah)</f>
        <v>0</v>
      </c>
      <c r="AI485">
        <f>sumif(Plan!B:B,"924-025056-400",Plan!ai:ai)</f>
        <v>0</v>
      </c>
      <c r="AJ485">
        <f>sumif(Plan!B:B,"924-025056-400",Plan!aj:aj)</f>
        <v>0</v>
      </c>
      <c r="AK485">
        <f>sumif(Plan!B:B,"924-025056-400",Plan!ak:ak)</f>
        <v>0</v>
      </c>
      <c r="AL485">
        <f>sumif(Plan!B:B,"924-025056-400",Plan!al:al)</f>
        <v>0</v>
      </c>
      <c r="AM485">
        <f>sumif(Plan!B:B,"924-025056-400",Plan!am:am)</f>
        <v>0</v>
      </c>
      <c r="AN485">
        <f>sumif(Plan!B:B,"924-025056-400",Plan!an:an)</f>
        <v>0</v>
      </c>
      <c r="AO485">
        <f>sumif(Plan!B:B,"924-025056-400",Plan!ao:ao)</f>
        <v>0</v>
      </c>
    </row>
    <row r="486" spans="1:41">
      <c r="A486" t="s">
        <v>17</v>
      </c>
      <c r="B486" t="s">
        <v>308</v>
      </c>
      <c r="C486" t="s">
        <v>309</v>
      </c>
      <c r="E486">
        <v>1</v>
      </c>
      <c r="F486" t="s">
        <v>13</v>
      </c>
      <c r="H486" t="s">
        <v>16</v>
      </c>
      <c r="J486">
        <f>indirect(address(486,9))+indirect(address(484,10))-indirect(address(485,10))</f>
        <v>0</v>
      </c>
      <c r="K486">
        <f>indirect(address(486,10))+indirect(address(484,11))-indirect(address(485,11))</f>
        <v>0</v>
      </c>
      <c r="L486">
        <f>indirect(address(486,11))+indirect(address(484,12))-indirect(address(485,12))</f>
        <v>0</v>
      </c>
      <c r="M486">
        <f>indirect(address(486,12))+indirect(address(484,13))-indirect(address(485,13))</f>
        <v>0</v>
      </c>
      <c r="N486">
        <f>indirect(address(486,13))+indirect(address(484,14))-indirect(address(485,14))</f>
        <v>0</v>
      </c>
      <c r="O486">
        <f>indirect(address(486,14))+indirect(address(484,15))-indirect(address(485,15))</f>
        <v>0</v>
      </c>
      <c r="P486">
        <f>indirect(address(486,15))+indirect(address(484,16))-indirect(address(485,16))</f>
        <v>0</v>
      </c>
      <c r="Q486">
        <f>indirect(address(486,16))+indirect(address(484,17))-indirect(address(485,17))</f>
        <v>0</v>
      </c>
      <c r="R486">
        <f>indirect(address(486,17))+indirect(address(484,18))-indirect(address(485,18))</f>
        <v>0</v>
      </c>
      <c r="S486">
        <f>indirect(address(486,18))+indirect(address(484,19))-indirect(address(485,19))</f>
        <v>0</v>
      </c>
      <c r="T486">
        <f>indirect(address(486,19))+indirect(address(484,20))-indirect(address(485,20))</f>
        <v>0</v>
      </c>
      <c r="U486">
        <f>indirect(address(486,20))+indirect(address(484,21))-indirect(address(485,21))</f>
        <v>0</v>
      </c>
      <c r="V486">
        <f>indirect(address(486,21))+indirect(address(484,22))-indirect(address(485,22))</f>
        <v>0</v>
      </c>
      <c r="W486">
        <f>indirect(address(486,22))+indirect(address(484,23))-indirect(address(485,23))</f>
        <v>0</v>
      </c>
      <c r="X486">
        <f>indirect(address(486,23))+indirect(address(484,24))-indirect(address(485,24))</f>
        <v>0</v>
      </c>
      <c r="Y486">
        <f>indirect(address(486,24))+indirect(address(484,25))-indirect(address(485,25))</f>
        <v>0</v>
      </c>
      <c r="Z486">
        <f>indirect(address(486,25))+indirect(address(484,26))-indirect(address(485,26))</f>
        <v>0</v>
      </c>
      <c r="AA486">
        <f>indirect(address(486,26))+indirect(address(484,27))-indirect(address(485,27))</f>
        <v>0</v>
      </c>
      <c r="AB486">
        <f>indirect(address(486,27))+indirect(address(484,28))-indirect(address(485,28))</f>
        <v>0</v>
      </c>
      <c r="AC486">
        <f>indirect(address(486,28))+indirect(address(484,29))-indirect(address(485,29))</f>
        <v>0</v>
      </c>
      <c r="AD486">
        <f>indirect(address(486,29))+indirect(address(484,30))-indirect(address(485,30))</f>
        <v>0</v>
      </c>
      <c r="AE486">
        <f>indirect(address(486,30))+indirect(address(484,31))-indirect(address(485,31))</f>
        <v>0</v>
      </c>
      <c r="AF486">
        <f>indirect(address(486,31))+indirect(address(484,32))-indirect(address(485,32))</f>
        <v>0</v>
      </c>
      <c r="AG486">
        <f>indirect(address(486,32))+indirect(address(484,33))-indirect(address(485,33))</f>
        <v>0</v>
      </c>
      <c r="AH486">
        <f>indirect(address(486,33))+indirect(address(484,34))-indirect(address(485,34))</f>
        <v>0</v>
      </c>
      <c r="AI486">
        <f>indirect(address(486,34))+indirect(address(484,35))-indirect(address(485,35))</f>
        <v>0</v>
      </c>
      <c r="AJ486">
        <f>indirect(address(486,35))+indirect(address(484,36))-indirect(address(485,36))</f>
        <v>0</v>
      </c>
      <c r="AK486">
        <f>indirect(address(486,36))+indirect(address(484,37))-indirect(address(485,37))</f>
        <v>0</v>
      </c>
      <c r="AL486">
        <f>indirect(address(486,37))+indirect(address(484,38))-indirect(address(485,38))</f>
        <v>0</v>
      </c>
      <c r="AM486">
        <f>indirect(address(486,38))+indirect(address(484,39))-indirect(address(485,39))</f>
        <v>0</v>
      </c>
      <c r="AN486">
        <f>indirect(address(486,39))+indirect(address(484,40))-indirect(address(485,40))</f>
        <v>0</v>
      </c>
      <c r="AO486">
        <f>indirect(address(486,40))+indirect(address(484,41))-indirect(address(485,41))</f>
        <v>0</v>
      </c>
    </row>
    <row r="487" spans="1:41">
      <c r="I487" t="s">
        <v>14</v>
      </c>
      <c r="AO487">
        <f>sum(j487:an487)</f>
        <v>0</v>
      </c>
    </row>
    <row r="488" spans="1:41">
      <c r="I488" t="s">
        <v>15</v>
      </c>
      <c r="J488">
        <f>sumif(Plan!B:B,"924-025056-400",Plan!j:j)</f>
        <v>0</v>
      </c>
      <c r="K488">
        <f>sumif(Plan!B:B,"924-025056-400",Plan!k:k)</f>
        <v>0</v>
      </c>
      <c r="L488">
        <f>sumif(Plan!B:B,"924-025056-400",Plan!l:l)</f>
        <v>0</v>
      </c>
      <c r="M488">
        <f>sumif(Plan!B:B,"924-025056-400",Plan!m:m)</f>
        <v>0</v>
      </c>
      <c r="N488">
        <f>sumif(Plan!B:B,"924-025056-400",Plan!n:n)</f>
        <v>0</v>
      </c>
      <c r="O488">
        <f>sumif(Plan!B:B,"924-025056-400",Plan!o:o)</f>
        <v>0</v>
      </c>
      <c r="P488">
        <f>sumif(Plan!B:B,"924-025056-400",Plan!p:p)</f>
        <v>0</v>
      </c>
      <c r="Q488">
        <f>sumif(Plan!B:B,"924-025056-400",Plan!q:q)</f>
        <v>0</v>
      </c>
      <c r="R488">
        <f>sumif(Plan!B:B,"924-025056-400",Plan!r:r)</f>
        <v>0</v>
      </c>
      <c r="S488">
        <f>sumif(Plan!B:B,"924-025056-400",Plan!s:s)</f>
        <v>0</v>
      </c>
      <c r="T488">
        <f>sumif(Plan!B:B,"924-025056-400",Plan!t:t)</f>
        <v>0</v>
      </c>
      <c r="U488">
        <f>sumif(Plan!B:B,"924-025056-400",Plan!u:u)</f>
        <v>0</v>
      </c>
      <c r="V488">
        <f>sumif(Plan!B:B,"924-025056-400",Plan!v:v)</f>
        <v>0</v>
      </c>
      <c r="W488">
        <f>sumif(Plan!B:B,"924-025056-400",Plan!w:w)</f>
        <v>0</v>
      </c>
      <c r="X488">
        <f>sumif(Plan!B:B,"924-025056-400",Plan!x:x)</f>
        <v>0</v>
      </c>
      <c r="Y488">
        <f>sumif(Plan!B:B,"924-025056-400",Plan!y:y)</f>
        <v>0</v>
      </c>
      <c r="Z488">
        <f>sumif(Plan!B:B,"924-025056-400",Plan!z:z)</f>
        <v>0</v>
      </c>
      <c r="AA488">
        <f>sumif(Plan!B:B,"924-025056-400",Plan!aa:aa)</f>
        <v>0</v>
      </c>
      <c r="AB488">
        <f>sumif(Plan!B:B,"924-025056-400",Plan!ab:ab)</f>
        <v>0</v>
      </c>
      <c r="AC488">
        <f>sumif(Plan!B:B,"924-025056-400",Plan!ac:ac)</f>
        <v>0</v>
      </c>
      <c r="AD488">
        <f>sumif(Plan!B:B,"924-025056-400",Plan!ad:ad)</f>
        <v>0</v>
      </c>
      <c r="AE488">
        <f>sumif(Plan!B:B,"924-025056-400",Plan!ae:ae)</f>
        <v>0</v>
      </c>
      <c r="AF488">
        <f>sumif(Plan!B:B,"924-025056-400",Plan!af:af)</f>
        <v>0</v>
      </c>
      <c r="AG488">
        <f>sumif(Plan!B:B,"924-025056-400",Plan!ag:ag)</f>
        <v>0</v>
      </c>
      <c r="AH488">
        <f>sumif(Plan!B:B,"924-025056-400",Plan!ah:ah)</f>
        <v>0</v>
      </c>
      <c r="AI488">
        <f>sumif(Plan!B:B,"924-025056-400",Plan!ai:ai)</f>
        <v>0</v>
      </c>
      <c r="AJ488">
        <f>sumif(Plan!B:B,"924-025056-400",Plan!aj:aj)</f>
        <v>0</v>
      </c>
      <c r="AK488">
        <f>sumif(Plan!B:B,"924-025056-400",Plan!ak:ak)</f>
        <v>0</v>
      </c>
      <c r="AL488">
        <f>sumif(Plan!B:B,"924-025056-400",Plan!al:al)</f>
        <v>0</v>
      </c>
      <c r="AM488">
        <f>sumif(Plan!B:B,"924-025056-400",Plan!am:am)</f>
        <v>0</v>
      </c>
      <c r="AN488">
        <f>sumif(Plan!B:B,"924-025056-400",Plan!an:an)</f>
        <v>0</v>
      </c>
      <c r="AO488">
        <f>sumif(Plan!B:B,"924-025056-400",Plan!ao:ao)</f>
        <v>0</v>
      </c>
    </row>
    <row r="489" spans="1:41">
      <c r="A489" t="s">
        <v>22</v>
      </c>
      <c r="B489" t="s">
        <v>308</v>
      </c>
      <c r="C489" t="s">
        <v>292</v>
      </c>
      <c r="E489">
        <v>1</v>
      </c>
      <c r="F489" t="s">
        <v>13</v>
      </c>
      <c r="H489" t="s">
        <v>16</v>
      </c>
      <c r="J489">
        <f>indirect(address(489,9))+indirect(address(487,10))-indirect(address(488,10))</f>
        <v>0</v>
      </c>
      <c r="K489">
        <f>indirect(address(489,10))+indirect(address(487,11))-indirect(address(488,11))</f>
        <v>0</v>
      </c>
      <c r="L489">
        <f>indirect(address(489,11))+indirect(address(487,12))-indirect(address(488,12))</f>
        <v>0</v>
      </c>
      <c r="M489">
        <f>indirect(address(489,12))+indirect(address(487,13))-indirect(address(488,13))</f>
        <v>0</v>
      </c>
      <c r="N489">
        <f>indirect(address(489,13))+indirect(address(487,14))-indirect(address(488,14))</f>
        <v>0</v>
      </c>
      <c r="O489">
        <f>indirect(address(489,14))+indirect(address(487,15))-indirect(address(488,15))</f>
        <v>0</v>
      </c>
      <c r="P489">
        <f>indirect(address(489,15))+indirect(address(487,16))-indirect(address(488,16))</f>
        <v>0</v>
      </c>
      <c r="Q489">
        <f>indirect(address(489,16))+indirect(address(487,17))-indirect(address(488,17))</f>
        <v>0</v>
      </c>
      <c r="R489">
        <f>indirect(address(489,17))+indirect(address(487,18))-indirect(address(488,18))</f>
        <v>0</v>
      </c>
      <c r="S489">
        <f>indirect(address(489,18))+indirect(address(487,19))-indirect(address(488,19))</f>
        <v>0</v>
      </c>
      <c r="T489">
        <f>indirect(address(489,19))+indirect(address(487,20))-indirect(address(488,20))</f>
        <v>0</v>
      </c>
      <c r="U489">
        <f>indirect(address(489,20))+indirect(address(487,21))-indirect(address(488,21))</f>
        <v>0</v>
      </c>
      <c r="V489">
        <f>indirect(address(489,21))+indirect(address(487,22))-indirect(address(488,22))</f>
        <v>0</v>
      </c>
      <c r="W489">
        <f>indirect(address(489,22))+indirect(address(487,23))-indirect(address(488,23))</f>
        <v>0</v>
      </c>
      <c r="X489">
        <f>indirect(address(489,23))+indirect(address(487,24))-indirect(address(488,24))</f>
        <v>0</v>
      </c>
      <c r="Y489">
        <f>indirect(address(489,24))+indirect(address(487,25))-indirect(address(488,25))</f>
        <v>0</v>
      </c>
      <c r="Z489">
        <f>indirect(address(489,25))+indirect(address(487,26))-indirect(address(488,26))</f>
        <v>0</v>
      </c>
      <c r="AA489">
        <f>indirect(address(489,26))+indirect(address(487,27))-indirect(address(488,27))</f>
        <v>0</v>
      </c>
      <c r="AB489">
        <f>indirect(address(489,27))+indirect(address(487,28))-indirect(address(488,28))</f>
        <v>0</v>
      </c>
      <c r="AC489">
        <f>indirect(address(489,28))+indirect(address(487,29))-indirect(address(488,29))</f>
        <v>0</v>
      </c>
      <c r="AD489">
        <f>indirect(address(489,29))+indirect(address(487,30))-indirect(address(488,30))</f>
        <v>0</v>
      </c>
      <c r="AE489">
        <f>indirect(address(489,30))+indirect(address(487,31))-indirect(address(488,31))</f>
        <v>0</v>
      </c>
      <c r="AF489">
        <f>indirect(address(489,31))+indirect(address(487,32))-indirect(address(488,32))</f>
        <v>0</v>
      </c>
      <c r="AG489">
        <f>indirect(address(489,32))+indirect(address(487,33))-indirect(address(488,33))</f>
        <v>0</v>
      </c>
      <c r="AH489">
        <f>indirect(address(489,33))+indirect(address(487,34))-indirect(address(488,34))</f>
        <v>0</v>
      </c>
      <c r="AI489">
        <f>indirect(address(489,34))+indirect(address(487,35))-indirect(address(488,35))</f>
        <v>0</v>
      </c>
      <c r="AJ489">
        <f>indirect(address(489,35))+indirect(address(487,36))-indirect(address(488,36))</f>
        <v>0</v>
      </c>
      <c r="AK489">
        <f>indirect(address(489,36))+indirect(address(487,37))-indirect(address(488,37))</f>
        <v>0</v>
      </c>
      <c r="AL489">
        <f>indirect(address(489,37))+indirect(address(487,38))-indirect(address(488,38))</f>
        <v>0</v>
      </c>
      <c r="AM489">
        <f>indirect(address(489,38))+indirect(address(487,39))-indirect(address(488,39))</f>
        <v>0</v>
      </c>
      <c r="AN489">
        <f>indirect(address(489,39))+indirect(address(487,40))-indirect(address(488,40))</f>
        <v>0</v>
      </c>
      <c r="AO489">
        <f>indirect(address(489,40))+indirect(address(487,41))-indirect(address(488,41))</f>
        <v>0</v>
      </c>
    </row>
    <row r="490" spans="1:41">
      <c r="I490" t="s">
        <v>14</v>
      </c>
      <c r="AO490">
        <f>sum(j490:an490)</f>
        <v>0</v>
      </c>
    </row>
    <row r="491" spans="1:41">
      <c r="I491" t="s">
        <v>15</v>
      </c>
      <c r="J491">
        <f>sumif(Plan!B:B,"924-025056-400",Plan!j:j)</f>
        <v>0</v>
      </c>
      <c r="K491">
        <f>sumif(Plan!B:B,"924-025056-400",Plan!k:k)</f>
        <v>0</v>
      </c>
      <c r="L491">
        <f>sumif(Plan!B:B,"924-025056-400",Plan!l:l)</f>
        <v>0</v>
      </c>
      <c r="M491">
        <f>sumif(Plan!B:B,"924-025056-400",Plan!m:m)</f>
        <v>0</v>
      </c>
      <c r="N491">
        <f>sumif(Plan!B:B,"924-025056-400",Plan!n:n)</f>
        <v>0</v>
      </c>
      <c r="O491">
        <f>sumif(Plan!B:B,"924-025056-400",Plan!o:o)</f>
        <v>0</v>
      </c>
      <c r="P491">
        <f>sumif(Plan!B:B,"924-025056-400",Plan!p:p)</f>
        <v>0</v>
      </c>
      <c r="Q491">
        <f>sumif(Plan!B:B,"924-025056-400",Plan!q:q)</f>
        <v>0</v>
      </c>
      <c r="R491">
        <f>sumif(Plan!B:B,"924-025056-400",Plan!r:r)</f>
        <v>0</v>
      </c>
      <c r="S491">
        <f>sumif(Plan!B:B,"924-025056-400",Plan!s:s)</f>
        <v>0</v>
      </c>
      <c r="T491">
        <f>sumif(Plan!B:B,"924-025056-400",Plan!t:t)</f>
        <v>0</v>
      </c>
      <c r="U491">
        <f>sumif(Plan!B:B,"924-025056-400",Plan!u:u)</f>
        <v>0</v>
      </c>
      <c r="V491">
        <f>sumif(Plan!B:B,"924-025056-400",Plan!v:v)</f>
        <v>0</v>
      </c>
      <c r="W491">
        <f>sumif(Plan!B:B,"924-025056-400",Plan!w:w)</f>
        <v>0</v>
      </c>
      <c r="X491">
        <f>sumif(Plan!B:B,"924-025056-400",Plan!x:x)</f>
        <v>0</v>
      </c>
      <c r="Y491">
        <f>sumif(Plan!B:B,"924-025056-400",Plan!y:y)</f>
        <v>0</v>
      </c>
      <c r="Z491">
        <f>sumif(Plan!B:B,"924-025056-400",Plan!z:z)</f>
        <v>0</v>
      </c>
      <c r="AA491">
        <f>sumif(Plan!B:B,"924-025056-400",Plan!aa:aa)</f>
        <v>0</v>
      </c>
      <c r="AB491">
        <f>sumif(Plan!B:B,"924-025056-400",Plan!ab:ab)</f>
        <v>0</v>
      </c>
      <c r="AC491">
        <f>sumif(Plan!B:B,"924-025056-400",Plan!ac:ac)</f>
        <v>0</v>
      </c>
      <c r="AD491">
        <f>sumif(Plan!B:B,"924-025056-400",Plan!ad:ad)</f>
        <v>0</v>
      </c>
      <c r="AE491">
        <f>sumif(Plan!B:B,"924-025056-400",Plan!ae:ae)</f>
        <v>0</v>
      </c>
      <c r="AF491">
        <f>sumif(Plan!B:B,"924-025056-400",Plan!af:af)</f>
        <v>0</v>
      </c>
      <c r="AG491">
        <f>sumif(Plan!B:B,"924-025056-400",Plan!ag:ag)</f>
        <v>0</v>
      </c>
      <c r="AH491">
        <f>sumif(Plan!B:B,"924-025056-400",Plan!ah:ah)</f>
        <v>0</v>
      </c>
      <c r="AI491">
        <f>sumif(Plan!B:B,"924-025056-400",Plan!ai:ai)</f>
        <v>0</v>
      </c>
      <c r="AJ491">
        <f>sumif(Plan!B:B,"924-025056-400",Plan!aj:aj)</f>
        <v>0</v>
      </c>
      <c r="AK491">
        <f>sumif(Plan!B:B,"924-025056-400",Plan!ak:ak)</f>
        <v>0</v>
      </c>
      <c r="AL491">
        <f>sumif(Plan!B:B,"924-025056-400",Plan!al:al)</f>
        <v>0</v>
      </c>
      <c r="AM491">
        <f>sumif(Plan!B:B,"924-025056-400",Plan!am:am)</f>
        <v>0</v>
      </c>
      <c r="AN491">
        <f>sumif(Plan!B:B,"924-025056-400",Plan!an:an)</f>
        <v>0</v>
      </c>
      <c r="AO491">
        <f>sumif(Plan!B:B,"924-025056-400",Plan!ao:ao)</f>
        <v>0</v>
      </c>
    </row>
    <row r="492" spans="1:41">
      <c r="A492" t="s">
        <v>22</v>
      </c>
      <c r="B492" t="s">
        <v>308</v>
      </c>
      <c r="C492" t="s">
        <v>293</v>
      </c>
      <c r="E492">
        <v>4</v>
      </c>
      <c r="F492" t="s">
        <v>13</v>
      </c>
      <c r="H492" t="s">
        <v>16</v>
      </c>
      <c r="J492">
        <f>indirect(address(492,9))+indirect(address(490,10))-indirect(address(491,10))</f>
        <v>0</v>
      </c>
      <c r="K492">
        <f>indirect(address(492,10))+indirect(address(490,11))-indirect(address(491,11))</f>
        <v>0</v>
      </c>
      <c r="L492">
        <f>indirect(address(492,11))+indirect(address(490,12))-indirect(address(491,12))</f>
        <v>0</v>
      </c>
      <c r="M492">
        <f>indirect(address(492,12))+indirect(address(490,13))-indirect(address(491,13))</f>
        <v>0</v>
      </c>
      <c r="N492">
        <f>indirect(address(492,13))+indirect(address(490,14))-indirect(address(491,14))</f>
        <v>0</v>
      </c>
      <c r="O492">
        <f>indirect(address(492,14))+indirect(address(490,15))-indirect(address(491,15))</f>
        <v>0</v>
      </c>
      <c r="P492">
        <f>indirect(address(492,15))+indirect(address(490,16))-indirect(address(491,16))</f>
        <v>0</v>
      </c>
      <c r="Q492">
        <f>indirect(address(492,16))+indirect(address(490,17))-indirect(address(491,17))</f>
        <v>0</v>
      </c>
      <c r="R492">
        <f>indirect(address(492,17))+indirect(address(490,18))-indirect(address(491,18))</f>
        <v>0</v>
      </c>
      <c r="S492">
        <f>indirect(address(492,18))+indirect(address(490,19))-indirect(address(491,19))</f>
        <v>0</v>
      </c>
      <c r="T492">
        <f>indirect(address(492,19))+indirect(address(490,20))-indirect(address(491,20))</f>
        <v>0</v>
      </c>
      <c r="U492">
        <f>indirect(address(492,20))+indirect(address(490,21))-indirect(address(491,21))</f>
        <v>0</v>
      </c>
      <c r="V492">
        <f>indirect(address(492,21))+indirect(address(490,22))-indirect(address(491,22))</f>
        <v>0</v>
      </c>
      <c r="W492">
        <f>indirect(address(492,22))+indirect(address(490,23))-indirect(address(491,23))</f>
        <v>0</v>
      </c>
      <c r="X492">
        <f>indirect(address(492,23))+indirect(address(490,24))-indirect(address(491,24))</f>
        <v>0</v>
      </c>
      <c r="Y492">
        <f>indirect(address(492,24))+indirect(address(490,25))-indirect(address(491,25))</f>
        <v>0</v>
      </c>
      <c r="Z492">
        <f>indirect(address(492,25))+indirect(address(490,26))-indirect(address(491,26))</f>
        <v>0</v>
      </c>
      <c r="AA492">
        <f>indirect(address(492,26))+indirect(address(490,27))-indirect(address(491,27))</f>
        <v>0</v>
      </c>
      <c r="AB492">
        <f>indirect(address(492,27))+indirect(address(490,28))-indirect(address(491,28))</f>
        <v>0</v>
      </c>
      <c r="AC492">
        <f>indirect(address(492,28))+indirect(address(490,29))-indirect(address(491,29))</f>
        <v>0</v>
      </c>
      <c r="AD492">
        <f>indirect(address(492,29))+indirect(address(490,30))-indirect(address(491,30))</f>
        <v>0</v>
      </c>
      <c r="AE492">
        <f>indirect(address(492,30))+indirect(address(490,31))-indirect(address(491,31))</f>
        <v>0</v>
      </c>
      <c r="AF492">
        <f>indirect(address(492,31))+indirect(address(490,32))-indirect(address(491,32))</f>
        <v>0</v>
      </c>
      <c r="AG492">
        <f>indirect(address(492,32))+indirect(address(490,33))-indirect(address(491,33))</f>
        <v>0</v>
      </c>
      <c r="AH492">
        <f>indirect(address(492,33))+indirect(address(490,34))-indirect(address(491,34))</f>
        <v>0</v>
      </c>
      <c r="AI492">
        <f>indirect(address(492,34))+indirect(address(490,35))-indirect(address(491,35))</f>
        <v>0</v>
      </c>
      <c r="AJ492">
        <f>indirect(address(492,35))+indirect(address(490,36))-indirect(address(491,36))</f>
        <v>0</v>
      </c>
      <c r="AK492">
        <f>indirect(address(492,36))+indirect(address(490,37))-indirect(address(491,37))</f>
        <v>0</v>
      </c>
      <c r="AL492">
        <f>indirect(address(492,37))+indirect(address(490,38))-indirect(address(491,38))</f>
        <v>0</v>
      </c>
      <c r="AM492">
        <f>indirect(address(492,38))+indirect(address(490,39))-indirect(address(491,39))</f>
        <v>0</v>
      </c>
      <c r="AN492">
        <f>indirect(address(492,39))+indirect(address(490,40))-indirect(address(491,40))</f>
        <v>0</v>
      </c>
      <c r="AO492">
        <f>indirect(address(492,40))+indirect(address(490,41))-indirect(address(491,41))</f>
        <v>0</v>
      </c>
    </row>
    <row r="493" spans="1:41">
      <c r="I493" t="s">
        <v>14</v>
      </c>
      <c r="AO493">
        <f>sum(j493:an493)</f>
        <v>0</v>
      </c>
    </row>
    <row r="494" spans="1:41">
      <c r="I494" t="s">
        <v>15</v>
      </c>
      <c r="J494">
        <f>sumif(Plan!B:B,"924-025056-400",Plan!j:j)</f>
        <v>0</v>
      </c>
      <c r="K494">
        <f>sumif(Plan!B:B,"924-025056-400",Plan!k:k)</f>
        <v>0</v>
      </c>
      <c r="L494">
        <f>sumif(Plan!B:B,"924-025056-400",Plan!l:l)</f>
        <v>0</v>
      </c>
      <c r="M494">
        <f>sumif(Plan!B:B,"924-025056-400",Plan!m:m)</f>
        <v>0</v>
      </c>
      <c r="N494">
        <f>sumif(Plan!B:B,"924-025056-400",Plan!n:n)</f>
        <v>0</v>
      </c>
      <c r="O494">
        <f>sumif(Plan!B:B,"924-025056-400",Plan!o:o)</f>
        <v>0</v>
      </c>
      <c r="P494">
        <f>sumif(Plan!B:B,"924-025056-400",Plan!p:p)</f>
        <v>0</v>
      </c>
      <c r="Q494">
        <f>sumif(Plan!B:B,"924-025056-400",Plan!q:q)</f>
        <v>0</v>
      </c>
      <c r="R494">
        <f>sumif(Plan!B:B,"924-025056-400",Plan!r:r)</f>
        <v>0</v>
      </c>
      <c r="S494">
        <f>sumif(Plan!B:B,"924-025056-400",Plan!s:s)</f>
        <v>0</v>
      </c>
      <c r="T494">
        <f>sumif(Plan!B:B,"924-025056-400",Plan!t:t)</f>
        <v>0</v>
      </c>
      <c r="U494">
        <f>sumif(Plan!B:B,"924-025056-400",Plan!u:u)</f>
        <v>0</v>
      </c>
      <c r="V494">
        <f>sumif(Plan!B:B,"924-025056-400",Plan!v:v)</f>
        <v>0</v>
      </c>
      <c r="W494">
        <f>sumif(Plan!B:B,"924-025056-400",Plan!w:w)</f>
        <v>0</v>
      </c>
      <c r="X494">
        <f>sumif(Plan!B:B,"924-025056-400",Plan!x:x)</f>
        <v>0</v>
      </c>
      <c r="Y494">
        <f>sumif(Plan!B:B,"924-025056-400",Plan!y:y)</f>
        <v>0</v>
      </c>
      <c r="Z494">
        <f>sumif(Plan!B:B,"924-025056-400",Plan!z:z)</f>
        <v>0</v>
      </c>
      <c r="AA494">
        <f>sumif(Plan!B:B,"924-025056-400",Plan!aa:aa)</f>
        <v>0</v>
      </c>
      <c r="AB494">
        <f>sumif(Plan!B:B,"924-025056-400",Plan!ab:ab)</f>
        <v>0</v>
      </c>
      <c r="AC494">
        <f>sumif(Plan!B:B,"924-025056-400",Plan!ac:ac)</f>
        <v>0</v>
      </c>
      <c r="AD494">
        <f>sumif(Plan!B:B,"924-025056-400",Plan!ad:ad)</f>
        <v>0</v>
      </c>
      <c r="AE494">
        <f>sumif(Plan!B:B,"924-025056-400",Plan!ae:ae)</f>
        <v>0</v>
      </c>
      <c r="AF494">
        <f>sumif(Plan!B:B,"924-025056-400",Plan!af:af)</f>
        <v>0</v>
      </c>
      <c r="AG494">
        <f>sumif(Plan!B:B,"924-025056-400",Plan!ag:ag)</f>
        <v>0</v>
      </c>
      <c r="AH494">
        <f>sumif(Plan!B:B,"924-025056-400",Plan!ah:ah)</f>
        <v>0</v>
      </c>
      <c r="AI494">
        <f>sumif(Plan!B:B,"924-025056-400",Plan!ai:ai)</f>
        <v>0</v>
      </c>
      <c r="AJ494">
        <f>sumif(Plan!B:B,"924-025056-400",Plan!aj:aj)</f>
        <v>0</v>
      </c>
      <c r="AK494">
        <f>sumif(Plan!B:B,"924-025056-400",Plan!ak:ak)</f>
        <v>0</v>
      </c>
      <c r="AL494">
        <f>sumif(Plan!B:B,"924-025056-400",Plan!al:al)</f>
        <v>0</v>
      </c>
      <c r="AM494">
        <f>sumif(Plan!B:B,"924-025056-400",Plan!am:am)</f>
        <v>0</v>
      </c>
      <c r="AN494">
        <f>sumif(Plan!B:B,"924-025056-400",Plan!an:an)</f>
        <v>0</v>
      </c>
      <c r="AO494">
        <f>sumif(Plan!B:B,"924-025056-400",Plan!ao:ao)</f>
        <v>0</v>
      </c>
    </row>
    <row r="495" spans="1:41">
      <c r="A495" t="s">
        <v>22</v>
      </c>
      <c r="B495" t="s">
        <v>308</v>
      </c>
      <c r="C495" t="s">
        <v>294</v>
      </c>
      <c r="E495">
        <v>1</v>
      </c>
      <c r="F495" t="s">
        <v>13</v>
      </c>
      <c r="H495" t="s">
        <v>16</v>
      </c>
      <c r="J495">
        <f>indirect(address(495,9))+indirect(address(493,10))-indirect(address(494,10))</f>
        <v>0</v>
      </c>
      <c r="K495">
        <f>indirect(address(495,10))+indirect(address(493,11))-indirect(address(494,11))</f>
        <v>0</v>
      </c>
      <c r="L495">
        <f>indirect(address(495,11))+indirect(address(493,12))-indirect(address(494,12))</f>
        <v>0</v>
      </c>
      <c r="M495">
        <f>indirect(address(495,12))+indirect(address(493,13))-indirect(address(494,13))</f>
        <v>0</v>
      </c>
      <c r="N495">
        <f>indirect(address(495,13))+indirect(address(493,14))-indirect(address(494,14))</f>
        <v>0</v>
      </c>
      <c r="O495">
        <f>indirect(address(495,14))+indirect(address(493,15))-indirect(address(494,15))</f>
        <v>0</v>
      </c>
      <c r="P495">
        <f>indirect(address(495,15))+indirect(address(493,16))-indirect(address(494,16))</f>
        <v>0</v>
      </c>
      <c r="Q495">
        <f>indirect(address(495,16))+indirect(address(493,17))-indirect(address(494,17))</f>
        <v>0</v>
      </c>
      <c r="R495">
        <f>indirect(address(495,17))+indirect(address(493,18))-indirect(address(494,18))</f>
        <v>0</v>
      </c>
      <c r="S495">
        <f>indirect(address(495,18))+indirect(address(493,19))-indirect(address(494,19))</f>
        <v>0</v>
      </c>
      <c r="T495">
        <f>indirect(address(495,19))+indirect(address(493,20))-indirect(address(494,20))</f>
        <v>0</v>
      </c>
      <c r="U495">
        <f>indirect(address(495,20))+indirect(address(493,21))-indirect(address(494,21))</f>
        <v>0</v>
      </c>
      <c r="V495">
        <f>indirect(address(495,21))+indirect(address(493,22))-indirect(address(494,22))</f>
        <v>0</v>
      </c>
      <c r="W495">
        <f>indirect(address(495,22))+indirect(address(493,23))-indirect(address(494,23))</f>
        <v>0</v>
      </c>
      <c r="X495">
        <f>indirect(address(495,23))+indirect(address(493,24))-indirect(address(494,24))</f>
        <v>0</v>
      </c>
      <c r="Y495">
        <f>indirect(address(495,24))+indirect(address(493,25))-indirect(address(494,25))</f>
        <v>0</v>
      </c>
      <c r="Z495">
        <f>indirect(address(495,25))+indirect(address(493,26))-indirect(address(494,26))</f>
        <v>0</v>
      </c>
      <c r="AA495">
        <f>indirect(address(495,26))+indirect(address(493,27))-indirect(address(494,27))</f>
        <v>0</v>
      </c>
      <c r="AB495">
        <f>indirect(address(495,27))+indirect(address(493,28))-indirect(address(494,28))</f>
        <v>0</v>
      </c>
      <c r="AC495">
        <f>indirect(address(495,28))+indirect(address(493,29))-indirect(address(494,29))</f>
        <v>0</v>
      </c>
      <c r="AD495">
        <f>indirect(address(495,29))+indirect(address(493,30))-indirect(address(494,30))</f>
        <v>0</v>
      </c>
      <c r="AE495">
        <f>indirect(address(495,30))+indirect(address(493,31))-indirect(address(494,31))</f>
        <v>0</v>
      </c>
      <c r="AF495">
        <f>indirect(address(495,31))+indirect(address(493,32))-indirect(address(494,32))</f>
        <v>0</v>
      </c>
      <c r="AG495">
        <f>indirect(address(495,32))+indirect(address(493,33))-indirect(address(494,33))</f>
        <v>0</v>
      </c>
      <c r="AH495">
        <f>indirect(address(495,33))+indirect(address(493,34))-indirect(address(494,34))</f>
        <v>0</v>
      </c>
      <c r="AI495">
        <f>indirect(address(495,34))+indirect(address(493,35))-indirect(address(494,35))</f>
        <v>0</v>
      </c>
      <c r="AJ495">
        <f>indirect(address(495,35))+indirect(address(493,36))-indirect(address(494,36))</f>
        <v>0</v>
      </c>
      <c r="AK495">
        <f>indirect(address(495,36))+indirect(address(493,37))-indirect(address(494,37))</f>
        <v>0</v>
      </c>
      <c r="AL495">
        <f>indirect(address(495,37))+indirect(address(493,38))-indirect(address(494,38))</f>
        <v>0</v>
      </c>
      <c r="AM495">
        <f>indirect(address(495,38))+indirect(address(493,39))-indirect(address(494,39))</f>
        <v>0</v>
      </c>
      <c r="AN495">
        <f>indirect(address(495,39))+indirect(address(493,40))-indirect(address(494,40))</f>
        <v>0</v>
      </c>
      <c r="AO495">
        <f>indirect(address(495,40))+indirect(address(493,41))-indirect(address(494,41))</f>
        <v>0</v>
      </c>
    </row>
    <row r="496" spans="1:41">
      <c r="I496" t="s">
        <v>14</v>
      </c>
      <c r="AO496">
        <f>sum(j496:an496)</f>
        <v>0</v>
      </c>
    </row>
    <row r="497" spans="1:41">
      <c r="I497" t="s">
        <v>15</v>
      </c>
      <c r="J497">
        <f>sumif(Plan!B:B,"924-025056-400",Plan!j:j)</f>
        <v>0</v>
      </c>
      <c r="K497">
        <f>sumif(Plan!B:B,"924-025056-400",Plan!k:k)</f>
        <v>0</v>
      </c>
      <c r="L497">
        <f>sumif(Plan!B:B,"924-025056-400",Plan!l:l)</f>
        <v>0</v>
      </c>
      <c r="M497">
        <f>sumif(Plan!B:B,"924-025056-400",Plan!m:m)</f>
        <v>0</v>
      </c>
      <c r="N497">
        <f>sumif(Plan!B:B,"924-025056-400",Plan!n:n)</f>
        <v>0</v>
      </c>
      <c r="O497">
        <f>sumif(Plan!B:B,"924-025056-400",Plan!o:o)</f>
        <v>0</v>
      </c>
      <c r="P497">
        <f>sumif(Plan!B:B,"924-025056-400",Plan!p:p)</f>
        <v>0</v>
      </c>
      <c r="Q497">
        <f>sumif(Plan!B:B,"924-025056-400",Plan!q:q)</f>
        <v>0</v>
      </c>
      <c r="R497">
        <f>sumif(Plan!B:B,"924-025056-400",Plan!r:r)</f>
        <v>0</v>
      </c>
      <c r="S497">
        <f>sumif(Plan!B:B,"924-025056-400",Plan!s:s)</f>
        <v>0</v>
      </c>
      <c r="T497">
        <f>sumif(Plan!B:B,"924-025056-400",Plan!t:t)</f>
        <v>0</v>
      </c>
      <c r="U497">
        <f>sumif(Plan!B:B,"924-025056-400",Plan!u:u)</f>
        <v>0</v>
      </c>
      <c r="V497">
        <f>sumif(Plan!B:B,"924-025056-400",Plan!v:v)</f>
        <v>0</v>
      </c>
      <c r="W497">
        <f>sumif(Plan!B:B,"924-025056-400",Plan!w:w)</f>
        <v>0</v>
      </c>
      <c r="X497">
        <f>sumif(Plan!B:B,"924-025056-400",Plan!x:x)</f>
        <v>0</v>
      </c>
      <c r="Y497">
        <f>sumif(Plan!B:B,"924-025056-400",Plan!y:y)</f>
        <v>0</v>
      </c>
      <c r="Z497">
        <f>sumif(Plan!B:B,"924-025056-400",Plan!z:z)</f>
        <v>0</v>
      </c>
      <c r="AA497">
        <f>sumif(Plan!B:B,"924-025056-400",Plan!aa:aa)</f>
        <v>0</v>
      </c>
      <c r="AB497">
        <f>sumif(Plan!B:B,"924-025056-400",Plan!ab:ab)</f>
        <v>0</v>
      </c>
      <c r="AC497">
        <f>sumif(Plan!B:B,"924-025056-400",Plan!ac:ac)</f>
        <v>0</v>
      </c>
      <c r="AD497">
        <f>sumif(Plan!B:B,"924-025056-400",Plan!ad:ad)</f>
        <v>0</v>
      </c>
      <c r="AE497">
        <f>sumif(Plan!B:B,"924-025056-400",Plan!ae:ae)</f>
        <v>0</v>
      </c>
      <c r="AF497">
        <f>sumif(Plan!B:B,"924-025056-400",Plan!af:af)</f>
        <v>0</v>
      </c>
      <c r="AG497">
        <f>sumif(Plan!B:B,"924-025056-400",Plan!ag:ag)</f>
        <v>0</v>
      </c>
      <c r="AH497">
        <f>sumif(Plan!B:B,"924-025056-400",Plan!ah:ah)</f>
        <v>0</v>
      </c>
      <c r="AI497">
        <f>sumif(Plan!B:B,"924-025056-400",Plan!ai:ai)</f>
        <v>0</v>
      </c>
      <c r="AJ497">
        <f>sumif(Plan!B:B,"924-025056-400",Plan!aj:aj)</f>
        <v>0</v>
      </c>
      <c r="AK497">
        <f>sumif(Plan!B:B,"924-025056-400",Plan!ak:ak)</f>
        <v>0</v>
      </c>
      <c r="AL497">
        <f>sumif(Plan!B:B,"924-025056-400",Plan!al:al)</f>
        <v>0</v>
      </c>
      <c r="AM497">
        <f>sumif(Plan!B:B,"924-025056-400",Plan!am:am)</f>
        <v>0</v>
      </c>
      <c r="AN497">
        <f>sumif(Plan!B:B,"924-025056-400",Plan!an:an)</f>
        <v>0</v>
      </c>
      <c r="AO497">
        <f>sumif(Plan!B:B,"924-025056-400",Plan!ao:ao)</f>
        <v>0</v>
      </c>
    </row>
    <row r="498" spans="1:41">
      <c r="A498" t="s">
        <v>22</v>
      </c>
      <c r="B498" t="s">
        <v>308</v>
      </c>
      <c r="C498" t="s">
        <v>304</v>
      </c>
      <c r="E498">
        <v>1</v>
      </c>
      <c r="F498" t="s">
        <v>13</v>
      </c>
      <c r="H498" t="s">
        <v>16</v>
      </c>
      <c r="J498">
        <f>indirect(address(498,9))+indirect(address(496,10))-indirect(address(497,10))</f>
        <v>0</v>
      </c>
      <c r="K498">
        <f>indirect(address(498,10))+indirect(address(496,11))-indirect(address(497,11))</f>
        <v>0</v>
      </c>
      <c r="L498">
        <f>indirect(address(498,11))+indirect(address(496,12))-indirect(address(497,12))</f>
        <v>0</v>
      </c>
      <c r="M498">
        <f>indirect(address(498,12))+indirect(address(496,13))-indirect(address(497,13))</f>
        <v>0</v>
      </c>
      <c r="N498">
        <f>indirect(address(498,13))+indirect(address(496,14))-indirect(address(497,14))</f>
        <v>0</v>
      </c>
      <c r="O498">
        <f>indirect(address(498,14))+indirect(address(496,15))-indirect(address(497,15))</f>
        <v>0</v>
      </c>
      <c r="P498">
        <f>indirect(address(498,15))+indirect(address(496,16))-indirect(address(497,16))</f>
        <v>0</v>
      </c>
      <c r="Q498">
        <f>indirect(address(498,16))+indirect(address(496,17))-indirect(address(497,17))</f>
        <v>0</v>
      </c>
      <c r="R498">
        <f>indirect(address(498,17))+indirect(address(496,18))-indirect(address(497,18))</f>
        <v>0</v>
      </c>
      <c r="S498">
        <f>indirect(address(498,18))+indirect(address(496,19))-indirect(address(497,19))</f>
        <v>0</v>
      </c>
      <c r="T498">
        <f>indirect(address(498,19))+indirect(address(496,20))-indirect(address(497,20))</f>
        <v>0</v>
      </c>
      <c r="U498">
        <f>indirect(address(498,20))+indirect(address(496,21))-indirect(address(497,21))</f>
        <v>0</v>
      </c>
      <c r="V498">
        <f>indirect(address(498,21))+indirect(address(496,22))-indirect(address(497,22))</f>
        <v>0</v>
      </c>
      <c r="W498">
        <f>indirect(address(498,22))+indirect(address(496,23))-indirect(address(497,23))</f>
        <v>0</v>
      </c>
      <c r="X498">
        <f>indirect(address(498,23))+indirect(address(496,24))-indirect(address(497,24))</f>
        <v>0</v>
      </c>
      <c r="Y498">
        <f>indirect(address(498,24))+indirect(address(496,25))-indirect(address(497,25))</f>
        <v>0</v>
      </c>
      <c r="Z498">
        <f>indirect(address(498,25))+indirect(address(496,26))-indirect(address(497,26))</f>
        <v>0</v>
      </c>
      <c r="AA498">
        <f>indirect(address(498,26))+indirect(address(496,27))-indirect(address(497,27))</f>
        <v>0</v>
      </c>
      <c r="AB498">
        <f>indirect(address(498,27))+indirect(address(496,28))-indirect(address(497,28))</f>
        <v>0</v>
      </c>
      <c r="AC498">
        <f>indirect(address(498,28))+indirect(address(496,29))-indirect(address(497,29))</f>
        <v>0</v>
      </c>
      <c r="AD498">
        <f>indirect(address(498,29))+indirect(address(496,30))-indirect(address(497,30))</f>
        <v>0</v>
      </c>
      <c r="AE498">
        <f>indirect(address(498,30))+indirect(address(496,31))-indirect(address(497,31))</f>
        <v>0</v>
      </c>
      <c r="AF498">
        <f>indirect(address(498,31))+indirect(address(496,32))-indirect(address(497,32))</f>
        <v>0</v>
      </c>
      <c r="AG498">
        <f>indirect(address(498,32))+indirect(address(496,33))-indirect(address(497,33))</f>
        <v>0</v>
      </c>
      <c r="AH498">
        <f>indirect(address(498,33))+indirect(address(496,34))-indirect(address(497,34))</f>
        <v>0</v>
      </c>
      <c r="AI498">
        <f>indirect(address(498,34))+indirect(address(496,35))-indirect(address(497,35))</f>
        <v>0</v>
      </c>
      <c r="AJ498">
        <f>indirect(address(498,35))+indirect(address(496,36))-indirect(address(497,36))</f>
        <v>0</v>
      </c>
      <c r="AK498">
        <f>indirect(address(498,36))+indirect(address(496,37))-indirect(address(497,37))</f>
        <v>0</v>
      </c>
      <c r="AL498">
        <f>indirect(address(498,37))+indirect(address(496,38))-indirect(address(497,38))</f>
        <v>0</v>
      </c>
      <c r="AM498">
        <f>indirect(address(498,38))+indirect(address(496,39))-indirect(address(497,39))</f>
        <v>0</v>
      </c>
      <c r="AN498">
        <f>indirect(address(498,39))+indirect(address(496,40))-indirect(address(497,40))</f>
        <v>0</v>
      </c>
      <c r="AO498">
        <f>indirect(address(498,40))+indirect(address(496,41))-indirect(address(497,41))</f>
        <v>0</v>
      </c>
    </row>
    <row r="499" spans="1:41">
      <c r="I499" t="s">
        <v>14</v>
      </c>
      <c r="AO499">
        <f>sum(j499:an499)</f>
        <v>0</v>
      </c>
    </row>
    <row r="500" spans="1:41">
      <c r="I500" t="s">
        <v>15</v>
      </c>
      <c r="J500">
        <f>sumif(Plan!B:B,"924-025056-400",Plan!j:j)</f>
        <v>0</v>
      </c>
      <c r="K500">
        <f>sumif(Plan!B:B,"924-025056-400",Plan!k:k)</f>
        <v>0</v>
      </c>
      <c r="L500">
        <f>sumif(Plan!B:B,"924-025056-400",Plan!l:l)</f>
        <v>0</v>
      </c>
      <c r="M500">
        <f>sumif(Plan!B:B,"924-025056-400",Plan!m:m)</f>
        <v>0</v>
      </c>
      <c r="N500">
        <f>sumif(Plan!B:B,"924-025056-400",Plan!n:n)</f>
        <v>0</v>
      </c>
      <c r="O500">
        <f>sumif(Plan!B:B,"924-025056-400",Plan!o:o)</f>
        <v>0</v>
      </c>
      <c r="P500">
        <f>sumif(Plan!B:B,"924-025056-400",Plan!p:p)</f>
        <v>0</v>
      </c>
      <c r="Q500">
        <f>sumif(Plan!B:B,"924-025056-400",Plan!q:q)</f>
        <v>0</v>
      </c>
      <c r="R500">
        <f>sumif(Plan!B:B,"924-025056-400",Plan!r:r)</f>
        <v>0</v>
      </c>
      <c r="S500">
        <f>sumif(Plan!B:B,"924-025056-400",Plan!s:s)</f>
        <v>0</v>
      </c>
      <c r="T500">
        <f>sumif(Plan!B:B,"924-025056-400",Plan!t:t)</f>
        <v>0</v>
      </c>
      <c r="U500">
        <f>sumif(Plan!B:B,"924-025056-400",Plan!u:u)</f>
        <v>0</v>
      </c>
      <c r="V500">
        <f>sumif(Plan!B:B,"924-025056-400",Plan!v:v)</f>
        <v>0</v>
      </c>
      <c r="W500">
        <f>sumif(Plan!B:B,"924-025056-400",Plan!w:w)</f>
        <v>0</v>
      </c>
      <c r="X500">
        <f>sumif(Plan!B:B,"924-025056-400",Plan!x:x)</f>
        <v>0</v>
      </c>
      <c r="Y500">
        <f>sumif(Plan!B:B,"924-025056-400",Plan!y:y)</f>
        <v>0</v>
      </c>
      <c r="Z500">
        <f>sumif(Plan!B:B,"924-025056-400",Plan!z:z)</f>
        <v>0</v>
      </c>
      <c r="AA500">
        <f>sumif(Plan!B:B,"924-025056-400",Plan!aa:aa)</f>
        <v>0</v>
      </c>
      <c r="AB500">
        <f>sumif(Plan!B:B,"924-025056-400",Plan!ab:ab)</f>
        <v>0</v>
      </c>
      <c r="AC500">
        <f>sumif(Plan!B:B,"924-025056-400",Plan!ac:ac)</f>
        <v>0</v>
      </c>
      <c r="AD500">
        <f>sumif(Plan!B:B,"924-025056-400",Plan!ad:ad)</f>
        <v>0</v>
      </c>
      <c r="AE500">
        <f>sumif(Plan!B:B,"924-025056-400",Plan!ae:ae)</f>
        <v>0</v>
      </c>
      <c r="AF500">
        <f>sumif(Plan!B:B,"924-025056-400",Plan!af:af)</f>
        <v>0</v>
      </c>
      <c r="AG500">
        <f>sumif(Plan!B:B,"924-025056-400",Plan!ag:ag)</f>
        <v>0</v>
      </c>
      <c r="AH500">
        <f>sumif(Plan!B:B,"924-025056-400",Plan!ah:ah)</f>
        <v>0</v>
      </c>
      <c r="AI500">
        <f>sumif(Plan!B:B,"924-025056-400",Plan!ai:ai)</f>
        <v>0</v>
      </c>
      <c r="AJ500">
        <f>sumif(Plan!B:B,"924-025056-400",Plan!aj:aj)</f>
        <v>0</v>
      </c>
      <c r="AK500">
        <f>sumif(Plan!B:B,"924-025056-400",Plan!ak:ak)</f>
        <v>0</v>
      </c>
      <c r="AL500">
        <f>sumif(Plan!B:B,"924-025056-400",Plan!al:al)</f>
        <v>0</v>
      </c>
      <c r="AM500">
        <f>sumif(Plan!B:B,"924-025056-400",Plan!am:am)</f>
        <v>0</v>
      </c>
      <c r="AN500">
        <f>sumif(Plan!B:B,"924-025056-400",Plan!an:an)</f>
        <v>0</v>
      </c>
      <c r="AO500">
        <f>sumif(Plan!B:B,"924-025056-400",Plan!ao:ao)</f>
        <v>0</v>
      </c>
    </row>
    <row r="501" spans="1:41">
      <c r="A501" t="s">
        <v>22</v>
      </c>
      <c r="B501" t="s">
        <v>308</v>
      </c>
      <c r="C501" t="s">
        <v>305</v>
      </c>
      <c r="E501">
        <v>1</v>
      </c>
      <c r="F501" t="s">
        <v>13</v>
      </c>
      <c r="H501" t="s">
        <v>16</v>
      </c>
      <c r="J501">
        <f>indirect(address(501,9))+indirect(address(499,10))-indirect(address(500,10))</f>
        <v>0</v>
      </c>
      <c r="K501">
        <f>indirect(address(501,10))+indirect(address(499,11))-indirect(address(500,11))</f>
        <v>0</v>
      </c>
      <c r="L501">
        <f>indirect(address(501,11))+indirect(address(499,12))-indirect(address(500,12))</f>
        <v>0</v>
      </c>
      <c r="M501">
        <f>indirect(address(501,12))+indirect(address(499,13))-indirect(address(500,13))</f>
        <v>0</v>
      </c>
      <c r="N501">
        <f>indirect(address(501,13))+indirect(address(499,14))-indirect(address(500,14))</f>
        <v>0</v>
      </c>
      <c r="O501">
        <f>indirect(address(501,14))+indirect(address(499,15))-indirect(address(500,15))</f>
        <v>0</v>
      </c>
      <c r="P501">
        <f>indirect(address(501,15))+indirect(address(499,16))-indirect(address(500,16))</f>
        <v>0</v>
      </c>
      <c r="Q501">
        <f>indirect(address(501,16))+indirect(address(499,17))-indirect(address(500,17))</f>
        <v>0</v>
      </c>
      <c r="R501">
        <f>indirect(address(501,17))+indirect(address(499,18))-indirect(address(500,18))</f>
        <v>0</v>
      </c>
      <c r="S501">
        <f>indirect(address(501,18))+indirect(address(499,19))-indirect(address(500,19))</f>
        <v>0</v>
      </c>
      <c r="T501">
        <f>indirect(address(501,19))+indirect(address(499,20))-indirect(address(500,20))</f>
        <v>0</v>
      </c>
      <c r="U501">
        <f>indirect(address(501,20))+indirect(address(499,21))-indirect(address(500,21))</f>
        <v>0</v>
      </c>
      <c r="V501">
        <f>indirect(address(501,21))+indirect(address(499,22))-indirect(address(500,22))</f>
        <v>0</v>
      </c>
      <c r="W501">
        <f>indirect(address(501,22))+indirect(address(499,23))-indirect(address(500,23))</f>
        <v>0</v>
      </c>
      <c r="X501">
        <f>indirect(address(501,23))+indirect(address(499,24))-indirect(address(500,24))</f>
        <v>0</v>
      </c>
      <c r="Y501">
        <f>indirect(address(501,24))+indirect(address(499,25))-indirect(address(500,25))</f>
        <v>0</v>
      </c>
      <c r="Z501">
        <f>indirect(address(501,25))+indirect(address(499,26))-indirect(address(500,26))</f>
        <v>0</v>
      </c>
      <c r="AA501">
        <f>indirect(address(501,26))+indirect(address(499,27))-indirect(address(500,27))</f>
        <v>0</v>
      </c>
      <c r="AB501">
        <f>indirect(address(501,27))+indirect(address(499,28))-indirect(address(500,28))</f>
        <v>0</v>
      </c>
      <c r="AC501">
        <f>indirect(address(501,28))+indirect(address(499,29))-indirect(address(500,29))</f>
        <v>0</v>
      </c>
      <c r="AD501">
        <f>indirect(address(501,29))+indirect(address(499,30))-indirect(address(500,30))</f>
        <v>0</v>
      </c>
      <c r="AE501">
        <f>indirect(address(501,30))+indirect(address(499,31))-indirect(address(500,31))</f>
        <v>0</v>
      </c>
      <c r="AF501">
        <f>indirect(address(501,31))+indirect(address(499,32))-indirect(address(500,32))</f>
        <v>0</v>
      </c>
      <c r="AG501">
        <f>indirect(address(501,32))+indirect(address(499,33))-indirect(address(500,33))</f>
        <v>0</v>
      </c>
      <c r="AH501">
        <f>indirect(address(501,33))+indirect(address(499,34))-indirect(address(500,34))</f>
        <v>0</v>
      </c>
      <c r="AI501">
        <f>indirect(address(501,34))+indirect(address(499,35))-indirect(address(500,35))</f>
        <v>0</v>
      </c>
      <c r="AJ501">
        <f>indirect(address(501,35))+indirect(address(499,36))-indirect(address(500,36))</f>
        <v>0</v>
      </c>
      <c r="AK501">
        <f>indirect(address(501,36))+indirect(address(499,37))-indirect(address(500,37))</f>
        <v>0</v>
      </c>
      <c r="AL501">
        <f>indirect(address(501,37))+indirect(address(499,38))-indirect(address(500,38))</f>
        <v>0</v>
      </c>
      <c r="AM501">
        <f>indirect(address(501,38))+indirect(address(499,39))-indirect(address(500,39))</f>
        <v>0</v>
      </c>
      <c r="AN501">
        <f>indirect(address(501,39))+indirect(address(499,40))-indirect(address(500,40))</f>
        <v>0</v>
      </c>
      <c r="AO501">
        <f>indirect(address(501,40))+indirect(address(499,41))-indirect(address(500,41))</f>
        <v>0</v>
      </c>
    </row>
    <row r="502" spans="1:41">
      <c r="I502" t="s">
        <v>14</v>
      </c>
      <c r="AO502">
        <f>sum(j502:an502)</f>
        <v>0</v>
      </c>
    </row>
    <row r="503" spans="1:41">
      <c r="I503" t="s">
        <v>15</v>
      </c>
      <c r="J503">
        <f>sumif(Plan!B:B,"924-025056-400",Plan!j:j)</f>
        <v>0</v>
      </c>
      <c r="K503">
        <f>sumif(Plan!B:B,"924-025056-400",Plan!k:k)</f>
        <v>0</v>
      </c>
      <c r="L503">
        <f>sumif(Plan!B:B,"924-025056-400",Plan!l:l)</f>
        <v>0</v>
      </c>
      <c r="M503">
        <f>sumif(Plan!B:B,"924-025056-400",Plan!m:m)</f>
        <v>0</v>
      </c>
      <c r="N503">
        <f>sumif(Plan!B:B,"924-025056-400",Plan!n:n)</f>
        <v>0</v>
      </c>
      <c r="O503">
        <f>sumif(Plan!B:B,"924-025056-400",Plan!o:o)</f>
        <v>0</v>
      </c>
      <c r="P503">
        <f>sumif(Plan!B:B,"924-025056-400",Plan!p:p)</f>
        <v>0</v>
      </c>
      <c r="Q503">
        <f>sumif(Plan!B:B,"924-025056-400",Plan!q:q)</f>
        <v>0</v>
      </c>
      <c r="R503">
        <f>sumif(Plan!B:B,"924-025056-400",Plan!r:r)</f>
        <v>0</v>
      </c>
      <c r="S503">
        <f>sumif(Plan!B:B,"924-025056-400",Plan!s:s)</f>
        <v>0</v>
      </c>
      <c r="T503">
        <f>sumif(Plan!B:B,"924-025056-400",Plan!t:t)</f>
        <v>0</v>
      </c>
      <c r="U503">
        <f>sumif(Plan!B:B,"924-025056-400",Plan!u:u)</f>
        <v>0</v>
      </c>
      <c r="V503">
        <f>sumif(Plan!B:B,"924-025056-400",Plan!v:v)</f>
        <v>0</v>
      </c>
      <c r="W503">
        <f>sumif(Plan!B:B,"924-025056-400",Plan!w:w)</f>
        <v>0</v>
      </c>
      <c r="X503">
        <f>sumif(Plan!B:B,"924-025056-400",Plan!x:x)</f>
        <v>0</v>
      </c>
      <c r="Y503">
        <f>sumif(Plan!B:B,"924-025056-400",Plan!y:y)</f>
        <v>0</v>
      </c>
      <c r="Z503">
        <f>sumif(Plan!B:B,"924-025056-400",Plan!z:z)</f>
        <v>0</v>
      </c>
      <c r="AA503">
        <f>sumif(Plan!B:B,"924-025056-400",Plan!aa:aa)</f>
        <v>0</v>
      </c>
      <c r="AB503">
        <f>sumif(Plan!B:B,"924-025056-400",Plan!ab:ab)</f>
        <v>0</v>
      </c>
      <c r="AC503">
        <f>sumif(Plan!B:B,"924-025056-400",Plan!ac:ac)</f>
        <v>0</v>
      </c>
      <c r="AD503">
        <f>sumif(Plan!B:B,"924-025056-400",Plan!ad:ad)</f>
        <v>0</v>
      </c>
      <c r="AE503">
        <f>sumif(Plan!B:B,"924-025056-400",Plan!ae:ae)</f>
        <v>0</v>
      </c>
      <c r="AF503">
        <f>sumif(Plan!B:B,"924-025056-400",Plan!af:af)</f>
        <v>0</v>
      </c>
      <c r="AG503">
        <f>sumif(Plan!B:B,"924-025056-400",Plan!ag:ag)</f>
        <v>0</v>
      </c>
      <c r="AH503">
        <f>sumif(Plan!B:B,"924-025056-400",Plan!ah:ah)</f>
        <v>0</v>
      </c>
      <c r="AI503">
        <f>sumif(Plan!B:B,"924-025056-400",Plan!ai:ai)</f>
        <v>0</v>
      </c>
      <c r="AJ503">
        <f>sumif(Plan!B:B,"924-025056-400",Plan!aj:aj)</f>
        <v>0</v>
      </c>
      <c r="AK503">
        <f>sumif(Plan!B:B,"924-025056-400",Plan!ak:ak)</f>
        <v>0</v>
      </c>
      <c r="AL503">
        <f>sumif(Plan!B:B,"924-025056-400",Plan!al:al)</f>
        <v>0</v>
      </c>
      <c r="AM503">
        <f>sumif(Plan!B:B,"924-025056-400",Plan!am:am)</f>
        <v>0</v>
      </c>
      <c r="AN503">
        <f>sumif(Plan!B:B,"924-025056-400",Plan!an:an)</f>
        <v>0</v>
      </c>
      <c r="AO503">
        <f>sumif(Plan!B:B,"924-025056-400",Plan!ao:ao)</f>
        <v>0</v>
      </c>
    </row>
    <row r="504" spans="1:41">
      <c r="A504" t="s">
        <v>22</v>
      </c>
      <c r="B504" t="s">
        <v>308</v>
      </c>
      <c r="C504" t="s">
        <v>306</v>
      </c>
      <c r="E504">
        <v>1</v>
      </c>
      <c r="F504" t="s">
        <v>13</v>
      </c>
      <c r="H504" t="s">
        <v>16</v>
      </c>
      <c r="J504">
        <f>indirect(address(504,9))+indirect(address(502,10))-indirect(address(503,10))</f>
        <v>0</v>
      </c>
      <c r="K504">
        <f>indirect(address(504,10))+indirect(address(502,11))-indirect(address(503,11))</f>
        <v>0</v>
      </c>
      <c r="L504">
        <f>indirect(address(504,11))+indirect(address(502,12))-indirect(address(503,12))</f>
        <v>0</v>
      </c>
      <c r="M504">
        <f>indirect(address(504,12))+indirect(address(502,13))-indirect(address(503,13))</f>
        <v>0</v>
      </c>
      <c r="N504">
        <f>indirect(address(504,13))+indirect(address(502,14))-indirect(address(503,14))</f>
        <v>0</v>
      </c>
      <c r="O504">
        <f>indirect(address(504,14))+indirect(address(502,15))-indirect(address(503,15))</f>
        <v>0</v>
      </c>
      <c r="P504">
        <f>indirect(address(504,15))+indirect(address(502,16))-indirect(address(503,16))</f>
        <v>0</v>
      </c>
      <c r="Q504">
        <f>indirect(address(504,16))+indirect(address(502,17))-indirect(address(503,17))</f>
        <v>0</v>
      </c>
      <c r="R504">
        <f>indirect(address(504,17))+indirect(address(502,18))-indirect(address(503,18))</f>
        <v>0</v>
      </c>
      <c r="S504">
        <f>indirect(address(504,18))+indirect(address(502,19))-indirect(address(503,19))</f>
        <v>0</v>
      </c>
      <c r="T504">
        <f>indirect(address(504,19))+indirect(address(502,20))-indirect(address(503,20))</f>
        <v>0</v>
      </c>
      <c r="U504">
        <f>indirect(address(504,20))+indirect(address(502,21))-indirect(address(503,21))</f>
        <v>0</v>
      </c>
      <c r="V504">
        <f>indirect(address(504,21))+indirect(address(502,22))-indirect(address(503,22))</f>
        <v>0</v>
      </c>
      <c r="W504">
        <f>indirect(address(504,22))+indirect(address(502,23))-indirect(address(503,23))</f>
        <v>0</v>
      </c>
      <c r="X504">
        <f>indirect(address(504,23))+indirect(address(502,24))-indirect(address(503,24))</f>
        <v>0</v>
      </c>
      <c r="Y504">
        <f>indirect(address(504,24))+indirect(address(502,25))-indirect(address(503,25))</f>
        <v>0</v>
      </c>
      <c r="Z504">
        <f>indirect(address(504,25))+indirect(address(502,26))-indirect(address(503,26))</f>
        <v>0</v>
      </c>
      <c r="AA504">
        <f>indirect(address(504,26))+indirect(address(502,27))-indirect(address(503,27))</f>
        <v>0</v>
      </c>
      <c r="AB504">
        <f>indirect(address(504,27))+indirect(address(502,28))-indirect(address(503,28))</f>
        <v>0</v>
      </c>
      <c r="AC504">
        <f>indirect(address(504,28))+indirect(address(502,29))-indirect(address(503,29))</f>
        <v>0</v>
      </c>
      <c r="AD504">
        <f>indirect(address(504,29))+indirect(address(502,30))-indirect(address(503,30))</f>
        <v>0</v>
      </c>
      <c r="AE504">
        <f>indirect(address(504,30))+indirect(address(502,31))-indirect(address(503,31))</f>
        <v>0</v>
      </c>
      <c r="AF504">
        <f>indirect(address(504,31))+indirect(address(502,32))-indirect(address(503,32))</f>
        <v>0</v>
      </c>
      <c r="AG504">
        <f>indirect(address(504,32))+indirect(address(502,33))-indirect(address(503,33))</f>
        <v>0</v>
      </c>
      <c r="AH504">
        <f>indirect(address(504,33))+indirect(address(502,34))-indirect(address(503,34))</f>
        <v>0</v>
      </c>
      <c r="AI504">
        <f>indirect(address(504,34))+indirect(address(502,35))-indirect(address(503,35))</f>
        <v>0</v>
      </c>
      <c r="AJ504">
        <f>indirect(address(504,35))+indirect(address(502,36))-indirect(address(503,36))</f>
        <v>0</v>
      </c>
      <c r="AK504">
        <f>indirect(address(504,36))+indirect(address(502,37))-indirect(address(503,37))</f>
        <v>0</v>
      </c>
      <c r="AL504">
        <f>indirect(address(504,37))+indirect(address(502,38))-indirect(address(503,38))</f>
        <v>0</v>
      </c>
      <c r="AM504">
        <f>indirect(address(504,38))+indirect(address(502,39))-indirect(address(503,39))</f>
        <v>0</v>
      </c>
      <c r="AN504">
        <f>indirect(address(504,39))+indirect(address(502,40))-indirect(address(503,40))</f>
        <v>0</v>
      </c>
      <c r="AO504">
        <f>indirect(address(504,40))+indirect(address(502,41))-indirect(address(503,41))</f>
        <v>0</v>
      </c>
    </row>
    <row r="505" spans="1:41">
      <c r="I505" t="s">
        <v>14</v>
      </c>
      <c r="AO505">
        <f>sum(j505:an505)</f>
        <v>0</v>
      </c>
    </row>
    <row r="506" spans="1:41">
      <c r="I506" t="s">
        <v>15</v>
      </c>
      <c r="J506">
        <f>sumif(Plan!B:B,"924-025056-400",Plan!j:j)</f>
        <v>0</v>
      </c>
      <c r="K506">
        <f>sumif(Plan!B:B,"924-025056-400",Plan!k:k)</f>
        <v>0</v>
      </c>
      <c r="L506">
        <f>sumif(Plan!B:B,"924-025056-400",Plan!l:l)</f>
        <v>0</v>
      </c>
      <c r="M506">
        <f>sumif(Plan!B:B,"924-025056-400",Plan!m:m)</f>
        <v>0</v>
      </c>
      <c r="N506">
        <f>sumif(Plan!B:B,"924-025056-400",Plan!n:n)</f>
        <v>0</v>
      </c>
      <c r="O506">
        <f>sumif(Plan!B:B,"924-025056-400",Plan!o:o)</f>
        <v>0</v>
      </c>
      <c r="P506">
        <f>sumif(Plan!B:B,"924-025056-400",Plan!p:p)</f>
        <v>0</v>
      </c>
      <c r="Q506">
        <f>sumif(Plan!B:B,"924-025056-400",Plan!q:q)</f>
        <v>0</v>
      </c>
      <c r="R506">
        <f>sumif(Plan!B:B,"924-025056-400",Plan!r:r)</f>
        <v>0</v>
      </c>
      <c r="S506">
        <f>sumif(Plan!B:B,"924-025056-400",Plan!s:s)</f>
        <v>0</v>
      </c>
      <c r="T506">
        <f>sumif(Plan!B:B,"924-025056-400",Plan!t:t)</f>
        <v>0</v>
      </c>
      <c r="U506">
        <f>sumif(Plan!B:B,"924-025056-400",Plan!u:u)</f>
        <v>0</v>
      </c>
      <c r="V506">
        <f>sumif(Plan!B:B,"924-025056-400",Plan!v:v)</f>
        <v>0</v>
      </c>
      <c r="W506">
        <f>sumif(Plan!B:B,"924-025056-400",Plan!w:w)</f>
        <v>0</v>
      </c>
      <c r="X506">
        <f>sumif(Plan!B:B,"924-025056-400",Plan!x:x)</f>
        <v>0</v>
      </c>
      <c r="Y506">
        <f>sumif(Plan!B:B,"924-025056-400",Plan!y:y)</f>
        <v>0</v>
      </c>
      <c r="Z506">
        <f>sumif(Plan!B:B,"924-025056-400",Plan!z:z)</f>
        <v>0</v>
      </c>
      <c r="AA506">
        <f>sumif(Plan!B:B,"924-025056-400",Plan!aa:aa)</f>
        <v>0</v>
      </c>
      <c r="AB506">
        <f>sumif(Plan!B:B,"924-025056-400",Plan!ab:ab)</f>
        <v>0</v>
      </c>
      <c r="AC506">
        <f>sumif(Plan!B:B,"924-025056-400",Plan!ac:ac)</f>
        <v>0</v>
      </c>
      <c r="AD506">
        <f>sumif(Plan!B:B,"924-025056-400",Plan!ad:ad)</f>
        <v>0</v>
      </c>
      <c r="AE506">
        <f>sumif(Plan!B:B,"924-025056-400",Plan!ae:ae)</f>
        <v>0</v>
      </c>
      <c r="AF506">
        <f>sumif(Plan!B:B,"924-025056-400",Plan!af:af)</f>
        <v>0</v>
      </c>
      <c r="AG506">
        <f>sumif(Plan!B:B,"924-025056-400",Plan!ag:ag)</f>
        <v>0</v>
      </c>
      <c r="AH506">
        <f>sumif(Plan!B:B,"924-025056-400",Plan!ah:ah)</f>
        <v>0</v>
      </c>
      <c r="AI506">
        <f>sumif(Plan!B:B,"924-025056-400",Plan!ai:ai)</f>
        <v>0</v>
      </c>
      <c r="AJ506">
        <f>sumif(Plan!B:B,"924-025056-400",Plan!aj:aj)</f>
        <v>0</v>
      </c>
      <c r="AK506">
        <f>sumif(Plan!B:B,"924-025056-400",Plan!ak:ak)</f>
        <v>0</v>
      </c>
      <c r="AL506">
        <f>sumif(Plan!B:B,"924-025056-400",Plan!al:al)</f>
        <v>0</v>
      </c>
      <c r="AM506">
        <f>sumif(Plan!B:B,"924-025056-400",Plan!am:am)</f>
        <v>0</v>
      </c>
      <c r="AN506">
        <f>sumif(Plan!B:B,"924-025056-400",Plan!an:an)</f>
        <v>0</v>
      </c>
      <c r="AO506">
        <f>sumif(Plan!B:B,"924-025056-400",Plan!ao:ao)</f>
        <v>0</v>
      </c>
    </row>
    <row r="507" spans="1:41">
      <c r="A507" t="s">
        <v>78</v>
      </c>
      <c r="B507" t="s">
        <v>308</v>
      </c>
      <c r="C507" t="s">
        <v>300</v>
      </c>
      <c r="E507">
        <v>0.05</v>
      </c>
      <c r="F507" t="s">
        <v>13</v>
      </c>
      <c r="H507" t="s">
        <v>16</v>
      </c>
      <c r="J507">
        <f>indirect(address(507,9))+indirect(address(505,10))-indirect(address(506,10))</f>
        <v>0</v>
      </c>
      <c r="K507">
        <f>indirect(address(507,10))+indirect(address(505,11))-indirect(address(506,11))</f>
        <v>0</v>
      </c>
      <c r="L507">
        <f>indirect(address(507,11))+indirect(address(505,12))-indirect(address(506,12))</f>
        <v>0</v>
      </c>
      <c r="M507">
        <f>indirect(address(507,12))+indirect(address(505,13))-indirect(address(506,13))</f>
        <v>0</v>
      </c>
      <c r="N507">
        <f>indirect(address(507,13))+indirect(address(505,14))-indirect(address(506,14))</f>
        <v>0</v>
      </c>
      <c r="O507">
        <f>indirect(address(507,14))+indirect(address(505,15))-indirect(address(506,15))</f>
        <v>0</v>
      </c>
      <c r="P507">
        <f>indirect(address(507,15))+indirect(address(505,16))-indirect(address(506,16))</f>
        <v>0</v>
      </c>
      <c r="Q507">
        <f>indirect(address(507,16))+indirect(address(505,17))-indirect(address(506,17))</f>
        <v>0</v>
      </c>
      <c r="R507">
        <f>indirect(address(507,17))+indirect(address(505,18))-indirect(address(506,18))</f>
        <v>0</v>
      </c>
      <c r="S507">
        <f>indirect(address(507,18))+indirect(address(505,19))-indirect(address(506,19))</f>
        <v>0</v>
      </c>
      <c r="T507">
        <f>indirect(address(507,19))+indirect(address(505,20))-indirect(address(506,20))</f>
        <v>0</v>
      </c>
      <c r="U507">
        <f>indirect(address(507,20))+indirect(address(505,21))-indirect(address(506,21))</f>
        <v>0</v>
      </c>
      <c r="V507">
        <f>indirect(address(507,21))+indirect(address(505,22))-indirect(address(506,22))</f>
        <v>0</v>
      </c>
      <c r="W507">
        <f>indirect(address(507,22))+indirect(address(505,23))-indirect(address(506,23))</f>
        <v>0</v>
      </c>
      <c r="X507">
        <f>indirect(address(507,23))+indirect(address(505,24))-indirect(address(506,24))</f>
        <v>0</v>
      </c>
      <c r="Y507">
        <f>indirect(address(507,24))+indirect(address(505,25))-indirect(address(506,25))</f>
        <v>0</v>
      </c>
      <c r="Z507">
        <f>indirect(address(507,25))+indirect(address(505,26))-indirect(address(506,26))</f>
        <v>0</v>
      </c>
      <c r="AA507">
        <f>indirect(address(507,26))+indirect(address(505,27))-indirect(address(506,27))</f>
        <v>0</v>
      </c>
      <c r="AB507">
        <f>indirect(address(507,27))+indirect(address(505,28))-indirect(address(506,28))</f>
        <v>0</v>
      </c>
      <c r="AC507">
        <f>indirect(address(507,28))+indirect(address(505,29))-indirect(address(506,29))</f>
        <v>0</v>
      </c>
      <c r="AD507">
        <f>indirect(address(507,29))+indirect(address(505,30))-indirect(address(506,30))</f>
        <v>0</v>
      </c>
      <c r="AE507">
        <f>indirect(address(507,30))+indirect(address(505,31))-indirect(address(506,31))</f>
        <v>0</v>
      </c>
      <c r="AF507">
        <f>indirect(address(507,31))+indirect(address(505,32))-indirect(address(506,32))</f>
        <v>0</v>
      </c>
      <c r="AG507">
        <f>indirect(address(507,32))+indirect(address(505,33))-indirect(address(506,33))</f>
        <v>0</v>
      </c>
      <c r="AH507">
        <f>indirect(address(507,33))+indirect(address(505,34))-indirect(address(506,34))</f>
        <v>0</v>
      </c>
      <c r="AI507">
        <f>indirect(address(507,34))+indirect(address(505,35))-indirect(address(506,35))</f>
        <v>0</v>
      </c>
      <c r="AJ507">
        <f>indirect(address(507,35))+indirect(address(505,36))-indirect(address(506,36))</f>
        <v>0</v>
      </c>
      <c r="AK507">
        <f>indirect(address(507,36))+indirect(address(505,37))-indirect(address(506,37))</f>
        <v>0</v>
      </c>
      <c r="AL507">
        <f>indirect(address(507,37))+indirect(address(505,38))-indirect(address(506,38))</f>
        <v>0</v>
      </c>
      <c r="AM507">
        <f>indirect(address(507,38))+indirect(address(505,39))-indirect(address(506,39))</f>
        <v>0</v>
      </c>
      <c r="AN507">
        <f>indirect(address(507,39))+indirect(address(505,40))-indirect(address(506,40))</f>
        <v>0</v>
      </c>
      <c r="AO507">
        <f>indirect(address(507,40))+indirect(address(505,41))-indirect(address(506,41))</f>
        <v>0</v>
      </c>
    </row>
    <row r="508" spans="1:41">
      <c r="I508" t="s">
        <v>14</v>
      </c>
      <c r="AO508">
        <f>sum(j508:an508)</f>
        <v>0</v>
      </c>
    </row>
    <row r="509" spans="1:41">
      <c r="I509" t="s">
        <v>15</v>
      </c>
      <c r="J509">
        <f>sumif(Plan!B:B,"924-025056-400",Plan!j:j)</f>
        <v>0</v>
      </c>
      <c r="K509">
        <f>sumif(Plan!B:B,"924-025056-400",Plan!k:k)</f>
        <v>0</v>
      </c>
      <c r="L509">
        <f>sumif(Plan!B:B,"924-025056-400",Plan!l:l)</f>
        <v>0</v>
      </c>
      <c r="M509">
        <f>sumif(Plan!B:B,"924-025056-400",Plan!m:m)</f>
        <v>0</v>
      </c>
      <c r="N509">
        <f>sumif(Plan!B:B,"924-025056-400",Plan!n:n)</f>
        <v>0</v>
      </c>
      <c r="O509">
        <f>sumif(Plan!B:B,"924-025056-400",Plan!o:o)</f>
        <v>0</v>
      </c>
      <c r="P509">
        <f>sumif(Plan!B:B,"924-025056-400",Plan!p:p)</f>
        <v>0</v>
      </c>
      <c r="Q509">
        <f>sumif(Plan!B:B,"924-025056-400",Plan!q:q)</f>
        <v>0</v>
      </c>
      <c r="R509">
        <f>sumif(Plan!B:B,"924-025056-400",Plan!r:r)</f>
        <v>0</v>
      </c>
      <c r="S509">
        <f>sumif(Plan!B:B,"924-025056-400",Plan!s:s)</f>
        <v>0</v>
      </c>
      <c r="T509">
        <f>sumif(Plan!B:B,"924-025056-400",Plan!t:t)</f>
        <v>0</v>
      </c>
      <c r="U509">
        <f>sumif(Plan!B:B,"924-025056-400",Plan!u:u)</f>
        <v>0</v>
      </c>
      <c r="V509">
        <f>sumif(Plan!B:B,"924-025056-400",Plan!v:v)</f>
        <v>0</v>
      </c>
      <c r="W509">
        <f>sumif(Plan!B:B,"924-025056-400",Plan!w:w)</f>
        <v>0</v>
      </c>
      <c r="X509">
        <f>sumif(Plan!B:B,"924-025056-400",Plan!x:x)</f>
        <v>0</v>
      </c>
      <c r="Y509">
        <f>sumif(Plan!B:B,"924-025056-400",Plan!y:y)</f>
        <v>0</v>
      </c>
      <c r="Z509">
        <f>sumif(Plan!B:B,"924-025056-400",Plan!z:z)</f>
        <v>0</v>
      </c>
      <c r="AA509">
        <f>sumif(Plan!B:B,"924-025056-400",Plan!aa:aa)</f>
        <v>0</v>
      </c>
      <c r="AB509">
        <f>sumif(Plan!B:B,"924-025056-400",Plan!ab:ab)</f>
        <v>0</v>
      </c>
      <c r="AC509">
        <f>sumif(Plan!B:B,"924-025056-400",Plan!ac:ac)</f>
        <v>0</v>
      </c>
      <c r="AD509">
        <f>sumif(Plan!B:B,"924-025056-400",Plan!ad:ad)</f>
        <v>0</v>
      </c>
      <c r="AE509">
        <f>sumif(Plan!B:B,"924-025056-400",Plan!ae:ae)</f>
        <v>0</v>
      </c>
      <c r="AF509">
        <f>sumif(Plan!B:B,"924-025056-400",Plan!af:af)</f>
        <v>0</v>
      </c>
      <c r="AG509">
        <f>sumif(Plan!B:B,"924-025056-400",Plan!ag:ag)</f>
        <v>0</v>
      </c>
      <c r="AH509">
        <f>sumif(Plan!B:B,"924-025056-400",Plan!ah:ah)</f>
        <v>0</v>
      </c>
      <c r="AI509">
        <f>sumif(Plan!B:B,"924-025056-400",Plan!ai:ai)</f>
        <v>0</v>
      </c>
      <c r="AJ509">
        <f>sumif(Plan!B:B,"924-025056-400",Plan!aj:aj)</f>
        <v>0</v>
      </c>
      <c r="AK509">
        <f>sumif(Plan!B:B,"924-025056-400",Plan!ak:ak)</f>
        <v>0</v>
      </c>
      <c r="AL509">
        <f>sumif(Plan!B:B,"924-025056-400",Plan!al:al)</f>
        <v>0</v>
      </c>
      <c r="AM509">
        <f>sumif(Plan!B:B,"924-025056-400",Plan!am:am)</f>
        <v>0</v>
      </c>
      <c r="AN509">
        <f>sumif(Plan!B:B,"924-025056-400",Plan!an:an)</f>
        <v>0</v>
      </c>
      <c r="AO509">
        <f>sumif(Plan!B:B,"924-025056-400",Plan!ao:ao)</f>
        <v>0</v>
      </c>
    </row>
    <row r="510" spans="1:41">
      <c r="A510" t="s">
        <v>43</v>
      </c>
      <c r="B510" t="s">
        <v>308</v>
      </c>
      <c r="C510" t="s">
        <v>310</v>
      </c>
      <c r="E510">
        <v>0.05</v>
      </c>
      <c r="F510" t="s">
        <v>13</v>
      </c>
      <c r="H510" t="s">
        <v>16</v>
      </c>
      <c r="J510">
        <f>indirect(address(510,9))+indirect(address(508,10))-indirect(address(509,10))</f>
        <v>0</v>
      </c>
      <c r="K510">
        <f>indirect(address(510,10))+indirect(address(508,11))-indirect(address(509,11))</f>
        <v>0</v>
      </c>
      <c r="L510">
        <f>indirect(address(510,11))+indirect(address(508,12))-indirect(address(509,12))</f>
        <v>0</v>
      </c>
      <c r="M510">
        <f>indirect(address(510,12))+indirect(address(508,13))-indirect(address(509,13))</f>
        <v>0</v>
      </c>
      <c r="N510">
        <f>indirect(address(510,13))+indirect(address(508,14))-indirect(address(509,14))</f>
        <v>0</v>
      </c>
      <c r="O510">
        <f>indirect(address(510,14))+indirect(address(508,15))-indirect(address(509,15))</f>
        <v>0</v>
      </c>
      <c r="P510">
        <f>indirect(address(510,15))+indirect(address(508,16))-indirect(address(509,16))</f>
        <v>0</v>
      </c>
      <c r="Q510">
        <f>indirect(address(510,16))+indirect(address(508,17))-indirect(address(509,17))</f>
        <v>0</v>
      </c>
      <c r="R510">
        <f>indirect(address(510,17))+indirect(address(508,18))-indirect(address(509,18))</f>
        <v>0</v>
      </c>
      <c r="S510">
        <f>indirect(address(510,18))+indirect(address(508,19))-indirect(address(509,19))</f>
        <v>0</v>
      </c>
      <c r="T510">
        <f>indirect(address(510,19))+indirect(address(508,20))-indirect(address(509,20))</f>
        <v>0</v>
      </c>
      <c r="U510">
        <f>indirect(address(510,20))+indirect(address(508,21))-indirect(address(509,21))</f>
        <v>0</v>
      </c>
      <c r="V510">
        <f>indirect(address(510,21))+indirect(address(508,22))-indirect(address(509,22))</f>
        <v>0</v>
      </c>
      <c r="W510">
        <f>indirect(address(510,22))+indirect(address(508,23))-indirect(address(509,23))</f>
        <v>0</v>
      </c>
      <c r="X510">
        <f>indirect(address(510,23))+indirect(address(508,24))-indirect(address(509,24))</f>
        <v>0</v>
      </c>
      <c r="Y510">
        <f>indirect(address(510,24))+indirect(address(508,25))-indirect(address(509,25))</f>
        <v>0</v>
      </c>
      <c r="Z510">
        <f>indirect(address(510,25))+indirect(address(508,26))-indirect(address(509,26))</f>
        <v>0</v>
      </c>
      <c r="AA510">
        <f>indirect(address(510,26))+indirect(address(508,27))-indirect(address(509,27))</f>
        <v>0</v>
      </c>
      <c r="AB510">
        <f>indirect(address(510,27))+indirect(address(508,28))-indirect(address(509,28))</f>
        <v>0</v>
      </c>
      <c r="AC510">
        <f>indirect(address(510,28))+indirect(address(508,29))-indirect(address(509,29))</f>
        <v>0</v>
      </c>
      <c r="AD510">
        <f>indirect(address(510,29))+indirect(address(508,30))-indirect(address(509,30))</f>
        <v>0</v>
      </c>
      <c r="AE510">
        <f>indirect(address(510,30))+indirect(address(508,31))-indirect(address(509,31))</f>
        <v>0</v>
      </c>
      <c r="AF510">
        <f>indirect(address(510,31))+indirect(address(508,32))-indirect(address(509,32))</f>
        <v>0</v>
      </c>
      <c r="AG510">
        <f>indirect(address(510,32))+indirect(address(508,33))-indirect(address(509,33))</f>
        <v>0</v>
      </c>
      <c r="AH510">
        <f>indirect(address(510,33))+indirect(address(508,34))-indirect(address(509,34))</f>
        <v>0</v>
      </c>
      <c r="AI510">
        <f>indirect(address(510,34))+indirect(address(508,35))-indirect(address(509,35))</f>
        <v>0</v>
      </c>
      <c r="AJ510">
        <f>indirect(address(510,35))+indirect(address(508,36))-indirect(address(509,36))</f>
        <v>0</v>
      </c>
      <c r="AK510">
        <f>indirect(address(510,36))+indirect(address(508,37))-indirect(address(509,37))</f>
        <v>0</v>
      </c>
      <c r="AL510">
        <f>indirect(address(510,37))+indirect(address(508,38))-indirect(address(509,38))</f>
        <v>0</v>
      </c>
      <c r="AM510">
        <f>indirect(address(510,38))+indirect(address(508,39))-indirect(address(509,39))</f>
        <v>0</v>
      </c>
      <c r="AN510">
        <f>indirect(address(510,39))+indirect(address(508,40))-indirect(address(509,40))</f>
        <v>0</v>
      </c>
      <c r="AO510">
        <f>indirect(address(510,40))+indirect(address(508,41))-indirect(address(509,41))</f>
        <v>0</v>
      </c>
    </row>
    <row r="511" spans="1:41">
      <c r="I511" t="s">
        <v>14</v>
      </c>
      <c r="AO511">
        <f>sum(j511:an511)</f>
        <v>0</v>
      </c>
    </row>
    <row r="512" spans="1:41">
      <c r="I512" t="s">
        <v>15</v>
      </c>
      <c r="J512">
        <f>sumif(Plan!B:B,"834-012000-200",Plan!j:j)</f>
        <v>0</v>
      </c>
      <c r="K512">
        <f>sumif(Plan!B:B,"834-012000-200",Plan!k:k)</f>
        <v>0</v>
      </c>
      <c r="L512">
        <f>sumif(Plan!B:B,"834-012000-200",Plan!l:l)</f>
        <v>0</v>
      </c>
      <c r="M512">
        <f>sumif(Plan!B:B,"834-012000-200",Plan!m:m)</f>
        <v>0</v>
      </c>
      <c r="N512">
        <f>sumif(Plan!B:B,"834-012000-200",Plan!n:n)</f>
        <v>0</v>
      </c>
      <c r="O512">
        <f>sumif(Plan!B:B,"834-012000-200",Plan!o:o)</f>
        <v>0</v>
      </c>
      <c r="P512">
        <f>sumif(Plan!B:B,"834-012000-200",Plan!p:p)</f>
        <v>0</v>
      </c>
      <c r="Q512">
        <f>sumif(Plan!B:B,"834-012000-200",Plan!q:q)</f>
        <v>0</v>
      </c>
      <c r="R512">
        <f>sumif(Plan!B:B,"834-012000-200",Plan!r:r)</f>
        <v>0</v>
      </c>
      <c r="S512">
        <f>sumif(Plan!B:B,"834-012000-200",Plan!s:s)</f>
        <v>0</v>
      </c>
      <c r="T512">
        <f>sumif(Plan!B:B,"834-012000-200",Plan!t:t)</f>
        <v>0</v>
      </c>
      <c r="U512">
        <f>sumif(Plan!B:B,"834-012000-200",Plan!u:u)</f>
        <v>0</v>
      </c>
      <c r="V512">
        <f>sumif(Plan!B:B,"834-012000-200",Plan!v:v)</f>
        <v>0</v>
      </c>
      <c r="W512">
        <f>sumif(Plan!B:B,"834-012000-200",Plan!w:w)</f>
        <v>0</v>
      </c>
      <c r="X512">
        <f>sumif(Plan!B:B,"834-012000-200",Plan!x:x)</f>
        <v>0</v>
      </c>
      <c r="Y512">
        <f>sumif(Plan!B:B,"834-012000-200",Plan!y:y)</f>
        <v>0</v>
      </c>
      <c r="Z512">
        <f>sumif(Plan!B:B,"834-012000-200",Plan!z:z)</f>
        <v>0</v>
      </c>
      <c r="AA512">
        <f>sumif(Plan!B:B,"834-012000-200",Plan!aa:aa)</f>
        <v>0</v>
      </c>
      <c r="AB512">
        <f>sumif(Plan!B:B,"834-012000-200",Plan!ab:ab)</f>
        <v>0</v>
      </c>
      <c r="AC512">
        <f>sumif(Plan!B:B,"834-012000-200",Plan!ac:ac)</f>
        <v>0</v>
      </c>
      <c r="AD512">
        <f>sumif(Plan!B:B,"834-012000-200",Plan!ad:ad)</f>
        <v>0</v>
      </c>
      <c r="AE512">
        <f>sumif(Plan!B:B,"834-012000-200",Plan!ae:ae)</f>
        <v>0</v>
      </c>
      <c r="AF512">
        <f>sumif(Plan!B:B,"834-012000-200",Plan!af:af)</f>
        <v>0</v>
      </c>
      <c r="AG512">
        <f>sumif(Plan!B:B,"834-012000-200",Plan!ag:ag)</f>
        <v>0</v>
      </c>
      <c r="AH512">
        <f>sumif(Plan!B:B,"834-012000-200",Plan!ah:ah)</f>
        <v>0</v>
      </c>
      <c r="AI512">
        <f>sumif(Plan!B:B,"834-012000-200",Plan!ai:ai)</f>
        <v>0</v>
      </c>
      <c r="AJ512">
        <f>sumif(Plan!B:B,"834-012000-200",Plan!aj:aj)</f>
        <v>0</v>
      </c>
      <c r="AK512">
        <f>sumif(Plan!B:B,"834-012000-200",Plan!ak:ak)</f>
        <v>0</v>
      </c>
      <c r="AL512">
        <f>sumif(Plan!B:B,"834-012000-200",Plan!al:al)</f>
        <v>0</v>
      </c>
      <c r="AM512">
        <f>sumif(Plan!B:B,"834-012000-200",Plan!am:am)</f>
        <v>0</v>
      </c>
      <c r="AN512">
        <f>sumif(Plan!B:B,"834-012000-200",Plan!an:an)</f>
        <v>0</v>
      </c>
      <c r="AO512">
        <f>sumif(Plan!B:B,"834-012000-200",Plan!ao:ao)</f>
        <v>0</v>
      </c>
    </row>
    <row r="513" spans="1:41">
      <c r="A513" t="s">
        <v>17</v>
      </c>
      <c r="B513" t="s">
        <v>318</v>
      </c>
      <c r="C513" t="s">
        <v>319</v>
      </c>
      <c r="E513">
        <v>1</v>
      </c>
      <c r="F513" t="s">
        <v>13</v>
      </c>
      <c r="H513" t="s">
        <v>16</v>
      </c>
      <c r="J513">
        <f>indirect(address(513,9))+indirect(address(511,10))-indirect(address(512,10))</f>
        <v>0</v>
      </c>
      <c r="K513">
        <f>indirect(address(513,10))+indirect(address(511,11))-indirect(address(512,11))</f>
        <v>0</v>
      </c>
      <c r="L513">
        <f>indirect(address(513,11))+indirect(address(511,12))-indirect(address(512,12))</f>
        <v>0</v>
      </c>
      <c r="M513">
        <f>indirect(address(513,12))+indirect(address(511,13))-indirect(address(512,13))</f>
        <v>0</v>
      </c>
      <c r="N513">
        <f>indirect(address(513,13))+indirect(address(511,14))-indirect(address(512,14))</f>
        <v>0</v>
      </c>
      <c r="O513">
        <f>indirect(address(513,14))+indirect(address(511,15))-indirect(address(512,15))</f>
        <v>0</v>
      </c>
      <c r="P513">
        <f>indirect(address(513,15))+indirect(address(511,16))-indirect(address(512,16))</f>
        <v>0</v>
      </c>
      <c r="Q513">
        <f>indirect(address(513,16))+indirect(address(511,17))-indirect(address(512,17))</f>
        <v>0</v>
      </c>
      <c r="R513">
        <f>indirect(address(513,17))+indirect(address(511,18))-indirect(address(512,18))</f>
        <v>0</v>
      </c>
      <c r="S513">
        <f>indirect(address(513,18))+indirect(address(511,19))-indirect(address(512,19))</f>
        <v>0</v>
      </c>
      <c r="T513">
        <f>indirect(address(513,19))+indirect(address(511,20))-indirect(address(512,20))</f>
        <v>0</v>
      </c>
      <c r="U513">
        <f>indirect(address(513,20))+indirect(address(511,21))-indirect(address(512,21))</f>
        <v>0</v>
      </c>
      <c r="V513">
        <f>indirect(address(513,21))+indirect(address(511,22))-indirect(address(512,22))</f>
        <v>0</v>
      </c>
      <c r="W513">
        <f>indirect(address(513,22))+indirect(address(511,23))-indirect(address(512,23))</f>
        <v>0</v>
      </c>
      <c r="X513">
        <f>indirect(address(513,23))+indirect(address(511,24))-indirect(address(512,24))</f>
        <v>0</v>
      </c>
      <c r="Y513">
        <f>indirect(address(513,24))+indirect(address(511,25))-indirect(address(512,25))</f>
        <v>0</v>
      </c>
      <c r="Z513">
        <f>indirect(address(513,25))+indirect(address(511,26))-indirect(address(512,26))</f>
        <v>0</v>
      </c>
      <c r="AA513">
        <f>indirect(address(513,26))+indirect(address(511,27))-indirect(address(512,27))</f>
        <v>0</v>
      </c>
      <c r="AB513">
        <f>indirect(address(513,27))+indirect(address(511,28))-indirect(address(512,28))</f>
        <v>0</v>
      </c>
      <c r="AC513">
        <f>indirect(address(513,28))+indirect(address(511,29))-indirect(address(512,29))</f>
        <v>0</v>
      </c>
      <c r="AD513">
        <f>indirect(address(513,29))+indirect(address(511,30))-indirect(address(512,30))</f>
        <v>0</v>
      </c>
      <c r="AE513">
        <f>indirect(address(513,30))+indirect(address(511,31))-indirect(address(512,31))</f>
        <v>0</v>
      </c>
      <c r="AF513">
        <f>indirect(address(513,31))+indirect(address(511,32))-indirect(address(512,32))</f>
        <v>0</v>
      </c>
      <c r="AG513">
        <f>indirect(address(513,32))+indirect(address(511,33))-indirect(address(512,33))</f>
        <v>0</v>
      </c>
      <c r="AH513">
        <f>indirect(address(513,33))+indirect(address(511,34))-indirect(address(512,34))</f>
        <v>0</v>
      </c>
      <c r="AI513">
        <f>indirect(address(513,34))+indirect(address(511,35))-indirect(address(512,35))</f>
        <v>0</v>
      </c>
      <c r="AJ513">
        <f>indirect(address(513,35))+indirect(address(511,36))-indirect(address(512,36))</f>
        <v>0</v>
      </c>
      <c r="AK513">
        <f>indirect(address(513,36))+indirect(address(511,37))-indirect(address(512,37))</f>
        <v>0</v>
      </c>
      <c r="AL513">
        <f>indirect(address(513,37))+indirect(address(511,38))-indirect(address(512,38))</f>
        <v>0</v>
      </c>
      <c r="AM513">
        <f>indirect(address(513,38))+indirect(address(511,39))-indirect(address(512,39))</f>
        <v>0</v>
      </c>
      <c r="AN513">
        <f>indirect(address(513,39))+indirect(address(511,40))-indirect(address(512,40))</f>
        <v>0</v>
      </c>
      <c r="AO513">
        <f>indirect(address(513,40))+indirect(address(511,41))-indirect(address(512,41))</f>
        <v>0</v>
      </c>
    </row>
    <row r="514" spans="1:41">
      <c r="I514" t="s">
        <v>14</v>
      </c>
      <c r="AO514">
        <f>sum(j514:an514)</f>
        <v>0</v>
      </c>
    </row>
    <row r="515" spans="1:41">
      <c r="I515" t="s">
        <v>15</v>
      </c>
      <c r="J515">
        <f>sumif(Plan!B:B,"834-013000-200",Plan!j:j)</f>
        <v>0</v>
      </c>
      <c r="K515">
        <f>sumif(Plan!B:B,"834-013000-200",Plan!k:k)</f>
        <v>0</v>
      </c>
      <c r="L515">
        <f>sumif(Plan!B:B,"834-013000-200",Plan!l:l)</f>
        <v>0</v>
      </c>
      <c r="M515">
        <f>sumif(Plan!B:B,"834-013000-200",Plan!m:m)</f>
        <v>0</v>
      </c>
      <c r="N515">
        <f>sumif(Plan!B:B,"834-013000-200",Plan!n:n)</f>
        <v>0</v>
      </c>
      <c r="O515">
        <f>sumif(Plan!B:B,"834-013000-200",Plan!o:o)</f>
        <v>0</v>
      </c>
      <c r="P515">
        <f>sumif(Plan!B:B,"834-013000-200",Plan!p:p)</f>
        <v>0</v>
      </c>
      <c r="Q515">
        <f>sumif(Plan!B:B,"834-013000-200",Plan!q:q)</f>
        <v>0</v>
      </c>
      <c r="R515">
        <f>sumif(Plan!B:B,"834-013000-200",Plan!r:r)</f>
        <v>0</v>
      </c>
      <c r="S515">
        <f>sumif(Plan!B:B,"834-013000-200",Plan!s:s)</f>
        <v>0</v>
      </c>
      <c r="T515">
        <f>sumif(Plan!B:B,"834-013000-200",Plan!t:t)</f>
        <v>0</v>
      </c>
      <c r="U515">
        <f>sumif(Plan!B:B,"834-013000-200",Plan!u:u)</f>
        <v>0</v>
      </c>
      <c r="V515">
        <f>sumif(Plan!B:B,"834-013000-200",Plan!v:v)</f>
        <v>0</v>
      </c>
      <c r="W515">
        <f>sumif(Plan!B:B,"834-013000-200",Plan!w:w)</f>
        <v>0</v>
      </c>
      <c r="X515">
        <f>sumif(Plan!B:B,"834-013000-200",Plan!x:x)</f>
        <v>0</v>
      </c>
      <c r="Y515">
        <f>sumif(Plan!B:B,"834-013000-200",Plan!y:y)</f>
        <v>0</v>
      </c>
      <c r="Z515">
        <f>sumif(Plan!B:B,"834-013000-200",Plan!z:z)</f>
        <v>0</v>
      </c>
      <c r="AA515">
        <f>sumif(Plan!B:B,"834-013000-200",Plan!aa:aa)</f>
        <v>0</v>
      </c>
      <c r="AB515">
        <f>sumif(Plan!B:B,"834-013000-200",Plan!ab:ab)</f>
        <v>0</v>
      </c>
      <c r="AC515">
        <f>sumif(Plan!B:B,"834-013000-200",Plan!ac:ac)</f>
        <v>0</v>
      </c>
      <c r="AD515">
        <f>sumif(Plan!B:B,"834-013000-200",Plan!ad:ad)</f>
        <v>0</v>
      </c>
      <c r="AE515">
        <f>sumif(Plan!B:B,"834-013000-200",Plan!ae:ae)</f>
        <v>0</v>
      </c>
      <c r="AF515">
        <f>sumif(Plan!B:B,"834-013000-200",Plan!af:af)</f>
        <v>0</v>
      </c>
      <c r="AG515">
        <f>sumif(Plan!B:B,"834-013000-200",Plan!ag:ag)</f>
        <v>0</v>
      </c>
      <c r="AH515">
        <f>sumif(Plan!B:B,"834-013000-200",Plan!ah:ah)</f>
        <v>0</v>
      </c>
      <c r="AI515">
        <f>sumif(Plan!B:B,"834-013000-200",Plan!ai:ai)</f>
        <v>0</v>
      </c>
      <c r="AJ515">
        <f>sumif(Plan!B:B,"834-013000-200",Plan!aj:aj)</f>
        <v>0</v>
      </c>
      <c r="AK515">
        <f>sumif(Plan!B:B,"834-013000-200",Plan!ak:ak)</f>
        <v>0</v>
      </c>
      <c r="AL515">
        <f>sumif(Plan!B:B,"834-013000-200",Plan!al:al)</f>
        <v>0</v>
      </c>
      <c r="AM515">
        <f>sumif(Plan!B:B,"834-013000-200",Plan!am:am)</f>
        <v>0</v>
      </c>
      <c r="AN515">
        <f>sumif(Plan!B:B,"834-013000-200",Plan!an:an)</f>
        <v>0</v>
      </c>
      <c r="AO515">
        <f>sumif(Plan!B:B,"834-013000-200",Plan!ao:ao)</f>
        <v>0</v>
      </c>
    </row>
    <row r="516" spans="1:41">
      <c r="A516" t="s">
        <v>17</v>
      </c>
      <c r="B516" t="s">
        <v>320</v>
      </c>
      <c r="C516" t="s">
        <v>321</v>
      </c>
      <c r="E516">
        <v>1</v>
      </c>
      <c r="F516" t="s">
        <v>13</v>
      </c>
      <c r="H516" t="s">
        <v>16</v>
      </c>
      <c r="J516">
        <f>indirect(address(516,9))+indirect(address(514,10))-indirect(address(515,10))</f>
        <v>0</v>
      </c>
      <c r="K516">
        <f>indirect(address(516,10))+indirect(address(514,11))-indirect(address(515,11))</f>
        <v>0</v>
      </c>
      <c r="L516">
        <f>indirect(address(516,11))+indirect(address(514,12))-indirect(address(515,12))</f>
        <v>0</v>
      </c>
      <c r="M516">
        <f>indirect(address(516,12))+indirect(address(514,13))-indirect(address(515,13))</f>
        <v>0</v>
      </c>
      <c r="N516">
        <f>indirect(address(516,13))+indirect(address(514,14))-indirect(address(515,14))</f>
        <v>0</v>
      </c>
      <c r="O516">
        <f>indirect(address(516,14))+indirect(address(514,15))-indirect(address(515,15))</f>
        <v>0</v>
      </c>
      <c r="P516">
        <f>indirect(address(516,15))+indirect(address(514,16))-indirect(address(515,16))</f>
        <v>0</v>
      </c>
      <c r="Q516">
        <f>indirect(address(516,16))+indirect(address(514,17))-indirect(address(515,17))</f>
        <v>0</v>
      </c>
      <c r="R516">
        <f>indirect(address(516,17))+indirect(address(514,18))-indirect(address(515,18))</f>
        <v>0</v>
      </c>
      <c r="S516">
        <f>indirect(address(516,18))+indirect(address(514,19))-indirect(address(515,19))</f>
        <v>0</v>
      </c>
      <c r="T516">
        <f>indirect(address(516,19))+indirect(address(514,20))-indirect(address(515,20))</f>
        <v>0</v>
      </c>
      <c r="U516">
        <f>indirect(address(516,20))+indirect(address(514,21))-indirect(address(515,21))</f>
        <v>0</v>
      </c>
      <c r="V516">
        <f>indirect(address(516,21))+indirect(address(514,22))-indirect(address(515,22))</f>
        <v>0</v>
      </c>
      <c r="W516">
        <f>indirect(address(516,22))+indirect(address(514,23))-indirect(address(515,23))</f>
        <v>0</v>
      </c>
      <c r="X516">
        <f>indirect(address(516,23))+indirect(address(514,24))-indirect(address(515,24))</f>
        <v>0</v>
      </c>
      <c r="Y516">
        <f>indirect(address(516,24))+indirect(address(514,25))-indirect(address(515,25))</f>
        <v>0</v>
      </c>
      <c r="Z516">
        <f>indirect(address(516,25))+indirect(address(514,26))-indirect(address(515,26))</f>
        <v>0</v>
      </c>
      <c r="AA516">
        <f>indirect(address(516,26))+indirect(address(514,27))-indirect(address(515,27))</f>
        <v>0</v>
      </c>
      <c r="AB516">
        <f>indirect(address(516,27))+indirect(address(514,28))-indirect(address(515,28))</f>
        <v>0</v>
      </c>
      <c r="AC516">
        <f>indirect(address(516,28))+indirect(address(514,29))-indirect(address(515,29))</f>
        <v>0</v>
      </c>
      <c r="AD516">
        <f>indirect(address(516,29))+indirect(address(514,30))-indirect(address(515,30))</f>
        <v>0</v>
      </c>
      <c r="AE516">
        <f>indirect(address(516,30))+indirect(address(514,31))-indirect(address(515,31))</f>
        <v>0</v>
      </c>
      <c r="AF516">
        <f>indirect(address(516,31))+indirect(address(514,32))-indirect(address(515,32))</f>
        <v>0</v>
      </c>
      <c r="AG516">
        <f>indirect(address(516,32))+indirect(address(514,33))-indirect(address(515,33))</f>
        <v>0</v>
      </c>
      <c r="AH516">
        <f>indirect(address(516,33))+indirect(address(514,34))-indirect(address(515,34))</f>
        <v>0</v>
      </c>
      <c r="AI516">
        <f>indirect(address(516,34))+indirect(address(514,35))-indirect(address(515,35))</f>
        <v>0</v>
      </c>
      <c r="AJ516">
        <f>indirect(address(516,35))+indirect(address(514,36))-indirect(address(515,36))</f>
        <v>0</v>
      </c>
      <c r="AK516">
        <f>indirect(address(516,36))+indirect(address(514,37))-indirect(address(515,37))</f>
        <v>0</v>
      </c>
      <c r="AL516">
        <f>indirect(address(516,37))+indirect(address(514,38))-indirect(address(515,38))</f>
        <v>0</v>
      </c>
      <c r="AM516">
        <f>indirect(address(516,38))+indirect(address(514,39))-indirect(address(515,39))</f>
        <v>0</v>
      </c>
      <c r="AN516">
        <f>indirect(address(516,39))+indirect(address(514,40))-indirect(address(515,40))</f>
        <v>0</v>
      </c>
      <c r="AO516">
        <f>indirect(address(516,40))+indirect(address(514,41))-indirect(address(515,41))</f>
        <v>0</v>
      </c>
    </row>
    <row r="517" spans="1:41">
      <c r="I517" t="s">
        <v>14</v>
      </c>
      <c r="AO517">
        <f>sum(j517:an517)</f>
        <v>0</v>
      </c>
    </row>
    <row r="518" spans="1:41">
      <c r="I518" t="s">
        <v>15</v>
      </c>
      <c r="J518">
        <f>sumif(Plan!B:B,"263-000000-036",Plan!j:j)</f>
        <v>0</v>
      </c>
      <c r="K518">
        <f>sumif(Plan!B:B,"263-000000-036",Plan!k:k)</f>
        <v>0</v>
      </c>
      <c r="L518">
        <f>sumif(Plan!B:B,"263-000000-036",Plan!l:l)</f>
        <v>0</v>
      </c>
      <c r="M518">
        <f>sumif(Plan!B:B,"263-000000-036",Plan!m:m)</f>
        <v>0</v>
      </c>
      <c r="N518">
        <f>sumif(Plan!B:B,"263-000000-036",Plan!n:n)</f>
        <v>0</v>
      </c>
      <c r="O518">
        <f>sumif(Plan!B:B,"263-000000-036",Plan!o:o)</f>
        <v>0</v>
      </c>
      <c r="P518">
        <f>sumif(Plan!B:B,"263-000000-036",Plan!p:p)</f>
        <v>0</v>
      </c>
      <c r="Q518">
        <f>sumif(Plan!B:B,"263-000000-036",Plan!q:q)</f>
        <v>0</v>
      </c>
      <c r="R518">
        <f>sumif(Plan!B:B,"263-000000-036",Plan!r:r)</f>
        <v>0</v>
      </c>
      <c r="S518">
        <f>sumif(Plan!B:B,"263-000000-036",Plan!s:s)</f>
        <v>0</v>
      </c>
      <c r="T518">
        <f>sumif(Plan!B:B,"263-000000-036",Plan!t:t)</f>
        <v>0</v>
      </c>
      <c r="U518">
        <f>sumif(Plan!B:B,"263-000000-036",Plan!u:u)</f>
        <v>0</v>
      </c>
      <c r="V518">
        <f>sumif(Plan!B:B,"263-000000-036",Plan!v:v)</f>
        <v>0</v>
      </c>
      <c r="W518">
        <f>sumif(Plan!B:B,"263-000000-036",Plan!w:w)</f>
        <v>0</v>
      </c>
      <c r="X518">
        <f>sumif(Plan!B:B,"263-000000-036",Plan!x:x)</f>
        <v>0</v>
      </c>
      <c r="Y518">
        <f>sumif(Plan!B:B,"263-000000-036",Plan!y:y)</f>
        <v>0</v>
      </c>
      <c r="Z518">
        <f>sumif(Plan!B:B,"263-000000-036",Plan!z:z)</f>
        <v>0</v>
      </c>
      <c r="AA518">
        <f>sumif(Plan!B:B,"263-000000-036",Plan!aa:aa)</f>
        <v>0</v>
      </c>
      <c r="AB518">
        <f>sumif(Plan!B:B,"263-000000-036",Plan!ab:ab)</f>
        <v>0</v>
      </c>
      <c r="AC518">
        <f>sumif(Plan!B:B,"263-000000-036",Plan!ac:ac)</f>
        <v>0</v>
      </c>
      <c r="AD518">
        <f>sumif(Plan!B:B,"263-000000-036",Plan!ad:ad)</f>
        <v>0</v>
      </c>
      <c r="AE518">
        <f>sumif(Plan!B:B,"263-000000-036",Plan!ae:ae)</f>
        <v>0</v>
      </c>
      <c r="AF518">
        <f>sumif(Plan!B:B,"263-000000-036",Plan!af:af)</f>
        <v>0</v>
      </c>
      <c r="AG518">
        <f>sumif(Plan!B:B,"263-000000-036",Plan!ag:ag)</f>
        <v>0</v>
      </c>
      <c r="AH518">
        <f>sumif(Plan!B:B,"263-000000-036",Plan!ah:ah)</f>
        <v>0</v>
      </c>
      <c r="AI518">
        <f>sumif(Plan!B:B,"263-000000-036",Plan!ai:ai)</f>
        <v>0</v>
      </c>
      <c r="AJ518">
        <f>sumif(Plan!B:B,"263-000000-036",Plan!aj:aj)</f>
        <v>0</v>
      </c>
      <c r="AK518">
        <f>sumif(Plan!B:B,"263-000000-036",Plan!ak:ak)</f>
        <v>0</v>
      </c>
      <c r="AL518">
        <f>sumif(Plan!B:B,"263-000000-036",Plan!al:al)</f>
        <v>0</v>
      </c>
      <c r="AM518">
        <f>sumif(Plan!B:B,"263-000000-036",Plan!am:am)</f>
        <v>0</v>
      </c>
      <c r="AN518">
        <f>sumif(Plan!B:B,"263-000000-036",Plan!an:an)</f>
        <v>0</v>
      </c>
      <c r="AO518">
        <f>sumif(Plan!B:B,"263-000000-036",Plan!ao:ao)</f>
        <v>0</v>
      </c>
    </row>
    <row r="519" spans="1:41">
      <c r="A519" t="s">
        <v>17</v>
      </c>
      <c r="B519" t="s">
        <v>322</v>
      </c>
      <c r="C519" t="s">
        <v>323</v>
      </c>
      <c r="E519">
        <v>2</v>
      </c>
      <c r="F519" t="s">
        <v>13</v>
      </c>
      <c r="H519" t="s">
        <v>16</v>
      </c>
      <c r="J519">
        <f>indirect(address(519,9))+indirect(address(517,10))-indirect(address(518,10))</f>
        <v>0</v>
      </c>
      <c r="K519">
        <f>indirect(address(519,10))+indirect(address(517,11))-indirect(address(518,11))</f>
        <v>0</v>
      </c>
      <c r="L519">
        <f>indirect(address(519,11))+indirect(address(517,12))-indirect(address(518,12))</f>
        <v>0</v>
      </c>
      <c r="M519">
        <f>indirect(address(519,12))+indirect(address(517,13))-indirect(address(518,13))</f>
        <v>0</v>
      </c>
      <c r="N519">
        <f>indirect(address(519,13))+indirect(address(517,14))-indirect(address(518,14))</f>
        <v>0</v>
      </c>
      <c r="O519">
        <f>indirect(address(519,14))+indirect(address(517,15))-indirect(address(518,15))</f>
        <v>0</v>
      </c>
      <c r="P519">
        <f>indirect(address(519,15))+indirect(address(517,16))-indirect(address(518,16))</f>
        <v>0</v>
      </c>
      <c r="Q519">
        <f>indirect(address(519,16))+indirect(address(517,17))-indirect(address(518,17))</f>
        <v>0</v>
      </c>
      <c r="R519">
        <f>indirect(address(519,17))+indirect(address(517,18))-indirect(address(518,18))</f>
        <v>0</v>
      </c>
      <c r="S519">
        <f>indirect(address(519,18))+indirect(address(517,19))-indirect(address(518,19))</f>
        <v>0</v>
      </c>
      <c r="T519">
        <f>indirect(address(519,19))+indirect(address(517,20))-indirect(address(518,20))</f>
        <v>0</v>
      </c>
      <c r="U519">
        <f>indirect(address(519,20))+indirect(address(517,21))-indirect(address(518,21))</f>
        <v>0</v>
      </c>
      <c r="V519">
        <f>indirect(address(519,21))+indirect(address(517,22))-indirect(address(518,22))</f>
        <v>0</v>
      </c>
      <c r="W519">
        <f>indirect(address(519,22))+indirect(address(517,23))-indirect(address(518,23))</f>
        <v>0</v>
      </c>
      <c r="X519">
        <f>indirect(address(519,23))+indirect(address(517,24))-indirect(address(518,24))</f>
        <v>0</v>
      </c>
      <c r="Y519">
        <f>indirect(address(519,24))+indirect(address(517,25))-indirect(address(518,25))</f>
        <v>0</v>
      </c>
      <c r="Z519">
        <f>indirect(address(519,25))+indirect(address(517,26))-indirect(address(518,26))</f>
        <v>0</v>
      </c>
      <c r="AA519">
        <f>indirect(address(519,26))+indirect(address(517,27))-indirect(address(518,27))</f>
        <v>0</v>
      </c>
      <c r="AB519">
        <f>indirect(address(519,27))+indirect(address(517,28))-indirect(address(518,28))</f>
        <v>0</v>
      </c>
      <c r="AC519">
        <f>indirect(address(519,28))+indirect(address(517,29))-indirect(address(518,29))</f>
        <v>0</v>
      </c>
      <c r="AD519">
        <f>indirect(address(519,29))+indirect(address(517,30))-indirect(address(518,30))</f>
        <v>0</v>
      </c>
      <c r="AE519">
        <f>indirect(address(519,30))+indirect(address(517,31))-indirect(address(518,31))</f>
        <v>0</v>
      </c>
      <c r="AF519">
        <f>indirect(address(519,31))+indirect(address(517,32))-indirect(address(518,32))</f>
        <v>0</v>
      </c>
      <c r="AG519">
        <f>indirect(address(519,32))+indirect(address(517,33))-indirect(address(518,33))</f>
        <v>0</v>
      </c>
      <c r="AH519">
        <f>indirect(address(519,33))+indirect(address(517,34))-indirect(address(518,34))</f>
        <v>0</v>
      </c>
      <c r="AI519">
        <f>indirect(address(519,34))+indirect(address(517,35))-indirect(address(518,35))</f>
        <v>0</v>
      </c>
      <c r="AJ519">
        <f>indirect(address(519,35))+indirect(address(517,36))-indirect(address(518,36))</f>
        <v>0</v>
      </c>
      <c r="AK519">
        <f>indirect(address(519,36))+indirect(address(517,37))-indirect(address(518,37))</f>
        <v>0</v>
      </c>
      <c r="AL519">
        <f>indirect(address(519,37))+indirect(address(517,38))-indirect(address(518,38))</f>
        <v>0</v>
      </c>
      <c r="AM519">
        <f>indirect(address(519,38))+indirect(address(517,39))-indirect(address(518,39))</f>
        <v>0</v>
      </c>
      <c r="AN519">
        <f>indirect(address(519,39))+indirect(address(517,40))-indirect(address(518,40))</f>
        <v>0</v>
      </c>
      <c r="AO519">
        <f>indirect(address(519,40))+indirect(address(517,41))-indirect(address(518,41))</f>
        <v>0</v>
      </c>
    </row>
    <row r="520" spans="1:41">
      <c r="I520" t="s">
        <v>14</v>
      </c>
      <c r="AO520">
        <f>sum(j520:an520)</f>
        <v>0</v>
      </c>
    </row>
    <row r="521" spans="1:41">
      <c r="I521" t="s">
        <v>15</v>
      </c>
      <c r="J521">
        <f>sumif(Plan!B:B,"263-000000-037",Plan!j:j)</f>
        <v>0</v>
      </c>
      <c r="K521">
        <f>sumif(Plan!B:B,"263-000000-037",Plan!k:k)</f>
        <v>0</v>
      </c>
      <c r="L521">
        <f>sumif(Plan!B:B,"263-000000-037",Plan!l:l)</f>
        <v>0</v>
      </c>
      <c r="M521">
        <f>sumif(Plan!B:B,"263-000000-037",Plan!m:m)</f>
        <v>0</v>
      </c>
      <c r="N521">
        <f>sumif(Plan!B:B,"263-000000-037",Plan!n:n)</f>
        <v>0</v>
      </c>
      <c r="O521">
        <f>sumif(Plan!B:B,"263-000000-037",Plan!o:o)</f>
        <v>0</v>
      </c>
      <c r="P521">
        <f>sumif(Plan!B:B,"263-000000-037",Plan!p:p)</f>
        <v>0</v>
      </c>
      <c r="Q521">
        <f>sumif(Plan!B:B,"263-000000-037",Plan!q:q)</f>
        <v>0</v>
      </c>
      <c r="R521">
        <f>sumif(Plan!B:B,"263-000000-037",Plan!r:r)</f>
        <v>0</v>
      </c>
      <c r="S521">
        <f>sumif(Plan!B:B,"263-000000-037",Plan!s:s)</f>
        <v>0</v>
      </c>
      <c r="T521">
        <f>sumif(Plan!B:B,"263-000000-037",Plan!t:t)</f>
        <v>0</v>
      </c>
      <c r="U521">
        <f>sumif(Plan!B:B,"263-000000-037",Plan!u:u)</f>
        <v>0</v>
      </c>
      <c r="V521">
        <f>sumif(Plan!B:B,"263-000000-037",Plan!v:v)</f>
        <v>0</v>
      </c>
      <c r="W521">
        <f>sumif(Plan!B:B,"263-000000-037",Plan!w:w)</f>
        <v>0</v>
      </c>
      <c r="X521">
        <f>sumif(Plan!B:B,"263-000000-037",Plan!x:x)</f>
        <v>0</v>
      </c>
      <c r="Y521">
        <f>sumif(Plan!B:B,"263-000000-037",Plan!y:y)</f>
        <v>0</v>
      </c>
      <c r="Z521">
        <f>sumif(Plan!B:B,"263-000000-037",Plan!z:z)</f>
        <v>0</v>
      </c>
      <c r="AA521">
        <f>sumif(Plan!B:B,"263-000000-037",Plan!aa:aa)</f>
        <v>0</v>
      </c>
      <c r="AB521">
        <f>sumif(Plan!B:B,"263-000000-037",Plan!ab:ab)</f>
        <v>0</v>
      </c>
      <c r="AC521">
        <f>sumif(Plan!B:B,"263-000000-037",Plan!ac:ac)</f>
        <v>0</v>
      </c>
      <c r="AD521">
        <f>sumif(Plan!B:B,"263-000000-037",Plan!ad:ad)</f>
        <v>0</v>
      </c>
      <c r="AE521">
        <f>sumif(Plan!B:B,"263-000000-037",Plan!ae:ae)</f>
        <v>0</v>
      </c>
      <c r="AF521">
        <f>sumif(Plan!B:B,"263-000000-037",Plan!af:af)</f>
        <v>0</v>
      </c>
      <c r="AG521">
        <f>sumif(Plan!B:B,"263-000000-037",Plan!ag:ag)</f>
        <v>0</v>
      </c>
      <c r="AH521">
        <f>sumif(Plan!B:B,"263-000000-037",Plan!ah:ah)</f>
        <v>0</v>
      </c>
      <c r="AI521">
        <f>sumif(Plan!B:B,"263-000000-037",Plan!ai:ai)</f>
        <v>0</v>
      </c>
      <c r="AJ521">
        <f>sumif(Plan!B:B,"263-000000-037",Plan!aj:aj)</f>
        <v>0</v>
      </c>
      <c r="AK521">
        <f>sumif(Plan!B:B,"263-000000-037",Plan!ak:ak)</f>
        <v>0</v>
      </c>
      <c r="AL521">
        <f>sumif(Plan!B:B,"263-000000-037",Plan!al:al)</f>
        <v>0</v>
      </c>
      <c r="AM521">
        <f>sumif(Plan!B:B,"263-000000-037",Plan!am:am)</f>
        <v>0</v>
      </c>
      <c r="AN521">
        <f>sumif(Plan!B:B,"263-000000-037",Plan!an:an)</f>
        <v>0</v>
      </c>
      <c r="AO521">
        <f>sumif(Plan!B:B,"263-000000-037",Plan!ao:ao)</f>
        <v>0</v>
      </c>
    </row>
    <row r="522" spans="1:41">
      <c r="A522" t="s">
        <v>22</v>
      </c>
      <c r="B522" t="s">
        <v>324</v>
      </c>
      <c r="C522" t="s">
        <v>325</v>
      </c>
      <c r="E522">
        <v>1</v>
      </c>
      <c r="F522" t="s">
        <v>13</v>
      </c>
      <c r="H522" t="s">
        <v>16</v>
      </c>
      <c r="J522">
        <f>indirect(address(522,9))+indirect(address(520,10))-indirect(address(521,10))</f>
        <v>0</v>
      </c>
      <c r="K522">
        <f>indirect(address(522,10))+indirect(address(520,11))-indirect(address(521,11))</f>
        <v>0</v>
      </c>
      <c r="L522">
        <f>indirect(address(522,11))+indirect(address(520,12))-indirect(address(521,12))</f>
        <v>0</v>
      </c>
      <c r="M522">
        <f>indirect(address(522,12))+indirect(address(520,13))-indirect(address(521,13))</f>
        <v>0</v>
      </c>
      <c r="N522">
        <f>indirect(address(522,13))+indirect(address(520,14))-indirect(address(521,14))</f>
        <v>0</v>
      </c>
      <c r="O522">
        <f>indirect(address(522,14))+indirect(address(520,15))-indirect(address(521,15))</f>
        <v>0</v>
      </c>
      <c r="P522">
        <f>indirect(address(522,15))+indirect(address(520,16))-indirect(address(521,16))</f>
        <v>0</v>
      </c>
      <c r="Q522">
        <f>indirect(address(522,16))+indirect(address(520,17))-indirect(address(521,17))</f>
        <v>0</v>
      </c>
      <c r="R522">
        <f>indirect(address(522,17))+indirect(address(520,18))-indirect(address(521,18))</f>
        <v>0</v>
      </c>
      <c r="S522">
        <f>indirect(address(522,18))+indirect(address(520,19))-indirect(address(521,19))</f>
        <v>0</v>
      </c>
      <c r="T522">
        <f>indirect(address(522,19))+indirect(address(520,20))-indirect(address(521,20))</f>
        <v>0</v>
      </c>
      <c r="U522">
        <f>indirect(address(522,20))+indirect(address(520,21))-indirect(address(521,21))</f>
        <v>0</v>
      </c>
      <c r="V522">
        <f>indirect(address(522,21))+indirect(address(520,22))-indirect(address(521,22))</f>
        <v>0</v>
      </c>
      <c r="W522">
        <f>indirect(address(522,22))+indirect(address(520,23))-indirect(address(521,23))</f>
        <v>0</v>
      </c>
      <c r="X522">
        <f>indirect(address(522,23))+indirect(address(520,24))-indirect(address(521,24))</f>
        <v>0</v>
      </c>
      <c r="Y522">
        <f>indirect(address(522,24))+indirect(address(520,25))-indirect(address(521,25))</f>
        <v>0</v>
      </c>
      <c r="Z522">
        <f>indirect(address(522,25))+indirect(address(520,26))-indirect(address(521,26))</f>
        <v>0</v>
      </c>
      <c r="AA522">
        <f>indirect(address(522,26))+indirect(address(520,27))-indirect(address(521,27))</f>
        <v>0</v>
      </c>
      <c r="AB522">
        <f>indirect(address(522,27))+indirect(address(520,28))-indirect(address(521,28))</f>
        <v>0</v>
      </c>
      <c r="AC522">
        <f>indirect(address(522,28))+indirect(address(520,29))-indirect(address(521,29))</f>
        <v>0</v>
      </c>
      <c r="AD522">
        <f>indirect(address(522,29))+indirect(address(520,30))-indirect(address(521,30))</f>
        <v>0</v>
      </c>
      <c r="AE522">
        <f>indirect(address(522,30))+indirect(address(520,31))-indirect(address(521,31))</f>
        <v>0</v>
      </c>
      <c r="AF522">
        <f>indirect(address(522,31))+indirect(address(520,32))-indirect(address(521,32))</f>
        <v>0</v>
      </c>
      <c r="AG522">
        <f>indirect(address(522,32))+indirect(address(520,33))-indirect(address(521,33))</f>
        <v>0</v>
      </c>
      <c r="AH522">
        <f>indirect(address(522,33))+indirect(address(520,34))-indirect(address(521,34))</f>
        <v>0</v>
      </c>
      <c r="AI522">
        <f>indirect(address(522,34))+indirect(address(520,35))-indirect(address(521,35))</f>
        <v>0</v>
      </c>
      <c r="AJ522">
        <f>indirect(address(522,35))+indirect(address(520,36))-indirect(address(521,36))</f>
        <v>0</v>
      </c>
      <c r="AK522">
        <f>indirect(address(522,36))+indirect(address(520,37))-indirect(address(521,37))</f>
        <v>0</v>
      </c>
      <c r="AL522">
        <f>indirect(address(522,37))+indirect(address(520,38))-indirect(address(521,38))</f>
        <v>0</v>
      </c>
      <c r="AM522">
        <f>indirect(address(522,38))+indirect(address(520,39))-indirect(address(521,39))</f>
        <v>0</v>
      </c>
      <c r="AN522">
        <f>indirect(address(522,39))+indirect(address(520,40))-indirect(address(521,40))</f>
        <v>0</v>
      </c>
      <c r="AO522">
        <f>indirect(address(522,40))+indirect(address(520,41))-indirect(address(521,41))</f>
        <v>0</v>
      </c>
    </row>
    <row r="523" spans="1:41">
      <c r="I523" t="s">
        <v>14</v>
      </c>
      <c r="AO523">
        <f>sum(j523:an523)</f>
        <v>0</v>
      </c>
    </row>
    <row r="524" spans="1:41">
      <c r="I524" t="s">
        <v>15</v>
      </c>
      <c r="J524">
        <f>sumif(Plan!B:B,"263-000000-038",Plan!j:j)</f>
        <v>0</v>
      </c>
      <c r="K524">
        <f>sumif(Plan!B:B,"263-000000-038",Plan!k:k)</f>
        <v>0</v>
      </c>
      <c r="L524">
        <f>sumif(Plan!B:B,"263-000000-038",Plan!l:l)</f>
        <v>0</v>
      </c>
      <c r="M524">
        <f>sumif(Plan!B:B,"263-000000-038",Plan!m:m)</f>
        <v>0</v>
      </c>
      <c r="N524">
        <f>sumif(Plan!B:B,"263-000000-038",Plan!n:n)</f>
        <v>0</v>
      </c>
      <c r="O524">
        <f>sumif(Plan!B:B,"263-000000-038",Plan!o:o)</f>
        <v>0</v>
      </c>
      <c r="P524">
        <f>sumif(Plan!B:B,"263-000000-038",Plan!p:p)</f>
        <v>0</v>
      </c>
      <c r="Q524">
        <f>sumif(Plan!B:B,"263-000000-038",Plan!q:q)</f>
        <v>0</v>
      </c>
      <c r="R524">
        <f>sumif(Plan!B:B,"263-000000-038",Plan!r:r)</f>
        <v>0</v>
      </c>
      <c r="S524">
        <f>sumif(Plan!B:B,"263-000000-038",Plan!s:s)</f>
        <v>0</v>
      </c>
      <c r="T524">
        <f>sumif(Plan!B:B,"263-000000-038",Plan!t:t)</f>
        <v>0</v>
      </c>
      <c r="U524">
        <f>sumif(Plan!B:B,"263-000000-038",Plan!u:u)</f>
        <v>0</v>
      </c>
      <c r="V524">
        <f>sumif(Plan!B:B,"263-000000-038",Plan!v:v)</f>
        <v>0</v>
      </c>
      <c r="W524">
        <f>sumif(Plan!B:B,"263-000000-038",Plan!w:w)</f>
        <v>0</v>
      </c>
      <c r="X524">
        <f>sumif(Plan!B:B,"263-000000-038",Plan!x:x)</f>
        <v>0</v>
      </c>
      <c r="Y524">
        <f>sumif(Plan!B:B,"263-000000-038",Plan!y:y)</f>
        <v>0</v>
      </c>
      <c r="Z524">
        <f>sumif(Plan!B:B,"263-000000-038",Plan!z:z)</f>
        <v>0</v>
      </c>
      <c r="AA524">
        <f>sumif(Plan!B:B,"263-000000-038",Plan!aa:aa)</f>
        <v>0</v>
      </c>
      <c r="AB524">
        <f>sumif(Plan!B:B,"263-000000-038",Plan!ab:ab)</f>
        <v>0</v>
      </c>
      <c r="AC524">
        <f>sumif(Plan!B:B,"263-000000-038",Plan!ac:ac)</f>
        <v>0</v>
      </c>
      <c r="AD524">
        <f>sumif(Plan!B:B,"263-000000-038",Plan!ad:ad)</f>
        <v>0</v>
      </c>
      <c r="AE524">
        <f>sumif(Plan!B:B,"263-000000-038",Plan!ae:ae)</f>
        <v>0</v>
      </c>
      <c r="AF524">
        <f>sumif(Plan!B:B,"263-000000-038",Plan!af:af)</f>
        <v>0</v>
      </c>
      <c r="AG524">
        <f>sumif(Plan!B:B,"263-000000-038",Plan!ag:ag)</f>
        <v>0</v>
      </c>
      <c r="AH524">
        <f>sumif(Plan!B:B,"263-000000-038",Plan!ah:ah)</f>
        <v>0</v>
      </c>
      <c r="AI524">
        <f>sumif(Plan!B:B,"263-000000-038",Plan!ai:ai)</f>
        <v>0</v>
      </c>
      <c r="AJ524">
        <f>sumif(Plan!B:B,"263-000000-038",Plan!aj:aj)</f>
        <v>0</v>
      </c>
      <c r="AK524">
        <f>sumif(Plan!B:B,"263-000000-038",Plan!ak:ak)</f>
        <v>0</v>
      </c>
      <c r="AL524">
        <f>sumif(Plan!B:B,"263-000000-038",Plan!al:al)</f>
        <v>0</v>
      </c>
      <c r="AM524">
        <f>sumif(Plan!B:B,"263-000000-038",Plan!am:am)</f>
        <v>0</v>
      </c>
      <c r="AN524">
        <f>sumif(Plan!B:B,"263-000000-038",Plan!an:an)</f>
        <v>0</v>
      </c>
      <c r="AO524">
        <f>sumif(Plan!B:B,"263-000000-038",Plan!ao:ao)</f>
        <v>0</v>
      </c>
    </row>
    <row r="525" spans="1:41">
      <c r="A525" t="s">
        <v>22</v>
      </c>
      <c r="B525" t="s">
        <v>326</v>
      </c>
      <c r="C525" t="s">
        <v>327</v>
      </c>
      <c r="E525">
        <v>1</v>
      </c>
      <c r="F525" t="s">
        <v>13</v>
      </c>
      <c r="H525" t="s">
        <v>16</v>
      </c>
      <c r="J525">
        <f>indirect(address(525,9))+indirect(address(523,10))-indirect(address(524,10))</f>
        <v>0</v>
      </c>
      <c r="K525">
        <f>indirect(address(525,10))+indirect(address(523,11))-indirect(address(524,11))</f>
        <v>0</v>
      </c>
      <c r="L525">
        <f>indirect(address(525,11))+indirect(address(523,12))-indirect(address(524,12))</f>
        <v>0</v>
      </c>
      <c r="M525">
        <f>indirect(address(525,12))+indirect(address(523,13))-indirect(address(524,13))</f>
        <v>0</v>
      </c>
      <c r="N525">
        <f>indirect(address(525,13))+indirect(address(523,14))-indirect(address(524,14))</f>
        <v>0</v>
      </c>
      <c r="O525">
        <f>indirect(address(525,14))+indirect(address(523,15))-indirect(address(524,15))</f>
        <v>0</v>
      </c>
      <c r="P525">
        <f>indirect(address(525,15))+indirect(address(523,16))-indirect(address(524,16))</f>
        <v>0</v>
      </c>
      <c r="Q525">
        <f>indirect(address(525,16))+indirect(address(523,17))-indirect(address(524,17))</f>
        <v>0</v>
      </c>
      <c r="R525">
        <f>indirect(address(525,17))+indirect(address(523,18))-indirect(address(524,18))</f>
        <v>0</v>
      </c>
      <c r="S525">
        <f>indirect(address(525,18))+indirect(address(523,19))-indirect(address(524,19))</f>
        <v>0</v>
      </c>
      <c r="T525">
        <f>indirect(address(525,19))+indirect(address(523,20))-indirect(address(524,20))</f>
        <v>0</v>
      </c>
      <c r="U525">
        <f>indirect(address(525,20))+indirect(address(523,21))-indirect(address(524,21))</f>
        <v>0</v>
      </c>
      <c r="V525">
        <f>indirect(address(525,21))+indirect(address(523,22))-indirect(address(524,22))</f>
        <v>0</v>
      </c>
      <c r="W525">
        <f>indirect(address(525,22))+indirect(address(523,23))-indirect(address(524,23))</f>
        <v>0</v>
      </c>
      <c r="X525">
        <f>indirect(address(525,23))+indirect(address(523,24))-indirect(address(524,24))</f>
        <v>0</v>
      </c>
      <c r="Y525">
        <f>indirect(address(525,24))+indirect(address(523,25))-indirect(address(524,25))</f>
        <v>0</v>
      </c>
      <c r="Z525">
        <f>indirect(address(525,25))+indirect(address(523,26))-indirect(address(524,26))</f>
        <v>0</v>
      </c>
      <c r="AA525">
        <f>indirect(address(525,26))+indirect(address(523,27))-indirect(address(524,27))</f>
        <v>0</v>
      </c>
      <c r="AB525">
        <f>indirect(address(525,27))+indirect(address(523,28))-indirect(address(524,28))</f>
        <v>0</v>
      </c>
      <c r="AC525">
        <f>indirect(address(525,28))+indirect(address(523,29))-indirect(address(524,29))</f>
        <v>0</v>
      </c>
      <c r="AD525">
        <f>indirect(address(525,29))+indirect(address(523,30))-indirect(address(524,30))</f>
        <v>0</v>
      </c>
      <c r="AE525">
        <f>indirect(address(525,30))+indirect(address(523,31))-indirect(address(524,31))</f>
        <v>0</v>
      </c>
      <c r="AF525">
        <f>indirect(address(525,31))+indirect(address(523,32))-indirect(address(524,32))</f>
        <v>0</v>
      </c>
      <c r="AG525">
        <f>indirect(address(525,32))+indirect(address(523,33))-indirect(address(524,33))</f>
        <v>0</v>
      </c>
      <c r="AH525">
        <f>indirect(address(525,33))+indirect(address(523,34))-indirect(address(524,34))</f>
        <v>0</v>
      </c>
      <c r="AI525">
        <f>indirect(address(525,34))+indirect(address(523,35))-indirect(address(524,35))</f>
        <v>0</v>
      </c>
      <c r="AJ525">
        <f>indirect(address(525,35))+indirect(address(523,36))-indirect(address(524,36))</f>
        <v>0</v>
      </c>
      <c r="AK525">
        <f>indirect(address(525,36))+indirect(address(523,37))-indirect(address(524,37))</f>
        <v>0</v>
      </c>
      <c r="AL525">
        <f>indirect(address(525,37))+indirect(address(523,38))-indirect(address(524,38))</f>
        <v>0</v>
      </c>
      <c r="AM525">
        <f>indirect(address(525,38))+indirect(address(523,39))-indirect(address(524,39))</f>
        <v>0</v>
      </c>
      <c r="AN525">
        <f>indirect(address(525,39))+indirect(address(523,40))-indirect(address(524,40))</f>
        <v>0</v>
      </c>
      <c r="AO525">
        <f>indirect(address(525,40))+indirect(address(523,41))-indirect(address(524,41))</f>
        <v>0</v>
      </c>
    </row>
    <row r="526" spans="1:41">
      <c r="I526" t="s">
        <v>14</v>
      </c>
      <c r="AO526">
        <f>sum(j526:an526)</f>
        <v>0</v>
      </c>
    </row>
    <row r="527" spans="1:41">
      <c r="I527" t="s">
        <v>15</v>
      </c>
      <c r="J527">
        <f>sumif(Plan!B:B,"242-116700-000",Plan!j:j)</f>
        <v>0</v>
      </c>
      <c r="K527">
        <f>sumif(Plan!B:B,"242-116700-000",Plan!k:k)</f>
        <v>0</v>
      </c>
      <c r="L527">
        <f>sumif(Plan!B:B,"242-116700-000",Plan!l:l)</f>
        <v>0</v>
      </c>
      <c r="M527">
        <f>sumif(Plan!B:B,"242-116700-000",Plan!m:m)</f>
        <v>0</v>
      </c>
      <c r="N527">
        <f>sumif(Plan!B:B,"242-116700-000",Plan!n:n)</f>
        <v>0</v>
      </c>
      <c r="O527">
        <f>sumif(Plan!B:B,"242-116700-000",Plan!o:o)</f>
        <v>0</v>
      </c>
      <c r="P527">
        <f>sumif(Plan!B:B,"242-116700-000",Plan!p:p)</f>
        <v>0</v>
      </c>
      <c r="Q527">
        <f>sumif(Plan!B:B,"242-116700-000",Plan!q:q)</f>
        <v>0</v>
      </c>
      <c r="R527">
        <f>sumif(Plan!B:B,"242-116700-000",Plan!r:r)</f>
        <v>0</v>
      </c>
      <c r="S527">
        <f>sumif(Plan!B:B,"242-116700-000",Plan!s:s)</f>
        <v>0</v>
      </c>
      <c r="T527">
        <f>sumif(Plan!B:B,"242-116700-000",Plan!t:t)</f>
        <v>0</v>
      </c>
      <c r="U527">
        <f>sumif(Plan!B:B,"242-116700-000",Plan!u:u)</f>
        <v>0</v>
      </c>
      <c r="V527">
        <f>sumif(Plan!B:B,"242-116700-000",Plan!v:v)</f>
        <v>0</v>
      </c>
      <c r="W527">
        <f>sumif(Plan!B:B,"242-116700-000",Plan!w:w)</f>
        <v>0</v>
      </c>
      <c r="X527">
        <f>sumif(Plan!B:B,"242-116700-000",Plan!x:x)</f>
        <v>0</v>
      </c>
      <c r="Y527">
        <f>sumif(Plan!B:B,"242-116700-000",Plan!y:y)</f>
        <v>0</v>
      </c>
      <c r="Z527">
        <f>sumif(Plan!B:B,"242-116700-000",Plan!z:z)</f>
        <v>0</v>
      </c>
      <c r="AA527">
        <f>sumif(Plan!B:B,"242-116700-000",Plan!aa:aa)</f>
        <v>0</v>
      </c>
      <c r="AB527">
        <f>sumif(Plan!B:B,"242-116700-000",Plan!ab:ab)</f>
        <v>0</v>
      </c>
      <c r="AC527">
        <f>sumif(Plan!B:B,"242-116700-000",Plan!ac:ac)</f>
        <v>0</v>
      </c>
      <c r="AD527">
        <f>sumif(Plan!B:B,"242-116700-000",Plan!ad:ad)</f>
        <v>0</v>
      </c>
      <c r="AE527">
        <f>sumif(Plan!B:B,"242-116700-000",Plan!ae:ae)</f>
        <v>0</v>
      </c>
      <c r="AF527">
        <f>sumif(Plan!B:B,"242-116700-000",Plan!af:af)</f>
        <v>0</v>
      </c>
      <c r="AG527">
        <f>sumif(Plan!B:B,"242-116700-000",Plan!ag:ag)</f>
        <v>0</v>
      </c>
      <c r="AH527">
        <f>sumif(Plan!B:B,"242-116700-000",Plan!ah:ah)</f>
        <v>0</v>
      </c>
      <c r="AI527">
        <f>sumif(Plan!B:B,"242-116700-000",Plan!ai:ai)</f>
        <v>0</v>
      </c>
      <c r="AJ527">
        <f>sumif(Plan!B:B,"242-116700-000",Plan!aj:aj)</f>
        <v>0</v>
      </c>
      <c r="AK527">
        <f>sumif(Plan!B:B,"242-116700-000",Plan!ak:ak)</f>
        <v>0</v>
      </c>
      <c r="AL527">
        <f>sumif(Plan!B:B,"242-116700-000",Plan!al:al)</f>
        <v>0</v>
      </c>
      <c r="AM527">
        <f>sumif(Plan!B:B,"242-116700-000",Plan!am:am)</f>
        <v>0</v>
      </c>
      <c r="AN527">
        <f>sumif(Plan!B:B,"242-116700-000",Plan!an:an)</f>
        <v>0</v>
      </c>
      <c r="AO527">
        <f>sumif(Plan!B:B,"242-116700-000",Plan!ao:ao)</f>
        <v>0</v>
      </c>
    </row>
    <row r="528" spans="1:41">
      <c r="A528" t="s">
        <v>78</v>
      </c>
      <c r="B528" t="s">
        <v>328</v>
      </c>
      <c r="C528" t="s">
        <v>329</v>
      </c>
      <c r="E528">
        <v>0.02</v>
      </c>
      <c r="F528" t="s">
        <v>13</v>
      </c>
      <c r="H528" t="s">
        <v>16</v>
      </c>
      <c r="J528">
        <f>indirect(address(528,9))+indirect(address(526,10))-indirect(address(527,10))</f>
        <v>0</v>
      </c>
      <c r="K528">
        <f>indirect(address(528,10))+indirect(address(526,11))-indirect(address(527,11))</f>
        <v>0</v>
      </c>
      <c r="L528">
        <f>indirect(address(528,11))+indirect(address(526,12))-indirect(address(527,12))</f>
        <v>0</v>
      </c>
      <c r="M528">
        <f>indirect(address(528,12))+indirect(address(526,13))-indirect(address(527,13))</f>
        <v>0</v>
      </c>
      <c r="N528">
        <f>indirect(address(528,13))+indirect(address(526,14))-indirect(address(527,14))</f>
        <v>0</v>
      </c>
      <c r="O528">
        <f>indirect(address(528,14))+indirect(address(526,15))-indirect(address(527,15))</f>
        <v>0</v>
      </c>
      <c r="P528">
        <f>indirect(address(528,15))+indirect(address(526,16))-indirect(address(527,16))</f>
        <v>0</v>
      </c>
      <c r="Q528">
        <f>indirect(address(528,16))+indirect(address(526,17))-indirect(address(527,17))</f>
        <v>0</v>
      </c>
      <c r="R528">
        <f>indirect(address(528,17))+indirect(address(526,18))-indirect(address(527,18))</f>
        <v>0</v>
      </c>
      <c r="S528">
        <f>indirect(address(528,18))+indirect(address(526,19))-indirect(address(527,19))</f>
        <v>0</v>
      </c>
      <c r="T528">
        <f>indirect(address(528,19))+indirect(address(526,20))-indirect(address(527,20))</f>
        <v>0</v>
      </c>
      <c r="U528">
        <f>indirect(address(528,20))+indirect(address(526,21))-indirect(address(527,21))</f>
        <v>0</v>
      </c>
      <c r="V528">
        <f>indirect(address(528,21))+indirect(address(526,22))-indirect(address(527,22))</f>
        <v>0</v>
      </c>
      <c r="W528">
        <f>indirect(address(528,22))+indirect(address(526,23))-indirect(address(527,23))</f>
        <v>0</v>
      </c>
      <c r="X528">
        <f>indirect(address(528,23))+indirect(address(526,24))-indirect(address(527,24))</f>
        <v>0</v>
      </c>
      <c r="Y528">
        <f>indirect(address(528,24))+indirect(address(526,25))-indirect(address(527,25))</f>
        <v>0</v>
      </c>
      <c r="Z528">
        <f>indirect(address(528,25))+indirect(address(526,26))-indirect(address(527,26))</f>
        <v>0</v>
      </c>
      <c r="AA528">
        <f>indirect(address(528,26))+indirect(address(526,27))-indirect(address(527,27))</f>
        <v>0</v>
      </c>
      <c r="AB528">
        <f>indirect(address(528,27))+indirect(address(526,28))-indirect(address(527,28))</f>
        <v>0</v>
      </c>
      <c r="AC528">
        <f>indirect(address(528,28))+indirect(address(526,29))-indirect(address(527,29))</f>
        <v>0</v>
      </c>
      <c r="AD528">
        <f>indirect(address(528,29))+indirect(address(526,30))-indirect(address(527,30))</f>
        <v>0</v>
      </c>
      <c r="AE528">
        <f>indirect(address(528,30))+indirect(address(526,31))-indirect(address(527,31))</f>
        <v>0</v>
      </c>
      <c r="AF528">
        <f>indirect(address(528,31))+indirect(address(526,32))-indirect(address(527,32))</f>
        <v>0</v>
      </c>
      <c r="AG528">
        <f>indirect(address(528,32))+indirect(address(526,33))-indirect(address(527,33))</f>
        <v>0</v>
      </c>
      <c r="AH528">
        <f>indirect(address(528,33))+indirect(address(526,34))-indirect(address(527,34))</f>
        <v>0</v>
      </c>
      <c r="AI528">
        <f>indirect(address(528,34))+indirect(address(526,35))-indirect(address(527,35))</f>
        <v>0</v>
      </c>
      <c r="AJ528">
        <f>indirect(address(528,35))+indirect(address(526,36))-indirect(address(527,36))</f>
        <v>0</v>
      </c>
      <c r="AK528">
        <f>indirect(address(528,36))+indirect(address(526,37))-indirect(address(527,37))</f>
        <v>0</v>
      </c>
      <c r="AL528">
        <f>indirect(address(528,37))+indirect(address(526,38))-indirect(address(527,38))</f>
        <v>0</v>
      </c>
      <c r="AM528">
        <f>indirect(address(528,38))+indirect(address(526,39))-indirect(address(527,39))</f>
        <v>0</v>
      </c>
      <c r="AN528">
        <f>indirect(address(528,39))+indirect(address(526,40))-indirect(address(527,40))</f>
        <v>0</v>
      </c>
      <c r="AO528">
        <f>indirect(address(528,40))+indirect(address(526,41))-indirect(address(527,41))</f>
        <v>0</v>
      </c>
    </row>
    <row r="529" spans="1:41">
      <c r="I529" t="s">
        <v>14</v>
      </c>
      <c r="AO529">
        <f>sum(j529:an529)</f>
        <v>0</v>
      </c>
    </row>
    <row r="530" spans="1:41">
      <c r="I530" t="s">
        <v>15</v>
      </c>
      <c r="J530">
        <f>sumif(Plan!B:B,"204-01620",Plan!j:j)</f>
        <v>0</v>
      </c>
      <c r="K530">
        <f>sumif(Plan!B:B,"204-01620",Plan!k:k)</f>
        <v>0</v>
      </c>
      <c r="L530">
        <f>sumif(Plan!B:B,"204-01620",Plan!l:l)</f>
        <v>0</v>
      </c>
      <c r="M530">
        <f>sumif(Plan!B:B,"204-01620",Plan!m:m)</f>
        <v>0</v>
      </c>
      <c r="N530">
        <f>sumif(Plan!B:B,"204-01620",Plan!n:n)</f>
        <v>0</v>
      </c>
      <c r="O530">
        <f>sumif(Plan!B:B,"204-01620",Plan!o:o)</f>
        <v>0</v>
      </c>
      <c r="P530">
        <f>sumif(Plan!B:B,"204-01620",Plan!p:p)</f>
        <v>0</v>
      </c>
      <c r="Q530">
        <f>sumif(Plan!B:B,"204-01620",Plan!q:q)</f>
        <v>0</v>
      </c>
      <c r="R530">
        <f>sumif(Plan!B:B,"204-01620",Plan!r:r)</f>
        <v>0</v>
      </c>
      <c r="S530">
        <f>sumif(Plan!B:B,"204-01620",Plan!s:s)</f>
        <v>0</v>
      </c>
      <c r="T530">
        <f>sumif(Plan!B:B,"204-01620",Plan!t:t)</f>
        <v>0</v>
      </c>
      <c r="U530">
        <f>sumif(Plan!B:B,"204-01620",Plan!u:u)</f>
        <v>0</v>
      </c>
      <c r="V530">
        <f>sumif(Plan!B:B,"204-01620",Plan!v:v)</f>
        <v>0</v>
      </c>
      <c r="W530">
        <f>sumif(Plan!B:B,"204-01620",Plan!w:w)</f>
        <v>0</v>
      </c>
      <c r="X530">
        <f>sumif(Plan!B:B,"204-01620",Plan!x:x)</f>
        <v>0</v>
      </c>
      <c r="Y530">
        <f>sumif(Plan!B:B,"204-01620",Plan!y:y)</f>
        <v>0</v>
      </c>
      <c r="Z530">
        <f>sumif(Plan!B:B,"204-01620",Plan!z:z)</f>
        <v>0</v>
      </c>
      <c r="AA530">
        <f>sumif(Plan!B:B,"204-01620",Plan!aa:aa)</f>
        <v>0</v>
      </c>
      <c r="AB530">
        <f>sumif(Plan!B:B,"204-01620",Plan!ab:ab)</f>
        <v>0</v>
      </c>
      <c r="AC530">
        <f>sumif(Plan!B:B,"204-01620",Plan!ac:ac)</f>
        <v>0</v>
      </c>
      <c r="AD530">
        <f>sumif(Plan!B:B,"204-01620",Plan!ad:ad)</f>
        <v>0</v>
      </c>
      <c r="AE530">
        <f>sumif(Plan!B:B,"204-01620",Plan!ae:ae)</f>
        <v>0</v>
      </c>
      <c r="AF530">
        <f>sumif(Plan!B:B,"204-01620",Plan!af:af)</f>
        <v>0</v>
      </c>
      <c r="AG530">
        <f>sumif(Plan!B:B,"204-01620",Plan!ag:ag)</f>
        <v>0</v>
      </c>
      <c r="AH530">
        <f>sumif(Plan!B:B,"204-01620",Plan!ah:ah)</f>
        <v>0</v>
      </c>
      <c r="AI530">
        <f>sumif(Plan!B:B,"204-01620",Plan!ai:ai)</f>
        <v>0</v>
      </c>
      <c r="AJ530">
        <f>sumif(Plan!B:B,"204-01620",Plan!aj:aj)</f>
        <v>0</v>
      </c>
      <c r="AK530">
        <f>sumif(Plan!B:B,"204-01620",Plan!ak:ak)</f>
        <v>0</v>
      </c>
      <c r="AL530">
        <f>sumif(Plan!B:B,"204-01620",Plan!al:al)</f>
        <v>0</v>
      </c>
      <c r="AM530">
        <f>sumif(Plan!B:B,"204-01620",Plan!am:am)</f>
        <v>0</v>
      </c>
      <c r="AN530">
        <f>sumif(Plan!B:B,"204-01620",Plan!an:an)</f>
        <v>0</v>
      </c>
      <c r="AO530">
        <f>sumif(Plan!B:B,"204-01620",Plan!ao:ao)</f>
        <v>0</v>
      </c>
    </row>
    <row r="531" spans="1:41">
      <c r="A531" t="s">
        <v>43</v>
      </c>
      <c r="B531" t="s">
        <v>330</v>
      </c>
      <c r="C531" t="s">
        <v>331</v>
      </c>
      <c r="E531">
        <v>0.02</v>
      </c>
      <c r="F531" t="s">
        <v>13</v>
      </c>
      <c r="H531" t="s">
        <v>16</v>
      </c>
      <c r="J531">
        <f>indirect(address(531,9))+indirect(address(529,10))-indirect(address(530,10))</f>
        <v>0</v>
      </c>
      <c r="K531">
        <f>indirect(address(531,10))+indirect(address(529,11))-indirect(address(530,11))</f>
        <v>0</v>
      </c>
      <c r="L531">
        <f>indirect(address(531,11))+indirect(address(529,12))-indirect(address(530,12))</f>
        <v>0</v>
      </c>
      <c r="M531">
        <f>indirect(address(531,12))+indirect(address(529,13))-indirect(address(530,13))</f>
        <v>0</v>
      </c>
      <c r="N531">
        <f>indirect(address(531,13))+indirect(address(529,14))-indirect(address(530,14))</f>
        <v>0</v>
      </c>
      <c r="O531">
        <f>indirect(address(531,14))+indirect(address(529,15))-indirect(address(530,15))</f>
        <v>0</v>
      </c>
      <c r="P531">
        <f>indirect(address(531,15))+indirect(address(529,16))-indirect(address(530,16))</f>
        <v>0</v>
      </c>
      <c r="Q531">
        <f>indirect(address(531,16))+indirect(address(529,17))-indirect(address(530,17))</f>
        <v>0</v>
      </c>
      <c r="R531">
        <f>indirect(address(531,17))+indirect(address(529,18))-indirect(address(530,18))</f>
        <v>0</v>
      </c>
      <c r="S531">
        <f>indirect(address(531,18))+indirect(address(529,19))-indirect(address(530,19))</f>
        <v>0</v>
      </c>
      <c r="T531">
        <f>indirect(address(531,19))+indirect(address(529,20))-indirect(address(530,20))</f>
        <v>0</v>
      </c>
      <c r="U531">
        <f>indirect(address(531,20))+indirect(address(529,21))-indirect(address(530,21))</f>
        <v>0</v>
      </c>
      <c r="V531">
        <f>indirect(address(531,21))+indirect(address(529,22))-indirect(address(530,22))</f>
        <v>0</v>
      </c>
      <c r="W531">
        <f>indirect(address(531,22))+indirect(address(529,23))-indirect(address(530,23))</f>
        <v>0</v>
      </c>
      <c r="X531">
        <f>indirect(address(531,23))+indirect(address(529,24))-indirect(address(530,24))</f>
        <v>0</v>
      </c>
      <c r="Y531">
        <f>indirect(address(531,24))+indirect(address(529,25))-indirect(address(530,25))</f>
        <v>0</v>
      </c>
      <c r="Z531">
        <f>indirect(address(531,25))+indirect(address(529,26))-indirect(address(530,26))</f>
        <v>0</v>
      </c>
      <c r="AA531">
        <f>indirect(address(531,26))+indirect(address(529,27))-indirect(address(530,27))</f>
        <v>0</v>
      </c>
      <c r="AB531">
        <f>indirect(address(531,27))+indirect(address(529,28))-indirect(address(530,28))</f>
        <v>0</v>
      </c>
      <c r="AC531">
        <f>indirect(address(531,28))+indirect(address(529,29))-indirect(address(530,29))</f>
        <v>0</v>
      </c>
      <c r="AD531">
        <f>indirect(address(531,29))+indirect(address(529,30))-indirect(address(530,30))</f>
        <v>0</v>
      </c>
      <c r="AE531">
        <f>indirect(address(531,30))+indirect(address(529,31))-indirect(address(530,31))</f>
        <v>0</v>
      </c>
      <c r="AF531">
        <f>indirect(address(531,31))+indirect(address(529,32))-indirect(address(530,32))</f>
        <v>0</v>
      </c>
      <c r="AG531">
        <f>indirect(address(531,32))+indirect(address(529,33))-indirect(address(530,33))</f>
        <v>0</v>
      </c>
      <c r="AH531">
        <f>indirect(address(531,33))+indirect(address(529,34))-indirect(address(530,34))</f>
        <v>0</v>
      </c>
      <c r="AI531">
        <f>indirect(address(531,34))+indirect(address(529,35))-indirect(address(530,35))</f>
        <v>0</v>
      </c>
      <c r="AJ531">
        <f>indirect(address(531,35))+indirect(address(529,36))-indirect(address(530,36))</f>
        <v>0</v>
      </c>
      <c r="AK531">
        <f>indirect(address(531,36))+indirect(address(529,37))-indirect(address(530,37))</f>
        <v>0</v>
      </c>
      <c r="AL531">
        <f>indirect(address(531,37))+indirect(address(529,38))-indirect(address(530,38))</f>
        <v>0</v>
      </c>
      <c r="AM531">
        <f>indirect(address(531,38))+indirect(address(529,39))-indirect(address(530,39))</f>
        <v>0</v>
      </c>
      <c r="AN531">
        <f>indirect(address(531,39))+indirect(address(529,40))-indirect(address(530,40))</f>
        <v>0</v>
      </c>
      <c r="AO531">
        <f>indirect(address(531,40))+indirect(address(529,41))-indirect(address(530,41))</f>
        <v>0</v>
      </c>
    </row>
    <row r="532" spans="1:41">
      <c r="I532" t="s">
        <v>14</v>
      </c>
      <c r="AO532">
        <f>sum(j532:an532)</f>
        <v>0</v>
      </c>
    </row>
    <row r="533" spans="1:41">
      <c r="I533" t="s">
        <v>15</v>
      </c>
      <c r="J533">
        <f>sumif(Plan!B:B,"834-012000-100",Plan!j:j)</f>
        <v>0</v>
      </c>
      <c r="K533">
        <f>sumif(Plan!B:B,"834-012000-100",Plan!k:k)</f>
        <v>0</v>
      </c>
      <c r="L533">
        <f>sumif(Plan!B:B,"834-012000-100",Plan!l:l)</f>
        <v>0</v>
      </c>
      <c r="M533">
        <f>sumif(Plan!B:B,"834-012000-100",Plan!m:m)</f>
        <v>0</v>
      </c>
      <c r="N533">
        <f>sumif(Plan!B:B,"834-012000-100",Plan!n:n)</f>
        <v>0</v>
      </c>
      <c r="O533">
        <f>sumif(Plan!B:B,"834-012000-100",Plan!o:o)</f>
        <v>0</v>
      </c>
      <c r="P533">
        <f>sumif(Plan!B:B,"834-012000-100",Plan!p:p)</f>
        <v>0</v>
      </c>
      <c r="Q533">
        <f>sumif(Plan!B:B,"834-012000-100",Plan!q:q)</f>
        <v>0</v>
      </c>
      <c r="R533">
        <f>sumif(Plan!B:B,"834-012000-100",Plan!r:r)</f>
        <v>0</v>
      </c>
      <c r="S533">
        <f>sumif(Plan!B:B,"834-012000-100",Plan!s:s)</f>
        <v>0</v>
      </c>
      <c r="T533">
        <f>sumif(Plan!B:B,"834-012000-100",Plan!t:t)</f>
        <v>0</v>
      </c>
      <c r="U533">
        <f>sumif(Plan!B:B,"834-012000-100",Plan!u:u)</f>
        <v>0</v>
      </c>
      <c r="V533">
        <f>sumif(Plan!B:B,"834-012000-100",Plan!v:v)</f>
        <v>0</v>
      </c>
      <c r="W533">
        <f>sumif(Plan!B:B,"834-012000-100",Plan!w:w)</f>
        <v>0</v>
      </c>
      <c r="X533">
        <f>sumif(Plan!B:B,"834-012000-100",Plan!x:x)</f>
        <v>0</v>
      </c>
      <c r="Y533">
        <f>sumif(Plan!B:B,"834-012000-100",Plan!y:y)</f>
        <v>0</v>
      </c>
      <c r="Z533">
        <f>sumif(Plan!B:B,"834-012000-100",Plan!z:z)</f>
        <v>0</v>
      </c>
      <c r="AA533">
        <f>sumif(Plan!B:B,"834-012000-100",Plan!aa:aa)</f>
        <v>0</v>
      </c>
      <c r="AB533">
        <f>sumif(Plan!B:B,"834-012000-100",Plan!ab:ab)</f>
        <v>0</v>
      </c>
      <c r="AC533">
        <f>sumif(Plan!B:B,"834-012000-100",Plan!ac:ac)</f>
        <v>0</v>
      </c>
      <c r="AD533">
        <f>sumif(Plan!B:B,"834-012000-100",Plan!ad:ad)</f>
        <v>0</v>
      </c>
      <c r="AE533">
        <f>sumif(Plan!B:B,"834-012000-100",Plan!ae:ae)</f>
        <v>0</v>
      </c>
      <c r="AF533">
        <f>sumif(Plan!B:B,"834-012000-100",Plan!af:af)</f>
        <v>0</v>
      </c>
      <c r="AG533">
        <f>sumif(Plan!B:B,"834-012000-100",Plan!ag:ag)</f>
        <v>0</v>
      </c>
      <c r="AH533">
        <f>sumif(Plan!B:B,"834-012000-100",Plan!ah:ah)</f>
        <v>0</v>
      </c>
      <c r="AI533">
        <f>sumif(Plan!B:B,"834-012000-100",Plan!ai:ai)</f>
        <v>0</v>
      </c>
      <c r="AJ533">
        <f>sumif(Plan!B:B,"834-012000-100",Plan!aj:aj)</f>
        <v>0</v>
      </c>
      <c r="AK533">
        <f>sumif(Plan!B:B,"834-012000-100",Plan!ak:ak)</f>
        <v>0</v>
      </c>
      <c r="AL533">
        <f>sumif(Plan!B:B,"834-012000-100",Plan!al:al)</f>
        <v>0</v>
      </c>
      <c r="AM533">
        <f>sumif(Plan!B:B,"834-012000-100",Plan!am:am)</f>
        <v>0</v>
      </c>
      <c r="AN533">
        <f>sumif(Plan!B:B,"834-012000-100",Plan!an:an)</f>
        <v>0</v>
      </c>
      <c r="AO533">
        <f>sumif(Plan!B:B,"834-012000-100",Plan!ao:ao)</f>
        <v>0</v>
      </c>
    </row>
    <row r="534" spans="1:41">
      <c r="A534" t="s">
        <v>17</v>
      </c>
      <c r="B534" t="s">
        <v>333</v>
      </c>
      <c r="C534" t="s">
        <v>334</v>
      </c>
      <c r="E534">
        <v>1</v>
      </c>
      <c r="F534" t="s">
        <v>13</v>
      </c>
      <c r="H534" t="s">
        <v>16</v>
      </c>
      <c r="J534">
        <f>indirect(address(534,9))+indirect(address(532,10))-indirect(address(533,10))</f>
        <v>0</v>
      </c>
      <c r="K534">
        <f>indirect(address(534,10))+indirect(address(532,11))-indirect(address(533,11))</f>
        <v>0</v>
      </c>
      <c r="L534">
        <f>indirect(address(534,11))+indirect(address(532,12))-indirect(address(533,12))</f>
        <v>0</v>
      </c>
      <c r="M534">
        <f>indirect(address(534,12))+indirect(address(532,13))-indirect(address(533,13))</f>
        <v>0</v>
      </c>
      <c r="N534">
        <f>indirect(address(534,13))+indirect(address(532,14))-indirect(address(533,14))</f>
        <v>0</v>
      </c>
      <c r="O534">
        <f>indirect(address(534,14))+indirect(address(532,15))-indirect(address(533,15))</f>
        <v>0</v>
      </c>
      <c r="P534">
        <f>indirect(address(534,15))+indirect(address(532,16))-indirect(address(533,16))</f>
        <v>0</v>
      </c>
      <c r="Q534">
        <f>indirect(address(534,16))+indirect(address(532,17))-indirect(address(533,17))</f>
        <v>0</v>
      </c>
      <c r="R534">
        <f>indirect(address(534,17))+indirect(address(532,18))-indirect(address(533,18))</f>
        <v>0</v>
      </c>
      <c r="S534">
        <f>indirect(address(534,18))+indirect(address(532,19))-indirect(address(533,19))</f>
        <v>0</v>
      </c>
      <c r="T534">
        <f>indirect(address(534,19))+indirect(address(532,20))-indirect(address(533,20))</f>
        <v>0</v>
      </c>
      <c r="U534">
        <f>indirect(address(534,20))+indirect(address(532,21))-indirect(address(533,21))</f>
        <v>0</v>
      </c>
      <c r="V534">
        <f>indirect(address(534,21))+indirect(address(532,22))-indirect(address(533,22))</f>
        <v>0</v>
      </c>
      <c r="W534">
        <f>indirect(address(534,22))+indirect(address(532,23))-indirect(address(533,23))</f>
        <v>0</v>
      </c>
      <c r="X534">
        <f>indirect(address(534,23))+indirect(address(532,24))-indirect(address(533,24))</f>
        <v>0</v>
      </c>
      <c r="Y534">
        <f>indirect(address(534,24))+indirect(address(532,25))-indirect(address(533,25))</f>
        <v>0</v>
      </c>
      <c r="Z534">
        <f>indirect(address(534,25))+indirect(address(532,26))-indirect(address(533,26))</f>
        <v>0</v>
      </c>
      <c r="AA534">
        <f>indirect(address(534,26))+indirect(address(532,27))-indirect(address(533,27))</f>
        <v>0</v>
      </c>
      <c r="AB534">
        <f>indirect(address(534,27))+indirect(address(532,28))-indirect(address(533,28))</f>
        <v>0</v>
      </c>
      <c r="AC534">
        <f>indirect(address(534,28))+indirect(address(532,29))-indirect(address(533,29))</f>
        <v>0</v>
      </c>
      <c r="AD534">
        <f>indirect(address(534,29))+indirect(address(532,30))-indirect(address(533,30))</f>
        <v>0</v>
      </c>
      <c r="AE534">
        <f>indirect(address(534,30))+indirect(address(532,31))-indirect(address(533,31))</f>
        <v>0</v>
      </c>
      <c r="AF534">
        <f>indirect(address(534,31))+indirect(address(532,32))-indirect(address(533,32))</f>
        <v>0</v>
      </c>
      <c r="AG534">
        <f>indirect(address(534,32))+indirect(address(532,33))-indirect(address(533,33))</f>
        <v>0</v>
      </c>
      <c r="AH534">
        <f>indirect(address(534,33))+indirect(address(532,34))-indirect(address(533,34))</f>
        <v>0</v>
      </c>
      <c r="AI534">
        <f>indirect(address(534,34))+indirect(address(532,35))-indirect(address(533,35))</f>
        <v>0</v>
      </c>
      <c r="AJ534">
        <f>indirect(address(534,35))+indirect(address(532,36))-indirect(address(533,36))</f>
        <v>0</v>
      </c>
      <c r="AK534">
        <f>indirect(address(534,36))+indirect(address(532,37))-indirect(address(533,37))</f>
        <v>0</v>
      </c>
      <c r="AL534">
        <f>indirect(address(534,37))+indirect(address(532,38))-indirect(address(533,38))</f>
        <v>0</v>
      </c>
      <c r="AM534">
        <f>indirect(address(534,38))+indirect(address(532,39))-indirect(address(533,39))</f>
        <v>0</v>
      </c>
      <c r="AN534">
        <f>indirect(address(534,39))+indirect(address(532,40))-indirect(address(533,40))</f>
        <v>0</v>
      </c>
      <c r="AO534">
        <f>indirect(address(534,40))+indirect(address(532,41))-indirect(address(533,41))</f>
        <v>0</v>
      </c>
    </row>
    <row r="535" spans="1:41">
      <c r="I535" t="s">
        <v>14</v>
      </c>
      <c r="AO535">
        <f>sum(j535:an535)</f>
        <v>0</v>
      </c>
    </row>
    <row r="536" spans="1:41">
      <c r="I536" t="s">
        <v>15</v>
      </c>
      <c r="J536">
        <f>sumif(Plan!B:B,"834-013000-100",Plan!j:j)</f>
        <v>0</v>
      </c>
      <c r="K536">
        <f>sumif(Plan!B:B,"834-013000-100",Plan!k:k)</f>
        <v>0</v>
      </c>
      <c r="L536">
        <f>sumif(Plan!B:B,"834-013000-100",Plan!l:l)</f>
        <v>0</v>
      </c>
      <c r="M536">
        <f>sumif(Plan!B:B,"834-013000-100",Plan!m:m)</f>
        <v>0</v>
      </c>
      <c r="N536">
        <f>sumif(Plan!B:B,"834-013000-100",Plan!n:n)</f>
        <v>0</v>
      </c>
      <c r="O536">
        <f>sumif(Plan!B:B,"834-013000-100",Plan!o:o)</f>
        <v>0</v>
      </c>
      <c r="P536">
        <f>sumif(Plan!B:B,"834-013000-100",Plan!p:p)</f>
        <v>0</v>
      </c>
      <c r="Q536">
        <f>sumif(Plan!B:B,"834-013000-100",Plan!q:q)</f>
        <v>0</v>
      </c>
      <c r="R536">
        <f>sumif(Plan!B:B,"834-013000-100",Plan!r:r)</f>
        <v>0</v>
      </c>
      <c r="S536">
        <f>sumif(Plan!B:B,"834-013000-100",Plan!s:s)</f>
        <v>0</v>
      </c>
      <c r="T536">
        <f>sumif(Plan!B:B,"834-013000-100",Plan!t:t)</f>
        <v>0</v>
      </c>
      <c r="U536">
        <f>sumif(Plan!B:B,"834-013000-100",Plan!u:u)</f>
        <v>0</v>
      </c>
      <c r="V536">
        <f>sumif(Plan!B:B,"834-013000-100",Plan!v:v)</f>
        <v>0</v>
      </c>
      <c r="W536">
        <f>sumif(Plan!B:B,"834-013000-100",Plan!w:w)</f>
        <v>0</v>
      </c>
      <c r="X536">
        <f>sumif(Plan!B:B,"834-013000-100",Plan!x:x)</f>
        <v>0</v>
      </c>
      <c r="Y536">
        <f>sumif(Plan!B:B,"834-013000-100",Plan!y:y)</f>
        <v>0</v>
      </c>
      <c r="Z536">
        <f>sumif(Plan!B:B,"834-013000-100",Plan!z:z)</f>
        <v>0</v>
      </c>
      <c r="AA536">
        <f>sumif(Plan!B:B,"834-013000-100",Plan!aa:aa)</f>
        <v>0</v>
      </c>
      <c r="AB536">
        <f>sumif(Plan!B:B,"834-013000-100",Plan!ab:ab)</f>
        <v>0</v>
      </c>
      <c r="AC536">
        <f>sumif(Plan!B:B,"834-013000-100",Plan!ac:ac)</f>
        <v>0</v>
      </c>
      <c r="AD536">
        <f>sumif(Plan!B:B,"834-013000-100",Plan!ad:ad)</f>
        <v>0</v>
      </c>
      <c r="AE536">
        <f>sumif(Plan!B:B,"834-013000-100",Plan!ae:ae)</f>
        <v>0</v>
      </c>
      <c r="AF536">
        <f>sumif(Plan!B:B,"834-013000-100",Plan!af:af)</f>
        <v>0</v>
      </c>
      <c r="AG536">
        <f>sumif(Plan!B:B,"834-013000-100",Plan!ag:ag)</f>
        <v>0</v>
      </c>
      <c r="AH536">
        <f>sumif(Plan!B:B,"834-013000-100",Plan!ah:ah)</f>
        <v>0</v>
      </c>
      <c r="AI536">
        <f>sumif(Plan!B:B,"834-013000-100",Plan!ai:ai)</f>
        <v>0</v>
      </c>
      <c r="AJ536">
        <f>sumif(Plan!B:B,"834-013000-100",Plan!aj:aj)</f>
        <v>0</v>
      </c>
      <c r="AK536">
        <f>sumif(Plan!B:B,"834-013000-100",Plan!ak:ak)</f>
        <v>0</v>
      </c>
      <c r="AL536">
        <f>sumif(Plan!B:B,"834-013000-100",Plan!al:al)</f>
        <v>0</v>
      </c>
      <c r="AM536">
        <f>sumif(Plan!B:B,"834-013000-100",Plan!am:am)</f>
        <v>0</v>
      </c>
      <c r="AN536">
        <f>sumif(Plan!B:B,"834-013000-100",Plan!an:an)</f>
        <v>0</v>
      </c>
      <c r="AO536">
        <f>sumif(Plan!B:B,"834-013000-100",Plan!ao:ao)</f>
        <v>0</v>
      </c>
    </row>
    <row r="537" spans="1:41">
      <c r="A537" t="s">
        <v>17</v>
      </c>
      <c r="B537" t="s">
        <v>335</v>
      </c>
      <c r="C537" t="s">
        <v>336</v>
      </c>
      <c r="E537">
        <v>1</v>
      </c>
      <c r="F537" t="s">
        <v>13</v>
      </c>
      <c r="H537" t="s">
        <v>16</v>
      </c>
      <c r="J537">
        <f>indirect(address(537,9))+indirect(address(535,10))-indirect(address(536,10))</f>
        <v>0</v>
      </c>
      <c r="K537">
        <f>indirect(address(537,10))+indirect(address(535,11))-indirect(address(536,11))</f>
        <v>0</v>
      </c>
      <c r="L537">
        <f>indirect(address(537,11))+indirect(address(535,12))-indirect(address(536,12))</f>
        <v>0</v>
      </c>
      <c r="M537">
        <f>indirect(address(537,12))+indirect(address(535,13))-indirect(address(536,13))</f>
        <v>0</v>
      </c>
      <c r="N537">
        <f>indirect(address(537,13))+indirect(address(535,14))-indirect(address(536,14))</f>
        <v>0</v>
      </c>
      <c r="O537">
        <f>indirect(address(537,14))+indirect(address(535,15))-indirect(address(536,15))</f>
        <v>0</v>
      </c>
      <c r="P537">
        <f>indirect(address(537,15))+indirect(address(535,16))-indirect(address(536,16))</f>
        <v>0</v>
      </c>
      <c r="Q537">
        <f>indirect(address(537,16))+indirect(address(535,17))-indirect(address(536,17))</f>
        <v>0</v>
      </c>
      <c r="R537">
        <f>indirect(address(537,17))+indirect(address(535,18))-indirect(address(536,18))</f>
        <v>0</v>
      </c>
      <c r="S537">
        <f>indirect(address(537,18))+indirect(address(535,19))-indirect(address(536,19))</f>
        <v>0</v>
      </c>
      <c r="T537">
        <f>indirect(address(537,19))+indirect(address(535,20))-indirect(address(536,20))</f>
        <v>0</v>
      </c>
      <c r="U537">
        <f>indirect(address(537,20))+indirect(address(535,21))-indirect(address(536,21))</f>
        <v>0</v>
      </c>
      <c r="V537">
        <f>indirect(address(537,21))+indirect(address(535,22))-indirect(address(536,22))</f>
        <v>0</v>
      </c>
      <c r="W537">
        <f>indirect(address(537,22))+indirect(address(535,23))-indirect(address(536,23))</f>
        <v>0</v>
      </c>
      <c r="X537">
        <f>indirect(address(537,23))+indirect(address(535,24))-indirect(address(536,24))</f>
        <v>0</v>
      </c>
      <c r="Y537">
        <f>indirect(address(537,24))+indirect(address(535,25))-indirect(address(536,25))</f>
        <v>0</v>
      </c>
      <c r="Z537">
        <f>indirect(address(537,25))+indirect(address(535,26))-indirect(address(536,26))</f>
        <v>0</v>
      </c>
      <c r="AA537">
        <f>indirect(address(537,26))+indirect(address(535,27))-indirect(address(536,27))</f>
        <v>0</v>
      </c>
      <c r="AB537">
        <f>indirect(address(537,27))+indirect(address(535,28))-indirect(address(536,28))</f>
        <v>0</v>
      </c>
      <c r="AC537">
        <f>indirect(address(537,28))+indirect(address(535,29))-indirect(address(536,29))</f>
        <v>0</v>
      </c>
      <c r="AD537">
        <f>indirect(address(537,29))+indirect(address(535,30))-indirect(address(536,30))</f>
        <v>0</v>
      </c>
      <c r="AE537">
        <f>indirect(address(537,30))+indirect(address(535,31))-indirect(address(536,31))</f>
        <v>0</v>
      </c>
      <c r="AF537">
        <f>indirect(address(537,31))+indirect(address(535,32))-indirect(address(536,32))</f>
        <v>0</v>
      </c>
      <c r="AG537">
        <f>indirect(address(537,32))+indirect(address(535,33))-indirect(address(536,33))</f>
        <v>0</v>
      </c>
      <c r="AH537">
        <f>indirect(address(537,33))+indirect(address(535,34))-indirect(address(536,34))</f>
        <v>0</v>
      </c>
      <c r="AI537">
        <f>indirect(address(537,34))+indirect(address(535,35))-indirect(address(536,35))</f>
        <v>0</v>
      </c>
      <c r="AJ537">
        <f>indirect(address(537,35))+indirect(address(535,36))-indirect(address(536,36))</f>
        <v>0</v>
      </c>
      <c r="AK537">
        <f>indirect(address(537,36))+indirect(address(535,37))-indirect(address(536,37))</f>
        <v>0</v>
      </c>
      <c r="AL537">
        <f>indirect(address(537,37))+indirect(address(535,38))-indirect(address(536,38))</f>
        <v>0</v>
      </c>
      <c r="AM537">
        <f>indirect(address(537,38))+indirect(address(535,39))-indirect(address(536,39))</f>
        <v>0</v>
      </c>
      <c r="AN537">
        <f>indirect(address(537,39))+indirect(address(535,40))-indirect(address(536,40))</f>
        <v>0</v>
      </c>
      <c r="AO537">
        <f>indirect(address(537,40))+indirect(address(535,41))-indirect(address(536,41))</f>
        <v>0</v>
      </c>
    </row>
    <row r="538" spans="1:41">
      <c r="I538" t="s">
        <v>14</v>
      </c>
      <c r="AO538">
        <f>sum(j538:an538)</f>
        <v>0</v>
      </c>
    </row>
    <row r="539" spans="1:41">
      <c r="I539" t="s">
        <v>15</v>
      </c>
      <c r="J539">
        <f>sumif(Plan!B:B,"263-000000-036",Plan!j:j)</f>
        <v>0</v>
      </c>
      <c r="K539">
        <f>sumif(Plan!B:B,"263-000000-036",Plan!k:k)</f>
        <v>0</v>
      </c>
      <c r="L539">
        <f>sumif(Plan!B:B,"263-000000-036",Plan!l:l)</f>
        <v>0</v>
      </c>
      <c r="M539">
        <f>sumif(Plan!B:B,"263-000000-036",Plan!m:m)</f>
        <v>0</v>
      </c>
      <c r="N539">
        <f>sumif(Plan!B:B,"263-000000-036",Plan!n:n)</f>
        <v>0</v>
      </c>
      <c r="O539">
        <f>sumif(Plan!B:B,"263-000000-036",Plan!o:o)</f>
        <v>0</v>
      </c>
      <c r="P539">
        <f>sumif(Plan!B:B,"263-000000-036",Plan!p:p)</f>
        <v>0</v>
      </c>
      <c r="Q539">
        <f>sumif(Plan!B:B,"263-000000-036",Plan!q:q)</f>
        <v>0</v>
      </c>
      <c r="R539">
        <f>sumif(Plan!B:B,"263-000000-036",Plan!r:r)</f>
        <v>0</v>
      </c>
      <c r="S539">
        <f>sumif(Plan!B:B,"263-000000-036",Plan!s:s)</f>
        <v>0</v>
      </c>
      <c r="T539">
        <f>sumif(Plan!B:B,"263-000000-036",Plan!t:t)</f>
        <v>0</v>
      </c>
      <c r="U539">
        <f>sumif(Plan!B:B,"263-000000-036",Plan!u:u)</f>
        <v>0</v>
      </c>
      <c r="V539">
        <f>sumif(Plan!B:B,"263-000000-036",Plan!v:v)</f>
        <v>0</v>
      </c>
      <c r="W539">
        <f>sumif(Plan!B:B,"263-000000-036",Plan!w:w)</f>
        <v>0</v>
      </c>
      <c r="X539">
        <f>sumif(Plan!B:B,"263-000000-036",Plan!x:x)</f>
        <v>0</v>
      </c>
      <c r="Y539">
        <f>sumif(Plan!B:B,"263-000000-036",Plan!y:y)</f>
        <v>0</v>
      </c>
      <c r="Z539">
        <f>sumif(Plan!B:B,"263-000000-036",Plan!z:z)</f>
        <v>0</v>
      </c>
      <c r="AA539">
        <f>sumif(Plan!B:B,"263-000000-036",Plan!aa:aa)</f>
        <v>0</v>
      </c>
      <c r="AB539">
        <f>sumif(Plan!B:B,"263-000000-036",Plan!ab:ab)</f>
        <v>0</v>
      </c>
      <c r="AC539">
        <f>sumif(Plan!B:B,"263-000000-036",Plan!ac:ac)</f>
        <v>0</v>
      </c>
      <c r="AD539">
        <f>sumif(Plan!B:B,"263-000000-036",Plan!ad:ad)</f>
        <v>0</v>
      </c>
      <c r="AE539">
        <f>sumif(Plan!B:B,"263-000000-036",Plan!ae:ae)</f>
        <v>0</v>
      </c>
      <c r="AF539">
        <f>sumif(Plan!B:B,"263-000000-036",Plan!af:af)</f>
        <v>0</v>
      </c>
      <c r="AG539">
        <f>sumif(Plan!B:B,"263-000000-036",Plan!ag:ag)</f>
        <v>0</v>
      </c>
      <c r="AH539">
        <f>sumif(Plan!B:B,"263-000000-036",Plan!ah:ah)</f>
        <v>0</v>
      </c>
      <c r="AI539">
        <f>sumif(Plan!B:B,"263-000000-036",Plan!ai:ai)</f>
        <v>0</v>
      </c>
      <c r="AJ539">
        <f>sumif(Plan!B:B,"263-000000-036",Plan!aj:aj)</f>
        <v>0</v>
      </c>
      <c r="AK539">
        <f>sumif(Plan!B:B,"263-000000-036",Plan!ak:ak)</f>
        <v>0</v>
      </c>
      <c r="AL539">
        <f>sumif(Plan!B:B,"263-000000-036",Plan!al:al)</f>
        <v>0</v>
      </c>
      <c r="AM539">
        <f>sumif(Plan!B:B,"263-000000-036",Plan!am:am)</f>
        <v>0</v>
      </c>
      <c r="AN539">
        <f>sumif(Plan!B:B,"263-000000-036",Plan!an:an)</f>
        <v>0</v>
      </c>
      <c r="AO539">
        <f>sumif(Plan!B:B,"263-000000-036",Plan!ao:ao)</f>
        <v>0</v>
      </c>
    </row>
    <row r="540" spans="1:41">
      <c r="A540" t="s">
        <v>22</v>
      </c>
      <c r="B540" t="s">
        <v>322</v>
      </c>
      <c r="C540" t="s">
        <v>323</v>
      </c>
      <c r="E540">
        <v>2</v>
      </c>
      <c r="F540" t="s">
        <v>13</v>
      </c>
      <c r="H540" t="s">
        <v>16</v>
      </c>
      <c r="J540">
        <f>indirect(address(540,9))+indirect(address(538,10))-indirect(address(539,10))</f>
        <v>0</v>
      </c>
      <c r="K540">
        <f>indirect(address(540,10))+indirect(address(538,11))-indirect(address(539,11))</f>
        <v>0</v>
      </c>
      <c r="L540">
        <f>indirect(address(540,11))+indirect(address(538,12))-indirect(address(539,12))</f>
        <v>0</v>
      </c>
      <c r="M540">
        <f>indirect(address(540,12))+indirect(address(538,13))-indirect(address(539,13))</f>
        <v>0</v>
      </c>
      <c r="N540">
        <f>indirect(address(540,13))+indirect(address(538,14))-indirect(address(539,14))</f>
        <v>0</v>
      </c>
      <c r="O540">
        <f>indirect(address(540,14))+indirect(address(538,15))-indirect(address(539,15))</f>
        <v>0</v>
      </c>
      <c r="P540">
        <f>indirect(address(540,15))+indirect(address(538,16))-indirect(address(539,16))</f>
        <v>0</v>
      </c>
      <c r="Q540">
        <f>indirect(address(540,16))+indirect(address(538,17))-indirect(address(539,17))</f>
        <v>0</v>
      </c>
      <c r="R540">
        <f>indirect(address(540,17))+indirect(address(538,18))-indirect(address(539,18))</f>
        <v>0</v>
      </c>
      <c r="S540">
        <f>indirect(address(540,18))+indirect(address(538,19))-indirect(address(539,19))</f>
        <v>0</v>
      </c>
      <c r="T540">
        <f>indirect(address(540,19))+indirect(address(538,20))-indirect(address(539,20))</f>
        <v>0</v>
      </c>
      <c r="U540">
        <f>indirect(address(540,20))+indirect(address(538,21))-indirect(address(539,21))</f>
        <v>0</v>
      </c>
      <c r="V540">
        <f>indirect(address(540,21))+indirect(address(538,22))-indirect(address(539,22))</f>
        <v>0</v>
      </c>
      <c r="W540">
        <f>indirect(address(540,22))+indirect(address(538,23))-indirect(address(539,23))</f>
        <v>0</v>
      </c>
      <c r="X540">
        <f>indirect(address(540,23))+indirect(address(538,24))-indirect(address(539,24))</f>
        <v>0</v>
      </c>
      <c r="Y540">
        <f>indirect(address(540,24))+indirect(address(538,25))-indirect(address(539,25))</f>
        <v>0</v>
      </c>
      <c r="Z540">
        <f>indirect(address(540,25))+indirect(address(538,26))-indirect(address(539,26))</f>
        <v>0</v>
      </c>
      <c r="AA540">
        <f>indirect(address(540,26))+indirect(address(538,27))-indirect(address(539,27))</f>
        <v>0</v>
      </c>
      <c r="AB540">
        <f>indirect(address(540,27))+indirect(address(538,28))-indirect(address(539,28))</f>
        <v>0</v>
      </c>
      <c r="AC540">
        <f>indirect(address(540,28))+indirect(address(538,29))-indirect(address(539,29))</f>
        <v>0</v>
      </c>
      <c r="AD540">
        <f>indirect(address(540,29))+indirect(address(538,30))-indirect(address(539,30))</f>
        <v>0</v>
      </c>
      <c r="AE540">
        <f>indirect(address(540,30))+indirect(address(538,31))-indirect(address(539,31))</f>
        <v>0</v>
      </c>
      <c r="AF540">
        <f>indirect(address(540,31))+indirect(address(538,32))-indirect(address(539,32))</f>
        <v>0</v>
      </c>
      <c r="AG540">
        <f>indirect(address(540,32))+indirect(address(538,33))-indirect(address(539,33))</f>
        <v>0</v>
      </c>
      <c r="AH540">
        <f>indirect(address(540,33))+indirect(address(538,34))-indirect(address(539,34))</f>
        <v>0</v>
      </c>
      <c r="AI540">
        <f>indirect(address(540,34))+indirect(address(538,35))-indirect(address(539,35))</f>
        <v>0</v>
      </c>
      <c r="AJ540">
        <f>indirect(address(540,35))+indirect(address(538,36))-indirect(address(539,36))</f>
        <v>0</v>
      </c>
      <c r="AK540">
        <f>indirect(address(540,36))+indirect(address(538,37))-indirect(address(539,37))</f>
        <v>0</v>
      </c>
      <c r="AL540">
        <f>indirect(address(540,37))+indirect(address(538,38))-indirect(address(539,38))</f>
        <v>0</v>
      </c>
      <c r="AM540">
        <f>indirect(address(540,38))+indirect(address(538,39))-indirect(address(539,39))</f>
        <v>0</v>
      </c>
      <c r="AN540">
        <f>indirect(address(540,39))+indirect(address(538,40))-indirect(address(539,40))</f>
        <v>0</v>
      </c>
      <c r="AO540">
        <f>indirect(address(540,40))+indirect(address(538,41))-indirect(address(539,41))</f>
        <v>0</v>
      </c>
    </row>
    <row r="541" spans="1:41">
      <c r="I541" t="s">
        <v>14</v>
      </c>
      <c r="AO541">
        <f>sum(j541:an541)</f>
        <v>0</v>
      </c>
    </row>
    <row r="542" spans="1:41">
      <c r="I542" t="s">
        <v>15</v>
      </c>
      <c r="J542">
        <f>sumif(Plan!B:B,"204-01621",Plan!j:j)</f>
        <v>0</v>
      </c>
      <c r="K542">
        <f>sumif(Plan!B:B,"204-01621",Plan!k:k)</f>
        <v>0</v>
      </c>
      <c r="L542">
        <f>sumif(Plan!B:B,"204-01621",Plan!l:l)</f>
        <v>0</v>
      </c>
      <c r="M542">
        <f>sumif(Plan!B:B,"204-01621",Plan!m:m)</f>
        <v>0</v>
      </c>
      <c r="N542">
        <f>sumif(Plan!B:B,"204-01621",Plan!n:n)</f>
        <v>0</v>
      </c>
      <c r="O542">
        <f>sumif(Plan!B:B,"204-01621",Plan!o:o)</f>
        <v>0</v>
      </c>
      <c r="P542">
        <f>sumif(Plan!B:B,"204-01621",Plan!p:p)</f>
        <v>0</v>
      </c>
      <c r="Q542">
        <f>sumif(Plan!B:B,"204-01621",Plan!q:q)</f>
        <v>0</v>
      </c>
      <c r="R542">
        <f>sumif(Plan!B:B,"204-01621",Plan!r:r)</f>
        <v>0</v>
      </c>
      <c r="S542">
        <f>sumif(Plan!B:B,"204-01621",Plan!s:s)</f>
        <v>0</v>
      </c>
      <c r="T542">
        <f>sumif(Plan!B:B,"204-01621",Plan!t:t)</f>
        <v>0</v>
      </c>
      <c r="U542">
        <f>sumif(Plan!B:B,"204-01621",Plan!u:u)</f>
        <v>0</v>
      </c>
      <c r="V542">
        <f>sumif(Plan!B:B,"204-01621",Plan!v:v)</f>
        <v>0</v>
      </c>
      <c r="W542">
        <f>sumif(Plan!B:B,"204-01621",Plan!w:w)</f>
        <v>0</v>
      </c>
      <c r="X542">
        <f>sumif(Plan!B:B,"204-01621",Plan!x:x)</f>
        <v>0</v>
      </c>
      <c r="Y542">
        <f>sumif(Plan!B:B,"204-01621",Plan!y:y)</f>
        <v>0</v>
      </c>
      <c r="Z542">
        <f>sumif(Plan!B:B,"204-01621",Plan!z:z)</f>
        <v>0</v>
      </c>
      <c r="AA542">
        <f>sumif(Plan!B:B,"204-01621",Plan!aa:aa)</f>
        <v>0</v>
      </c>
      <c r="AB542">
        <f>sumif(Plan!B:B,"204-01621",Plan!ab:ab)</f>
        <v>0</v>
      </c>
      <c r="AC542">
        <f>sumif(Plan!B:B,"204-01621",Plan!ac:ac)</f>
        <v>0</v>
      </c>
      <c r="AD542">
        <f>sumif(Plan!B:B,"204-01621",Plan!ad:ad)</f>
        <v>0</v>
      </c>
      <c r="AE542">
        <f>sumif(Plan!B:B,"204-01621",Plan!ae:ae)</f>
        <v>0</v>
      </c>
      <c r="AF542">
        <f>sumif(Plan!B:B,"204-01621",Plan!af:af)</f>
        <v>0</v>
      </c>
      <c r="AG542">
        <f>sumif(Plan!B:B,"204-01621",Plan!ag:ag)</f>
        <v>0</v>
      </c>
      <c r="AH542">
        <f>sumif(Plan!B:B,"204-01621",Plan!ah:ah)</f>
        <v>0</v>
      </c>
      <c r="AI542">
        <f>sumif(Plan!B:B,"204-01621",Plan!ai:ai)</f>
        <v>0</v>
      </c>
      <c r="AJ542">
        <f>sumif(Plan!B:B,"204-01621",Plan!aj:aj)</f>
        <v>0</v>
      </c>
      <c r="AK542">
        <f>sumif(Plan!B:B,"204-01621",Plan!ak:ak)</f>
        <v>0</v>
      </c>
      <c r="AL542">
        <f>sumif(Plan!B:B,"204-01621",Plan!al:al)</f>
        <v>0</v>
      </c>
      <c r="AM542">
        <f>sumif(Plan!B:B,"204-01621",Plan!am:am)</f>
        <v>0</v>
      </c>
      <c r="AN542">
        <f>sumif(Plan!B:B,"204-01621",Plan!an:an)</f>
        <v>0</v>
      </c>
      <c r="AO542">
        <f>sumif(Plan!B:B,"204-01621",Plan!ao:ao)</f>
        <v>0</v>
      </c>
    </row>
    <row r="543" spans="1:41">
      <c r="A543" t="s">
        <v>43</v>
      </c>
      <c r="B543" t="s">
        <v>337</v>
      </c>
      <c r="C543" t="s">
        <v>338</v>
      </c>
      <c r="E543">
        <v>0.02</v>
      </c>
      <c r="F543" t="s">
        <v>13</v>
      </c>
      <c r="H543" t="s">
        <v>16</v>
      </c>
      <c r="J543">
        <f>indirect(address(543,9))+indirect(address(541,10))-indirect(address(542,10))</f>
        <v>0</v>
      </c>
      <c r="K543">
        <f>indirect(address(543,10))+indirect(address(541,11))-indirect(address(542,11))</f>
        <v>0</v>
      </c>
      <c r="L543">
        <f>indirect(address(543,11))+indirect(address(541,12))-indirect(address(542,12))</f>
        <v>0</v>
      </c>
      <c r="M543">
        <f>indirect(address(543,12))+indirect(address(541,13))-indirect(address(542,13))</f>
        <v>0</v>
      </c>
      <c r="N543">
        <f>indirect(address(543,13))+indirect(address(541,14))-indirect(address(542,14))</f>
        <v>0</v>
      </c>
      <c r="O543">
        <f>indirect(address(543,14))+indirect(address(541,15))-indirect(address(542,15))</f>
        <v>0</v>
      </c>
      <c r="P543">
        <f>indirect(address(543,15))+indirect(address(541,16))-indirect(address(542,16))</f>
        <v>0</v>
      </c>
      <c r="Q543">
        <f>indirect(address(543,16))+indirect(address(541,17))-indirect(address(542,17))</f>
        <v>0</v>
      </c>
      <c r="R543">
        <f>indirect(address(543,17))+indirect(address(541,18))-indirect(address(542,18))</f>
        <v>0</v>
      </c>
      <c r="S543">
        <f>indirect(address(543,18))+indirect(address(541,19))-indirect(address(542,19))</f>
        <v>0</v>
      </c>
      <c r="T543">
        <f>indirect(address(543,19))+indirect(address(541,20))-indirect(address(542,20))</f>
        <v>0</v>
      </c>
      <c r="U543">
        <f>indirect(address(543,20))+indirect(address(541,21))-indirect(address(542,21))</f>
        <v>0</v>
      </c>
      <c r="V543">
        <f>indirect(address(543,21))+indirect(address(541,22))-indirect(address(542,22))</f>
        <v>0</v>
      </c>
      <c r="W543">
        <f>indirect(address(543,22))+indirect(address(541,23))-indirect(address(542,23))</f>
        <v>0</v>
      </c>
      <c r="X543">
        <f>indirect(address(543,23))+indirect(address(541,24))-indirect(address(542,24))</f>
        <v>0</v>
      </c>
      <c r="Y543">
        <f>indirect(address(543,24))+indirect(address(541,25))-indirect(address(542,25))</f>
        <v>0</v>
      </c>
      <c r="Z543">
        <f>indirect(address(543,25))+indirect(address(541,26))-indirect(address(542,26))</f>
        <v>0</v>
      </c>
      <c r="AA543">
        <f>indirect(address(543,26))+indirect(address(541,27))-indirect(address(542,27))</f>
        <v>0</v>
      </c>
      <c r="AB543">
        <f>indirect(address(543,27))+indirect(address(541,28))-indirect(address(542,28))</f>
        <v>0</v>
      </c>
      <c r="AC543">
        <f>indirect(address(543,28))+indirect(address(541,29))-indirect(address(542,29))</f>
        <v>0</v>
      </c>
      <c r="AD543">
        <f>indirect(address(543,29))+indirect(address(541,30))-indirect(address(542,30))</f>
        <v>0</v>
      </c>
      <c r="AE543">
        <f>indirect(address(543,30))+indirect(address(541,31))-indirect(address(542,31))</f>
        <v>0</v>
      </c>
      <c r="AF543">
        <f>indirect(address(543,31))+indirect(address(541,32))-indirect(address(542,32))</f>
        <v>0</v>
      </c>
      <c r="AG543">
        <f>indirect(address(543,32))+indirect(address(541,33))-indirect(address(542,33))</f>
        <v>0</v>
      </c>
      <c r="AH543">
        <f>indirect(address(543,33))+indirect(address(541,34))-indirect(address(542,34))</f>
        <v>0</v>
      </c>
      <c r="AI543">
        <f>indirect(address(543,34))+indirect(address(541,35))-indirect(address(542,35))</f>
        <v>0</v>
      </c>
      <c r="AJ543">
        <f>indirect(address(543,35))+indirect(address(541,36))-indirect(address(542,36))</f>
        <v>0</v>
      </c>
      <c r="AK543">
        <f>indirect(address(543,36))+indirect(address(541,37))-indirect(address(542,37))</f>
        <v>0</v>
      </c>
      <c r="AL543">
        <f>indirect(address(543,37))+indirect(address(541,38))-indirect(address(542,38))</f>
        <v>0</v>
      </c>
      <c r="AM543">
        <f>indirect(address(543,38))+indirect(address(541,39))-indirect(address(542,39))</f>
        <v>0</v>
      </c>
      <c r="AN543">
        <f>indirect(address(543,39))+indirect(address(541,40))-indirect(address(542,40))</f>
        <v>0</v>
      </c>
      <c r="AO543">
        <f>indirect(address(543,40))+indirect(address(541,41))-indirect(address(542,41))</f>
        <v>0</v>
      </c>
    </row>
    <row r="544" spans="1:41">
      <c r="I544" t="s">
        <v>14</v>
      </c>
      <c r="AO544">
        <f>sum(j544:an544)</f>
        <v>0</v>
      </c>
    </row>
    <row r="545" spans="1:41">
      <c r="I545" t="s">
        <v>15</v>
      </c>
      <c r="J545">
        <f>sumif(Plan!B:B,"821-060000-200",Plan!j:j)</f>
        <v>0</v>
      </c>
      <c r="K545">
        <f>sumif(Plan!B:B,"821-060000-200",Plan!k:k)</f>
        <v>0</v>
      </c>
      <c r="L545">
        <f>sumif(Plan!B:B,"821-060000-200",Plan!l:l)</f>
        <v>0</v>
      </c>
      <c r="M545">
        <f>sumif(Plan!B:B,"821-060000-200",Plan!m:m)</f>
        <v>0</v>
      </c>
      <c r="N545">
        <f>sumif(Plan!B:B,"821-060000-200",Plan!n:n)</f>
        <v>0</v>
      </c>
      <c r="O545">
        <f>sumif(Plan!B:B,"821-060000-200",Plan!o:o)</f>
        <v>0</v>
      </c>
      <c r="P545">
        <f>sumif(Plan!B:B,"821-060000-200",Plan!p:p)</f>
        <v>0</v>
      </c>
      <c r="Q545">
        <f>sumif(Plan!B:B,"821-060000-200",Plan!q:q)</f>
        <v>0</v>
      </c>
      <c r="R545">
        <f>sumif(Plan!B:B,"821-060000-200",Plan!r:r)</f>
        <v>0</v>
      </c>
      <c r="S545">
        <f>sumif(Plan!B:B,"821-060000-200",Plan!s:s)</f>
        <v>0</v>
      </c>
      <c r="T545">
        <f>sumif(Plan!B:B,"821-060000-200",Plan!t:t)</f>
        <v>0</v>
      </c>
      <c r="U545">
        <f>sumif(Plan!B:B,"821-060000-200",Plan!u:u)</f>
        <v>0</v>
      </c>
      <c r="V545">
        <f>sumif(Plan!B:B,"821-060000-200",Plan!v:v)</f>
        <v>0</v>
      </c>
      <c r="W545">
        <f>sumif(Plan!B:B,"821-060000-200",Plan!w:w)</f>
        <v>0</v>
      </c>
      <c r="X545">
        <f>sumif(Plan!B:B,"821-060000-200",Plan!x:x)</f>
        <v>0</v>
      </c>
      <c r="Y545">
        <f>sumif(Plan!B:B,"821-060000-200",Plan!y:y)</f>
        <v>0</v>
      </c>
      <c r="Z545">
        <f>sumif(Plan!B:B,"821-060000-200",Plan!z:z)</f>
        <v>0</v>
      </c>
      <c r="AA545">
        <f>sumif(Plan!B:B,"821-060000-200",Plan!aa:aa)</f>
        <v>0</v>
      </c>
      <c r="AB545">
        <f>sumif(Plan!B:B,"821-060000-200",Plan!ab:ab)</f>
        <v>0</v>
      </c>
      <c r="AC545">
        <f>sumif(Plan!B:B,"821-060000-200",Plan!ac:ac)</f>
        <v>0</v>
      </c>
      <c r="AD545">
        <f>sumif(Plan!B:B,"821-060000-200",Plan!ad:ad)</f>
        <v>0</v>
      </c>
      <c r="AE545">
        <f>sumif(Plan!B:B,"821-060000-200",Plan!ae:ae)</f>
        <v>0</v>
      </c>
      <c r="AF545">
        <f>sumif(Plan!B:B,"821-060000-200",Plan!af:af)</f>
        <v>0</v>
      </c>
      <c r="AG545">
        <f>sumif(Plan!B:B,"821-060000-200",Plan!ag:ag)</f>
        <v>0</v>
      </c>
      <c r="AH545">
        <f>sumif(Plan!B:B,"821-060000-200",Plan!ah:ah)</f>
        <v>0</v>
      </c>
      <c r="AI545">
        <f>sumif(Plan!B:B,"821-060000-200",Plan!ai:ai)</f>
        <v>0</v>
      </c>
      <c r="AJ545">
        <f>sumif(Plan!B:B,"821-060000-200",Plan!aj:aj)</f>
        <v>0</v>
      </c>
      <c r="AK545">
        <f>sumif(Plan!B:B,"821-060000-200",Plan!ak:ak)</f>
        <v>0</v>
      </c>
      <c r="AL545">
        <f>sumif(Plan!B:B,"821-060000-200",Plan!al:al)</f>
        <v>0</v>
      </c>
      <c r="AM545">
        <f>sumif(Plan!B:B,"821-060000-200",Plan!am:am)</f>
        <v>0</v>
      </c>
      <c r="AN545">
        <f>sumif(Plan!B:B,"821-060000-200",Plan!an:an)</f>
        <v>0</v>
      </c>
      <c r="AO545">
        <f>sumif(Plan!B:B,"821-060000-200",Plan!ao:ao)</f>
        <v>0</v>
      </c>
    </row>
    <row r="546" spans="1:41">
      <c r="A546" t="s">
        <v>17</v>
      </c>
      <c r="B546" t="s">
        <v>341</v>
      </c>
      <c r="C546" t="s">
        <v>342</v>
      </c>
      <c r="E546">
        <v>1</v>
      </c>
      <c r="F546" t="s">
        <v>13</v>
      </c>
      <c r="H546" t="s">
        <v>16</v>
      </c>
      <c r="J546">
        <f>indirect(address(546,9))+indirect(address(544,10))-indirect(address(545,10))</f>
        <v>0</v>
      </c>
      <c r="K546">
        <f>indirect(address(546,10))+indirect(address(544,11))-indirect(address(545,11))</f>
        <v>0</v>
      </c>
      <c r="L546">
        <f>indirect(address(546,11))+indirect(address(544,12))-indirect(address(545,12))</f>
        <v>0</v>
      </c>
      <c r="M546">
        <f>indirect(address(546,12))+indirect(address(544,13))-indirect(address(545,13))</f>
        <v>0</v>
      </c>
      <c r="N546">
        <f>indirect(address(546,13))+indirect(address(544,14))-indirect(address(545,14))</f>
        <v>0</v>
      </c>
      <c r="O546">
        <f>indirect(address(546,14))+indirect(address(544,15))-indirect(address(545,15))</f>
        <v>0</v>
      </c>
      <c r="P546">
        <f>indirect(address(546,15))+indirect(address(544,16))-indirect(address(545,16))</f>
        <v>0</v>
      </c>
      <c r="Q546">
        <f>indirect(address(546,16))+indirect(address(544,17))-indirect(address(545,17))</f>
        <v>0</v>
      </c>
      <c r="R546">
        <f>indirect(address(546,17))+indirect(address(544,18))-indirect(address(545,18))</f>
        <v>0</v>
      </c>
      <c r="S546">
        <f>indirect(address(546,18))+indirect(address(544,19))-indirect(address(545,19))</f>
        <v>0</v>
      </c>
      <c r="T546">
        <f>indirect(address(546,19))+indirect(address(544,20))-indirect(address(545,20))</f>
        <v>0</v>
      </c>
      <c r="U546">
        <f>indirect(address(546,20))+indirect(address(544,21))-indirect(address(545,21))</f>
        <v>0</v>
      </c>
      <c r="V546">
        <f>indirect(address(546,21))+indirect(address(544,22))-indirect(address(545,22))</f>
        <v>0</v>
      </c>
      <c r="W546">
        <f>indirect(address(546,22))+indirect(address(544,23))-indirect(address(545,23))</f>
        <v>0</v>
      </c>
      <c r="X546">
        <f>indirect(address(546,23))+indirect(address(544,24))-indirect(address(545,24))</f>
        <v>0</v>
      </c>
      <c r="Y546">
        <f>indirect(address(546,24))+indirect(address(544,25))-indirect(address(545,25))</f>
        <v>0</v>
      </c>
      <c r="Z546">
        <f>indirect(address(546,25))+indirect(address(544,26))-indirect(address(545,26))</f>
        <v>0</v>
      </c>
      <c r="AA546">
        <f>indirect(address(546,26))+indirect(address(544,27))-indirect(address(545,27))</f>
        <v>0</v>
      </c>
      <c r="AB546">
        <f>indirect(address(546,27))+indirect(address(544,28))-indirect(address(545,28))</f>
        <v>0</v>
      </c>
      <c r="AC546">
        <f>indirect(address(546,28))+indirect(address(544,29))-indirect(address(545,29))</f>
        <v>0</v>
      </c>
      <c r="AD546">
        <f>indirect(address(546,29))+indirect(address(544,30))-indirect(address(545,30))</f>
        <v>0</v>
      </c>
      <c r="AE546">
        <f>indirect(address(546,30))+indirect(address(544,31))-indirect(address(545,31))</f>
        <v>0</v>
      </c>
      <c r="AF546">
        <f>indirect(address(546,31))+indirect(address(544,32))-indirect(address(545,32))</f>
        <v>0</v>
      </c>
      <c r="AG546">
        <f>indirect(address(546,32))+indirect(address(544,33))-indirect(address(545,33))</f>
        <v>0</v>
      </c>
      <c r="AH546">
        <f>indirect(address(546,33))+indirect(address(544,34))-indirect(address(545,34))</f>
        <v>0</v>
      </c>
      <c r="AI546">
        <f>indirect(address(546,34))+indirect(address(544,35))-indirect(address(545,35))</f>
        <v>0</v>
      </c>
      <c r="AJ546">
        <f>indirect(address(546,35))+indirect(address(544,36))-indirect(address(545,36))</f>
        <v>0</v>
      </c>
      <c r="AK546">
        <f>indirect(address(546,36))+indirect(address(544,37))-indirect(address(545,37))</f>
        <v>0</v>
      </c>
      <c r="AL546">
        <f>indirect(address(546,37))+indirect(address(544,38))-indirect(address(545,38))</f>
        <v>0</v>
      </c>
      <c r="AM546">
        <f>indirect(address(546,38))+indirect(address(544,39))-indirect(address(545,39))</f>
        <v>0</v>
      </c>
      <c r="AN546">
        <f>indirect(address(546,39))+indirect(address(544,40))-indirect(address(545,40))</f>
        <v>0</v>
      </c>
      <c r="AO546">
        <f>indirect(address(546,40))+indirect(address(544,41))-indirect(address(545,41))</f>
        <v>0</v>
      </c>
    </row>
    <row r="547" spans="1:41">
      <c r="I547" t="s">
        <v>14</v>
      </c>
      <c r="AO547">
        <f>sum(j547:an547)</f>
        <v>0</v>
      </c>
    </row>
    <row r="548" spans="1:41">
      <c r="I548" t="s">
        <v>15</v>
      </c>
      <c r="J548">
        <f>sumif(Plan!B:B,"821-062000-100",Plan!j:j)</f>
        <v>0</v>
      </c>
      <c r="K548">
        <f>sumif(Plan!B:B,"821-062000-100",Plan!k:k)</f>
        <v>0</v>
      </c>
      <c r="L548">
        <f>sumif(Plan!B:B,"821-062000-100",Plan!l:l)</f>
        <v>0</v>
      </c>
      <c r="M548">
        <f>sumif(Plan!B:B,"821-062000-100",Plan!m:m)</f>
        <v>0</v>
      </c>
      <c r="N548">
        <f>sumif(Plan!B:B,"821-062000-100",Plan!n:n)</f>
        <v>0</v>
      </c>
      <c r="O548">
        <f>sumif(Plan!B:B,"821-062000-100",Plan!o:o)</f>
        <v>0</v>
      </c>
      <c r="P548">
        <f>sumif(Plan!B:B,"821-062000-100",Plan!p:p)</f>
        <v>0</v>
      </c>
      <c r="Q548">
        <f>sumif(Plan!B:B,"821-062000-100",Plan!q:q)</f>
        <v>0</v>
      </c>
      <c r="R548">
        <f>sumif(Plan!B:B,"821-062000-100",Plan!r:r)</f>
        <v>0</v>
      </c>
      <c r="S548">
        <f>sumif(Plan!B:B,"821-062000-100",Plan!s:s)</f>
        <v>0</v>
      </c>
      <c r="T548">
        <f>sumif(Plan!B:B,"821-062000-100",Plan!t:t)</f>
        <v>0</v>
      </c>
      <c r="U548">
        <f>sumif(Plan!B:B,"821-062000-100",Plan!u:u)</f>
        <v>0</v>
      </c>
      <c r="V548">
        <f>sumif(Plan!B:B,"821-062000-100",Plan!v:v)</f>
        <v>0</v>
      </c>
      <c r="W548">
        <f>sumif(Plan!B:B,"821-062000-100",Plan!w:w)</f>
        <v>0</v>
      </c>
      <c r="X548">
        <f>sumif(Plan!B:B,"821-062000-100",Plan!x:x)</f>
        <v>0</v>
      </c>
      <c r="Y548">
        <f>sumif(Plan!B:B,"821-062000-100",Plan!y:y)</f>
        <v>0</v>
      </c>
      <c r="Z548">
        <f>sumif(Plan!B:B,"821-062000-100",Plan!z:z)</f>
        <v>0</v>
      </c>
      <c r="AA548">
        <f>sumif(Plan!B:B,"821-062000-100",Plan!aa:aa)</f>
        <v>0</v>
      </c>
      <c r="AB548">
        <f>sumif(Plan!B:B,"821-062000-100",Plan!ab:ab)</f>
        <v>0</v>
      </c>
      <c r="AC548">
        <f>sumif(Plan!B:B,"821-062000-100",Plan!ac:ac)</f>
        <v>0</v>
      </c>
      <c r="AD548">
        <f>sumif(Plan!B:B,"821-062000-100",Plan!ad:ad)</f>
        <v>0</v>
      </c>
      <c r="AE548">
        <f>sumif(Plan!B:B,"821-062000-100",Plan!ae:ae)</f>
        <v>0</v>
      </c>
      <c r="AF548">
        <f>sumif(Plan!B:B,"821-062000-100",Plan!af:af)</f>
        <v>0</v>
      </c>
      <c r="AG548">
        <f>sumif(Plan!B:B,"821-062000-100",Plan!ag:ag)</f>
        <v>0</v>
      </c>
      <c r="AH548">
        <f>sumif(Plan!B:B,"821-062000-100",Plan!ah:ah)</f>
        <v>0</v>
      </c>
      <c r="AI548">
        <f>sumif(Plan!B:B,"821-062000-100",Plan!ai:ai)</f>
        <v>0</v>
      </c>
      <c r="AJ548">
        <f>sumif(Plan!B:B,"821-062000-100",Plan!aj:aj)</f>
        <v>0</v>
      </c>
      <c r="AK548">
        <f>sumif(Plan!B:B,"821-062000-100",Plan!ak:ak)</f>
        <v>0</v>
      </c>
      <c r="AL548">
        <f>sumif(Plan!B:B,"821-062000-100",Plan!al:al)</f>
        <v>0</v>
      </c>
      <c r="AM548">
        <f>sumif(Plan!B:B,"821-062000-100",Plan!am:am)</f>
        <v>0</v>
      </c>
      <c r="AN548">
        <f>sumif(Plan!B:B,"821-062000-100",Plan!an:an)</f>
        <v>0</v>
      </c>
      <c r="AO548">
        <f>sumif(Plan!B:B,"821-062000-100",Plan!ao:ao)</f>
        <v>0</v>
      </c>
    </row>
    <row r="549" spans="1:41">
      <c r="A549" t="s">
        <v>17</v>
      </c>
      <c r="B549" t="s">
        <v>343</v>
      </c>
      <c r="C549" t="s">
        <v>344</v>
      </c>
      <c r="E549">
        <v>1</v>
      </c>
      <c r="F549" t="s">
        <v>13</v>
      </c>
      <c r="H549" t="s">
        <v>16</v>
      </c>
      <c r="J549">
        <f>indirect(address(549,9))+indirect(address(547,10))-indirect(address(548,10))</f>
        <v>0</v>
      </c>
      <c r="K549">
        <f>indirect(address(549,10))+indirect(address(547,11))-indirect(address(548,11))</f>
        <v>0</v>
      </c>
      <c r="L549">
        <f>indirect(address(549,11))+indirect(address(547,12))-indirect(address(548,12))</f>
        <v>0</v>
      </c>
      <c r="M549">
        <f>indirect(address(549,12))+indirect(address(547,13))-indirect(address(548,13))</f>
        <v>0</v>
      </c>
      <c r="N549">
        <f>indirect(address(549,13))+indirect(address(547,14))-indirect(address(548,14))</f>
        <v>0</v>
      </c>
      <c r="O549">
        <f>indirect(address(549,14))+indirect(address(547,15))-indirect(address(548,15))</f>
        <v>0</v>
      </c>
      <c r="P549">
        <f>indirect(address(549,15))+indirect(address(547,16))-indirect(address(548,16))</f>
        <v>0</v>
      </c>
      <c r="Q549">
        <f>indirect(address(549,16))+indirect(address(547,17))-indirect(address(548,17))</f>
        <v>0</v>
      </c>
      <c r="R549">
        <f>indirect(address(549,17))+indirect(address(547,18))-indirect(address(548,18))</f>
        <v>0</v>
      </c>
      <c r="S549">
        <f>indirect(address(549,18))+indirect(address(547,19))-indirect(address(548,19))</f>
        <v>0</v>
      </c>
      <c r="T549">
        <f>indirect(address(549,19))+indirect(address(547,20))-indirect(address(548,20))</f>
        <v>0</v>
      </c>
      <c r="U549">
        <f>indirect(address(549,20))+indirect(address(547,21))-indirect(address(548,21))</f>
        <v>0</v>
      </c>
      <c r="V549">
        <f>indirect(address(549,21))+indirect(address(547,22))-indirect(address(548,22))</f>
        <v>0</v>
      </c>
      <c r="W549">
        <f>indirect(address(549,22))+indirect(address(547,23))-indirect(address(548,23))</f>
        <v>0</v>
      </c>
      <c r="X549">
        <f>indirect(address(549,23))+indirect(address(547,24))-indirect(address(548,24))</f>
        <v>0</v>
      </c>
      <c r="Y549">
        <f>indirect(address(549,24))+indirect(address(547,25))-indirect(address(548,25))</f>
        <v>0</v>
      </c>
      <c r="Z549">
        <f>indirect(address(549,25))+indirect(address(547,26))-indirect(address(548,26))</f>
        <v>0</v>
      </c>
      <c r="AA549">
        <f>indirect(address(549,26))+indirect(address(547,27))-indirect(address(548,27))</f>
        <v>0</v>
      </c>
      <c r="AB549">
        <f>indirect(address(549,27))+indirect(address(547,28))-indirect(address(548,28))</f>
        <v>0</v>
      </c>
      <c r="AC549">
        <f>indirect(address(549,28))+indirect(address(547,29))-indirect(address(548,29))</f>
        <v>0</v>
      </c>
      <c r="AD549">
        <f>indirect(address(549,29))+indirect(address(547,30))-indirect(address(548,30))</f>
        <v>0</v>
      </c>
      <c r="AE549">
        <f>indirect(address(549,30))+indirect(address(547,31))-indirect(address(548,31))</f>
        <v>0</v>
      </c>
      <c r="AF549">
        <f>indirect(address(549,31))+indirect(address(547,32))-indirect(address(548,32))</f>
        <v>0</v>
      </c>
      <c r="AG549">
        <f>indirect(address(549,32))+indirect(address(547,33))-indirect(address(548,33))</f>
        <v>0</v>
      </c>
      <c r="AH549">
        <f>indirect(address(549,33))+indirect(address(547,34))-indirect(address(548,34))</f>
        <v>0</v>
      </c>
      <c r="AI549">
        <f>indirect(address(549,34))+indirect(address(547,35))-indirect(address(548,35))</f>
        <v>0</v>
      </c>
      <c r="AJ549">
        <f>indirect(address(549,35))+indirect(address(547,36))-indirect(address(548,36))</f>
        <v>0</v>
      </c>
      <c r="AK549">
        <f>indirect(address(549,36))+indirect(address(547,37))-indirect(address(548,37))</f>
        <v>0</v>
      </c>
      <c r="AL549">
        <f>indirect(address(549,37))+indirect(address(547,38))-indirect(address(548,38))</f>
        <v>0</v>
      </c>
      <c r="AM549">
        <f>indirect(address(549,38))+indirect(address(547,39))-indirect(address(548,39))</f>
        <v>0</v>
      </c>
      <c r="AN549">
        <f>indirect(address(549,39))+indirect(address(547,40))-indirect(address(548,40))</f>
        <v>0</v>
      </c>
      <c r="AO549">
        <f>indirect(address(549,40))+indirect(address(547,41))-indirect(address(548,41))</f>
        <v>0</v>
      </c>
    </row>
    <row r="550" spans="1:41">
      <c r="I550" t="s">
        <v>14</v>
      </c>
      <c r="AO550">
        <f>sum(j550:an550)</f>
        <v>0</v>
      </c>
    </row>
    <row r="551" spans="1:41">
      <c r="I551" t="s">
        <v>15</v>
      </c>
      <c r="J551">
        <f>sumif(Plan!B:B,"262-000000-006",Plan!j:j)</f>
        <v>0</v>
      </c>
      <c r="K551">
        <f>sumif(Plan!B:B,"262-000000-006",Plan!k:k)</f>
        <v>0</v>
      </c>
      <c r="L551">
        <f>sumif(Plan!B:B,"262-000000-006",Plan!l:l)</f>
        <v>0</v>
      </c>
      <c r="M551">
        <f>sumif(Plan!B:B,"262-000000-006",Plan!m:m)</f>
        <v>0</v>
      </c>
      <c r="N551">
        <f>sumif(Plan!B:B,"262-000000-006",Plan!n:n)</f>
        <v>0</v>
      </c>
      <c r="O551">
        <f>sumif(Plan!B:B,"262-000000-006",Plan!o:o)</f>
        <v>0</v>
      </c>
      <c r="P551">
        <f>sumif(Plan!B:B,"262-000000-006",Plan!p:p)</f>
        <v>0</v>
      </c>
      <c r="Q551">
        <f>sumif(Plan!B:B,"262-000000-006",Plan!q:q)</f>
        <v>0</v>
      </c>
      <c r="R551">
        <f>sumif(Plan!B:B,"262-000000-006",Plan!r:r)</f>
        <v>0</v>
      </c>
      <c r="S551">
        <f>sumif(Plan!B:B,"262-000000-006",Plan!s:s)</f>
        <v>0</v>
      </c>
      <c r="T551">
        <f>sumif(Plan!B:B,"262-000000-006",Plan!t:t)</f>
        <v>0</v>
      </c>
      <c r="U551">
        <f>sumif(Plan!B:B,"262-000000-006",Plan!u:u)</f>
        <v>0</v>
      </c>
      <c r="V551">
        <f>sumif(Plan!B:B,"262-000000-006",Plan!v:v)</f>
        <v>0</v>
      </c>
      <c r="W551">
        <f>sumif(Plan!B:B,"262-000000-006",Plan!w:w)</f>
        <v>0</v>
      </c>
      <c r="X551">
        <f>sumif(Plan!B:B,"262-000000-006",Plan!x:x)</f>
        <v>0</v>
      </c>
      <c r="Y551">
        <f>sumif(Plan!B:B,"262-000000-006",Plan!y:y)</f>
        <v>0</v>
      </c>
      <c r="Z551">
        <f>sumif(Plan!B:B,"262-000000-006",Plan!z:z)</f>
        <v>0</v>
      </c>
      <c r="AA551">
        <f>sumif(Plan!B:B,"262-000000-006",Plan!aa:aa)</f>
        <v>0</v>
      </c>
      <c r="AB551">
        <f>sumif(Plan!B:B,"262-000000-006",Plan!ab:ab)</f>
        <v>0</v>
      </c>
      <c r="AC551">
        <f>sumif(Plan!B:B,"262-000000-006",Plan!ac:ac)</f>
        <v>0</v>
      </c>
      <c r="AD551">
        <f>sumif(Plan!B:B,"262-000000-006",Plan!ad:ad)</f>
        <v>0</v>
      </c>
      <c r="AE551">
        <f>sumif(Plan!B:B,"262-000000-006",Plan!ae:ae)</f>
        <v>0</v>
      </c>
      <c r="AF551">
        <f>sumif(Plan!B:B,"262-000000-006",Plan!af:af)</f>
        <v>0</v>
      </c>
      <c r="AG551">
        <f>sumif(Plan!B:B,"262-000000-006",Plan!ag:ag)</f>
        <v>0</v>
      </c>
      <c r="AH551">
        <f>sumif(Plan!B:B,"262-000000-006",Plan!ah:ah)</f>
        <v>0</v>
      </c>
      <c r="AI551">
        <f>sumif(Plan!B:B,"262-000000-006",Plan!ai:ai)</f>
        <v>0</v>
      </c>
      <c r="AJ551">
        <f>sumif(Plan!B:B,"262-000000-006",Plan!aj:aj)</f>
        <v>0</v>
      </c>
      <c r="AK551">
        <f>sumif(Plan!B:B,"262-000000-006",Plan!ak:ak)</f>
        <v>0</v>
      </c>
      <c r="AL551">
        <f>sumif(Plan!B:B,"262-000000-006",Plan!al:al)</f>
        <v>0</v>
      </c>
      <c r="AM551">
        <f>sumif(Plan!B:B,"262-000000-006",Plan!am:am)</f>
        <v>0</v>
      </c>
      <c r="AN551">
        <f>sumif(Plan!B:B,"262-000000-006",Plan!an:an)</f>
        <v>0</v>
      </c>
      <c r="AO551">
        <f>sumif(Plan!B:B,"262-000000-006",Plan!ao:ao)</f>
        <v>0</v>
      </c>
    </row>
    <row r="552" spans="1:41">
      <c r="A552" t="s">
        <v>22</v>
      </c>
      <c r="B552" t="s">
        <v>345</v>
      </c>
      <c r="C552" t="s">
        <v>346</v>
      </c>
      <c r="E552">
        <v>1</v>
      </c>
      <c r="F552" t="s">
        <v>13</v>
      </c>
      <c r="H552" t="s">
        <v>16</v>
      </c>
      <c r="J552">
        <f>indirect(address(552,9))+indirect(address(550,10))-indirect(address(551,10))</f>
        <v>0</v>
      </c>
      <c r="K552">
        <f>indirect(address(552,10))+indirect(address(550,11))-indirect(address(551,11))</f>
        <v>0</v>
      </c>
      <c r="L552">
        <f>indirect(address(552,11))+indirect(address(550,12))-indirect(address(551,12))</f>
        <v>0</v>
      </c>
      <c r="M552">
        <f>indirect(address(552,12))+indirect(address(550,13))-indirect(address(551,13))</f>
        <v>0</v>
      </c>
      <c r="N552">
        <f>indirect(address(552,13))+indirect(address(550,14))-indirect(address(551,14))</f>
        <v>0</v>
      </c>
      <c r="O552">
        <f>indirect(address(552,14))+indirect(address(550,15))-indirect(address(551,15))</f>
        <v>0</v>
      </c>
      <c r="P552">
        <f>indirect(address(552,15))+indirect(address(550,16))-indirect(address(551,16))</f>
        <v>0</v>
      </c>
      <c r="Q552">
        <f>indirect(address(552,16))+indirect(address(550,17))-indirect(address(551,17))</f>
        <v>0</v>
      </c>
      <c r="R552">
        <f>indirect(address(552,17))+indirect(address(550,18))-indirect(address(551,18))</f>
        <v>0</v>
      </c>
      <c r="S552">
        <f>indirect(address(552,18))+indirect(address(550,19))-indirect(address(551,19))</f>
        <v>0</v>
      </c>
      <c r="T552">
        <f>indirect(address(552,19))+indirect(address(550,20))-indirect(address(551,20))</f>
        <v>0</v>
      </c>
      <c r="U552">
        <f>indirect(address(552,20))+indirect(address(550,21))-indirect(address(551,21))</f>
        <v>0</v>
      </c>
      <c r="V552">
        <f>indirect(address(552,21))+indirect(address(550,22))-indirect(address(551,22))</f>
        <v>0</v>
      </c>
      <c r="W552">
        <f>indirect(address(552,22))+indirect(address(550,23))-indirect(address(551,23))</f>
        <v>0</v>
      </c>
      <c r="X552">
        <f>indirect(address(552,23))+indirect(address(550,24))-indirect(address(551,24))</f>
        <v>0</v>
      </c>
      <c r="Y552">
        <f>indirect(address(552,24))+indirect(address(550,25))-indirect(address(551,25))</f>
        <v>0</v>
      </c>
      <c r="Z552">
        <f>indirect(address(552,25))+indirect(address(550,26))-indirect(address(551,26))</f>
        <v>0</v>
      </c>
      <c r="AA552">
        <f>indirect(address(552,26))+indirect(address(550,27))-indirect(address(551,27))</f>
        <v>0</v>
      </c>
      <c r="AB552">
        <f>indirect(address(552,27))+indirect(address(550,28))-indirect(address(551,28))</f>
        <v>0</v>
      </c>
      <c r="AC552">
        <f>indirect(address(552,28))+indirect(address(550,29))-indirect(address(551,29))</f>
        <v>0</v>
      </c>
      <c r="AD552">
        <f>indirect(address(552,29))+indirect(address(550,30))-indirect(address(551,30))</f>
        <v>0</v>
      </c>
      <c r="AE552">
        <f>indirect(address(552,30))+indirect(address(550,31))-indirect(address(551,31))</f>
        <v>0</v>
      </c>
      <c r="AF552">
        <f>indirect(address(552,31))+indirect(address(550,32))-indirect(address(551,32))</f>
        <v>0</v>
      </c>
      <c r="AG552">
        <f>indirect(address(552,32))+indirect(address(550,33))-indirect(address(551,33))</f>
        <v>0</v>
      </c>
      <c r="AH552">
        <f>indirect(address(552,33))+indirect(address(550,34))-indirect(address(551,34))</f>
        <v>0</v>
      </c>
      <c r="AI552">
        <f>indirect(address(552,34))+indirect(address(550,35))-indirect(address(551,35))</f>
        <v>0</v>
      </c>
      <c r="AJ552">
        <f>indirect(address(552,35))+indirect(address(550,36))-indirect(address(551,36))</f>
        <v>0</v>
      </c>
      <c r="AK552">
        <f>indirect(address(552,36))+indirect(address(550,37))-indirect(address(551,37))</f>
        <v>0</v>
      </c>
      <c r="AL552">
        <f>indirect(address(552,37))+indirect(address(550,38))-indirect(address(551,38))</f>
        <v>0</v>
      </c>
      <c r="AM552">
        <f>indirect(address(552,38))+indirect(address(550,39))-indirect(address(551,39))</f>
        <v>0</v>
      </c>
      <c r="AN552">
        <f>indirect(address(552,39))+indirect(address(550,40))-indirect(address(551,40))</f>
        <v>0</v>
      </c>
      <c r="AO552">
        <f>indirect(address(552,40))+indirect(address(550,41))-indirect(address(551,41))</f>
        <v>0</v>
      </c>
    </row>
    <row r="553" spans="1:41">
      <c r="I553" t="s">
        <v>14</v>
      </c>
      <c r="AO553">
        <f>sum(j553:an553)</f>
        <v>0</v>
      </c>
    </row>
    <row r="554" spans="1:41">
      <c r="I554" t="s">
        <v>15</v>
      </c>
      <c r="J554">
        <f>sumif(Plan!B:B,"261-019008-008",Plan!j:j)</f>
        <v>0</v>
      </c>
      <c r="K554">
        <f>sumif(Plan!B:B,"261-019008-008",Plan!k:k)</f>
        <v>0</v>
      </c>
      <c r="L554">
        <f>sumif(Plan!B:B,"261-019008-008",Plan!l:l)</f>
        <v>0</v>
      </c>
      <c r="M554">
        <f>sumif(Plan!B:B,"261-019008-008",Plan!m:m)</f>
        <v>0</v>
      </c>
      <c r="N554">
        <f>sumif(Plan!B:B,"261-019008-008",Plan!n:n)</f>
        <v>0</v>
      </c>
      <c r="O554">
        <f>sumif(Plan!B:B,"261-019008-008",Plan!o:o)</f>
        <v>0</v>
      </c>
      <c r="P554">
        <f>sumif(Plan!B:B,"261-019008-008",Plan!p:p)</f>
        <v>0</v>
      </c>
      <c r="Q554">
        <f>sumif(Plan!B:B,"261-019008-008",Plan!q:q)</f>
        <v>0</v>
      </c>
      <c r="R554">
        <f>sumif(Plan!B:B,"261-019008-008",Plan!r:r)</f>
        <v>0</v>
      </c>
      <c r="S554">
        <f>sumif(Plan!B:B,"261-019008-008",Plan!s:s)</f>
        <v>0</v>
      </c>
      <c r="T554">
        <f>sumif(Plan!B:B,"261-019008-008",Plan!t:t)</f>
        <v>0</v>
      </c>
      <c r="U554">
        <f>sumif(Plan!B:B,"261-019008-008",Plan!u:u)</f>
        <v>0</v>
      </c>
      <c r="V554">
        <f>sumif(Plan!B:B,"261-019008-008",Plan!v:v)</f>
        <v>0</v>
      </c>
      <c r="W554">
        <f>sumif(Plan!B:B,"261-019008-008",Plan!w:w)</f>
        <v>0</v>
      </c>
      <c r="X554">
        <f>sumif(Plan!B:B,"261-019008-008",Plan!x:x)</f>
        <v>0</v>
      </c>
      <c r="Y554">
        <f>sumif(Plan!B:B,"261-019008-008",Plan!y:y)</f>
        <v>0</v>
      </c>
      <c r="Z554">
        <f>sumif(Plan!B:B,"261-019008-008",Plan!z:z)</f>
        <v>0</v>
      </c>
      <c r="AA554">
        <f>sumif(Plan!B:B,"261-019008-008",Plan!aa:aa)</f>
        <v>0</v>
      </c>
      <c r="AB554">
        <f>sumif(Plan!B:B,"261-019008-008",Plan!ab:ab)</f>
        <v>0</v>
      </c>
      <c r="AC554">
        <f>sumif(Plan!B:B,"261-019008-008",Plan!ac:ac)</f>
        <v>0</v>
      </c>
      <c r="AD554">
        <f>sumif(Plan!B:B,"261-019008-008",Plan!ad:ad)</f>
        <v>0</v>
      </c>
      <c r="AE554">
        <f>sumif(Plan!B:B,"261-019008-008",Plan!ae:ae)</f>
        <v>0</v>
      </c>
      <c r="AF554">
        <f>sumif(Plan!B:B,"261-019008-008",Plan!af:af)</f>
        <v>0</v>
      </c>
      <c r="AG554">
        <f>sumif(Plan!B:B,"261-019008-008",Plan!ag:ag)</f>
        <v>0</v>
      </c>
      <c r="AH554">
        <f>sumif(Plan!B:B,"261-019008-008",Plan!ah:ah)</f>
        <v>0</v>
      </c>
      <c r="AI554">
        <f>sumif(Plan!B:B,"261-019008-008",Plan!ai:ai)</f>
        <v>0</v>
      </c>
      <c r="AJ554">
        <f>sumif(Plan!B:B,"261-019008-008",Plan!aj:aj)</f>
        <v>0</v>
      </c>
      <c r="AK554">
        <f>sumif(Plan!B:B,"261-019008-008",Plan!ak:ak)</f>
        <v>0</v>
      </c>
      <c r="AL554">
        <f>sumif(Plan!B:B,"261-019008-008",Plan!al:al)</f>
        <v>0</v>
      </c>
      <c r="AM554">
        <f>sumif(Plan!B:B,"261-019008-008",Plan!am:am)</f>
        <v>0</v>
      </c>
      <c r="AN554">
        <f>sumif(Plan!B:B,"261-019008-008",Plan!an:an)</f>
        <v>0</v>
      </c>
      <c r="AO554">
        <f>sumif(Plan!B:B,"261-019008-008",Plan!ao:ao)</f>
        <v>0</v>
      </c>
    </row>
    <row r="555" spans="1:41">
      <c r="A555" t="s">
        <v>22</v>
      </c>
      <c r="B555" t="s">
        <v>347</v>
      </c>
      <c r="C555" t="s">
        <v>348</v>
      </c>
      <c r="E555">
        <v>1</v>
      </c>
      <c r="F555" t="s">
        <v>13</v>
      </c>
      <c r="H555" t="s">
        <v>16</v>
      </c>
      <c r="J555">
        <f>indirect(address(555,9))+indirect(address(553,10))-indirect(address(554,10))</f>
        <v>0</v>
      </c>
      <c r="K555">
        <f>indirect(address(555,10))+indirect(address(553,11))-indirect(address(554,11))</f>
        <v>0</v>
      </c>
      <c r="L555">
        <f>indirect(address(555,11))+indirect(address(553,12))-indirect(address(554,12))</f>
        <v>0</v>
      </c>
      <c r="M555">
        <f>indirect(address(555,12))+indirect(address(553,13))-indirect(address(554,13))</f>
        <v>0</v>
      </c>
      <c r="N555">
        <f>indirect(address(555,13))+indirect(address(553,14))-indirect(address(554,14))</f>
        <v>0</v>
      </c>
      <c r="O555">
        <f>indirect(address(555,14))+indirect(address(553,15))-indirect(address(554,15))</f>
        <v>0</v>
      </c>
      <c r="P555">
        <f>indirect(address(555,15))+indirect(address(553,16))-indirect(address(554,16))</f>
        <v>0</v>
      </c>
      <c r="Q555">
        <f>indirect(address(555,16))+indirect(address(553,17))-indirect(address(554,17))</f>
        <v>0</v>
      </c>
      <c r="R555">
        <f>indirect(address(555,17))+indirect(address(553,18))-indirect(address(554,18))</f>
        <v>0</v>
      </c>
      <c r="S555">
        <f>indirect(address(555,18))+indirect(address(553,19))-indirect(address(554,19))</f>
        <v>0</v>
      </c>
      <c r="T555">
        <f>indirect(address(555,19))+indirect(address(553,20))-indirect(address(554,20))</f>
        <v>0</v>
      </c>
      <c r="U555">
        <f>indirect(address(555,20))+indirect(address(553,21))-indirect(address(554,21))</f>
        <v>0</v>
      </c>
      <c r="V555">
        <f>indirect(address(555,21))+indirect(address(553,22))-indirect(address(554,22))</f>
        <v>0</v>
      </c>
      <c r="W555">
        <f>indirect(address(555,22))+indirect(address(553,23))-indirect(address(554,23))</f>
        <v>0</v>
      </c>
      <c r="X555">
        <f>indirect(address(555,23))+indirect(address(553,24))-indirect(address(554,24))</f>
        <v>0</v>
      </c>
      <c r="Y555">
        <f>indirect(address(555,24))+indirect(address(553,25))-indirect(address(554,25))</f>
        <v>0</v>
      </c>
      <c r="Z555">
        <f>indirect(address(555,25))+indirect(address(553,26))-indirect(address(554,26))</f>
        <v>0</v>
      </c>
      <c r="AA555">
        <f>indirect(address(555,26))+indirect(address(553,27))-indirect(address(554,27))</f>
        <v>0</v>
      </c>
      <c r="AB555">
        <f>indirect(address(555,27))+indirect(address(553,28))-indirect(address(554,28))</f>
        <v>0</v>
      </c>
      <c r="AC555">
        <f>indirect(address(555,28))+indirect(address(553,29))-indirect(address(554,29))</f>
        <v>0</v>
      </c>
      <c r="AD555">
        <f>indirect(address(555,29))+indirect(address(553,30))-indirect(address(554,30))</f>
        <v>0</v>
      </c>
      <c r="AE555">
        <f>indirect(address(555,30))+indirect(address(553,31))-indirect(address(554,31))</f>
        <v>0</v>
      </c>
      <c r="AF555">
        <f>indirect(address(555,31))+indirect(address(553,32))-indirect(address(554,32))</f>
        <v>0</v>
      </c>
      <c r="AG555">
        <f>indirect(address(555,32))+indirect(address(553,33))-indirect(address(554,33))</f>
        <v>0</v>
      </c>
      <c r="AH555">
        <f>indirect(address(555,33))+indirect(address(553,34))-indirect(address(554,34))</f>
        <v>0</v>
      </c>
      <c r="AI555">
        <f>indirect(address(555,34))+indirect(address(553,35))-indirect(address(554,35))</f>
        <v>0</v>
      </c>
      <c r="AJ555">
        <f>indirect(address(555,35))+indirect(address(553,36))-indirect(address(554,36))</f>
        <v>0</v>
      </c>
      <c r="AK555">
        <f>indirect(address(555,36))+indirect(address(553,37))-indirect(address(554,37))</f>
        <v>0</v>
      </c>
      <c r="AL555">
        <f>indirect(address(555,37))+indirect(address(553,38))-indirect(address(554,38))</f>
        <v>0</v>
      </c>
      <c r="AM555">
        <f>indirect(address(555,38))+indirect(address(553,39))-indirect(address(554,39))</f>
        <v>0</v>
      </c>
      <c r="AN555">
        <f>indirect(address(555,39))+indirect(address(553,40))-indirect(address(554,40))</f>
        <v>0</v>
      </c>
      <c r="AO555">
        <f>indirect(address(555,40))+indirect(address(553,41))-indirect(address(554,41))</f>
        <v>0</v>
      </c>
    </row>
    <row r="556" spans="1:41">
      <c r="I556" t="s">
        <v>14</v>
      </c>
      <c r="AO556">
        <f>sum(j556:an556)</f>
        <v>0</v>
      </c>
    </row>
    <row r="557" spans="1:41">
      <c r="I557" t="s">
        <v>15</v>
      </c>
      <c r="J557">
        <f>sumif(Plan!B:B,"261-016800-110",Plan!j:j)</f>
        <v>0</v>
      </c>
      <c r="K557">
        <f>sumif(Plan!B:B,"261-016800-110",Plan!k:k)</f>
        <v>0</v>
      </c>
      <c r="L557">
        <f>sumif(Plan!B:B,"261-016800-110",Plan!l:l)</f>
        <v>0</v>
      </c>
      <c r="M557">
        <f>sumif(Plan!B:B,"261-016800-110",Plan!m:m)</f>
        <v>0</v>
      </c>
      <c r="N557">
        <f>sumif(Plan!B:B,"261-016800-110",Plan!n:n)</f>
        <v>0</v>
      </c>
      <c r="O557">
        <f>sumif(Plan!B:B,"261-016800-110",Plan!o:o)</f>
        <v>0</v>
      </c>
      <c r="P557">
        <f>sumif(Plan!B:B,"261-016800-110",Plan!p:p)</f>
        <v>0</v>
      </c>
      <c r="Q557">
        <f>sumif(Plan!B:B,"261-016800-110",Plan!q:q)</f>
        <v>0</v>
      </c>
      <c r="R557">
        <f>sumif(Plan!B:B,"261-016800-110",Plan!r:r)</f>
        <v>0</v>
      </c>
      <c r="S557">
        <f>sumif(Plan!B:B,"261-016800-110",Plan!s:s)</f>
        <v>0</v>
      </c>
      <c r="T557">
        <f>sumif(Plan!B:B,"261-016800-110",Plan!t:t)</f>
        <v>0</v>
      </c>
      <c r="U557">
        <f>sumif(Plan!B:B,"261-016800-110",Plan!u:u)</f>
        <v>0</v>
      </c>
      <c r="V557">
        <f>sumif(Plan!B:B,"261-016800-110",Plan!v:v)</f>
        <v>0</v>
      </c>
      <c r="W557">
        <f>sumif(Plan!B:B,"261-016800-110",Plan!w:w)</f>
        <v>0</v>
      </c>
      <c r="X557">
        <f>sumif(Plan!B:B,"261-016800-110",Plan!x:x)</f>
        <v>0</v>
      </c>
      <c r="Y557">
        <f>sumif(Plan!B:B,"261-016800-110",Plan!y:y)</f>
        <v>0</v>
      </c>
      <c r="Z557">
        <f>sumif(Plan!B:B,"261-016800-110",Plan!z:z)</f>
        <v>0</v>
      </c>
      <c r="AA557">
        <f>sumif(Plan!B:B,"261-016800-110",Plan!aa:aa)</f>
        <v>0</v>
      </c>
      <c r="AB557">
        <f>sumif(Plan!B:B,"261-016800-110",Plan!ab:ab)</f>
        <v>0</v>
      </c>
      <c r="AC557">
        <f>sumif(Plan!B:B,"261-016800-110",Plan!ac:ac)</f>
        <v>0</v>
      </c>
      <c r="AD557">
        <f>sumif(Plan!B:B,"261-016800-110",Plan!ad:ad)</f>
        <v>0</v>
      </c>
      <c r="AE557">
        <f>sumif(Plan!B:B,"261-016800-110",Plan!ae:ae)</f>
        <v>0</v>
      </c>
      <c r="AF557">
        <f>sumif(Plan!B:B,"261-016800-110",Plan!af:af)</f>
        <v>0</v>
      </c>
      <c r="AG557">
        <f>sumif(Plan!B:B,"261-016800-110",Plan!ag:ag)</f>
        <v>0</v>
      </c>
      <c r="AH557">
        <f>sumif(Plan!B:B,"261-016800-110",Plan!ah:ah)</f>
        <v>0</v>
      </c>
      <c r="AI557">
        <f>sumif(Plan!B:B,"261-016800-110",Plan!ai:ai)</f>
        <v>0</v>
      </c>
      <c r="AJ557">
        <f>sumif(Plan!B:B,"261-016800-110",Plan!aj:aj)</f>
        <v>0</v>
      </c>
      <c r="AK557">
        <f>sumif(Plan!B:B,"261-016800-110",Plan!ak:ak)</f>
        <v>0</v>
      </c>
      <c r="AL557">
        <f>sumif(Plan!B:B,"261-016800-110",Plan!al:al)</f>
        <v>0</v>
      </c>
      <c r="AM557">
        <f>sumif(Plan!B:B,"261-016800-110",Plan!am:am)</f>
        <v>0</v>
      </c>
      <c r="AN557">
        <f>sumif(Plan!B:B,"261-016800-110",Plan!an:an)</f>
        <v>0</v>
      </c>
      <c r="AO557">
        <f>sumif(Plan!B:B,"261-016800-110",Plan!ao:ao)</f>
        <v>0</v>
      </c>
    </row>
    <row r="558" spans="1:41">
      <c r="A558" t="s">
        <v>22</v>
      </c>
      <c r="B558" t="s">
        <v>349</v>
      </c>
      <c r="C558" t="s">
        <v>350</v>
      </c>
      <c r="E558">
        <v>1</v>
      </c>
      <c r="F558" t="s">
        <v>13</v>
      </c>
      <c r="H558" t="s">
        <v>16</v>
      </c>
      <c r="J558">
        <f>indirect(address(558,9))+indirect(address(556,10))-indirect(address(557,10))</f>
        <v>0</v>
      </c>
      <c r="K558">
        <f>indirect(address(558,10))+indirect(address(556,11))-indirect(address(557,11))</f>
        <v>0</v>
      </c>
      <c r="L558">
        <f>indirect(address(558,11))+indirect(address(556,12))-indirect(address(557,12))</f>
        <v>0</v>
      </c>
      <c r="M558">
        <f>indirect(address(558,12))+indirect(address(556,13))-indirect(address(557,13))</f>
        <v>0</v>
      </c>
      <c r="N558">
        <f>indirect(address(558,13))+indirect(address(556,14))-indirect(address(557,14))</f>
        <v>0</v>
      </c>
      <c r="O558">
        <f>indirect(address(558,14))+indirect(address(556,15))-indirect(address(557,15))</f>
        <v>0</v>
      </c>
      <c r="P558">
        <f>indirect(address(558,15))+indirect(address(556,16))-indirect(address(557,16))</f>
        <v>0</v>
      </c>
      <c r="Q558">
        <f>indirect(address(558,16))+indirect(address(556,17))-indirect(address(557,17))</f>
        <v>0</v>
      </c>
      <c r="R558">
        <f>indirect(address(558,17))+indirect(address(556,18))-indirect(address(557,18))</f>
        <v>0</v>
      </c>
      <c r="S558">
        <f>indirect(address(558,18))+indirect(address(556,19))-indirect(address(557,19))</f>
        <v>0</v>
      </c>
      <c r="T558">
        <f>indirect(address(558,19))+indirect(address(556,20))-indirect(address(557,20))</f>
        <v>0</v>
      </c>
      <c r="U558">
        <f>indirect(address(558,20))+indirect(address(556,21))-indirect(address(557,21))</f>
        <v>0</v>
      </c>
      <c r="V558">
        <f>indirect(address(558,21))+indirect(address(556,22))-indirect(address(557,22))</f>
        <v>0</v>
      </c>
      <c r="W558">
        <f>indirect(address(558,22))+indirect(address(556,23))-indirect(address(557,23))</f>
        <v>0</v>
      </c>
      <c r="X558">
        <f>indirect(address(558,23))+indirect(address(556,24))-indirect(address(557,24))</f>
        <v>0</v>
      </c>
      <c r="Y558">
        <f>indirect(address(558,24))+indirect(address(556,25))-indirect(address(557,25))</f>
        <v>0</v>
      </c>
      <c r="Z558">
        <f>indirect(address(558,25))+indirect(address(556,26))-indirect(address(557,26))</f>
        <v>0</v>
      </c>
      <c r="AA558">
        <f>indirect(address(558,26))+indirect(address(556,27))-indirect(address(557,27))</f>
        <v>0</v>
      </c>
      <c r="AB558">
        <f>indirect(address(558,27))+indirect(address(556,28))-indirect(address(557,28))</f>
        <v>0</v>
      </c>
      <c r="AC558">
        <f>indirect(address(558,28))+indirect(address(556,29))-indirect(address(557,29))</f>
        <v>0</v>
      </c>
      <c r="AD558">
        <f>indirect(address(558,29))+indirect(address(556,30))-indirect(address(557,30))</f>
        <v>0</v>
      </c>
      <c r="AE558">
        <f>indirect(address(558,30))+indirect(address(556,31))-indirect(address(557,31))</f>
        <v>0</v>
      </c>
      <c r="AF558">
        <f>indirect(address(558,31))+indirect(address(556,32))-indirect(address(557,32))</f>
        <v>0</v>
      </c>
      <c r="AG558">
        <f>indirect(address(558,32))+indirect(address(556,33))-indirect(address(557,33))</f>
        <v>0</v>
      </c>
      <c r="AH558">
        <f>indirect(address(558,33))+indirect(address(556,34))-indirect(address(557,34))</f>
        <v>0</v>
      </c>
      <c r="AI558">
        <f>indirect(address(558,34))+indirect(address(556,35))-indirect(address(557,35))</f>
        <v>0</v>
      </c>
      <c r="AJ558">
        <f>indirect(address(558,35))+indirect(address(556,36))-indirect(address(557,36))</f>
        <v>0</v>
      </c>
      <c r="AK558">
        <f>indirect(address(558,36))+indirect(address(556,37))-indirect(address(557,37))</f>
        <v>0</v>
      </c>
      <c r="AL558">
        <f>indirect(address(558,37))+indirect(address(556,38))-indirect(address(557,38))</f>
        <v>0</v>
      </c>
      <c r="AM558">
        <f>indirect(address(558,38))+indirect(address(556,39))-indirect(address(557,39))</f>
        <v>0</v>
      </c>
      <c r="AN558">
        <f>indirect(address(558,39))+indirect(address(556,40))-indirect(address(557,40))</f>
        <v>0</v>
      </c>
      <c r="AO558">
        <f>indirect(address(558,40))+indirect(address(556,41))-indirect(address(557,41))</f>
        <v>0</v>
      </c>
    </row>
    <row r="559" spans="1:41">
      <c r="I559" t="s">
        <v>14</v>
      </c>
      <c r="AO559">
        <f>sum(j559:an559)</f>
        <v>0</v>
      </c>
    </row>
    <row r="560" spans="1:41">
      <c r="I560" t="s">
        <v>15</v>
      </c>
      <c r="J560">
        <f>sumif(Plan!B:B,"261-010507-703",Plan!j:j)</f>
        <v>0</v>
      </c>
      <c r="K560">
        <f>sumif(Plan!B:B,"261-010507-703",Plan!k:k)</f>
        <v>0</v>
      </c>
      <c r="L560">
        <f>sumif(Plan!B:B,"261-010507-703",Plan!l:l)</f>
        <v>0</v>
      </c>
      <c r="M560">
        <f>sumif(Plan!B:B,"261-010507-703",Plan!m:m)</f>
        <v>0</v>
      </c>
      <c r="N560">
        <f>sumif(Plan!B:B,"261-010507-703",Plan!n:n)</f>
        <v>0</v>
      </c>
      <c r="O560">
        <f>sumif(Plan!B:B,"261-010507-703",Plan!o:o)</f>
        <v>0</v>
      </c>
      <c r="P560">
        <f>sumif(Plan!B:B,"261-010507-703",Plan!p:p)</f>
        <v>0</v>
      </c>
      <c r="Q560">
        <f>sumif(Plan!B:B,"261-010507-703",Plan!q:q)</f>
        <v>0</v>
      </c>
      <c r="R560">
        <f>sumif(Plan!B:B,"261-010507-703",Plan!r:r)</f>
        <v>0</v>
      </c>
      <c r="S560">
        <f>sumif(Plan!B:B,"261-010507-703",Plan!s:s)</f>
        <v>0</v>
      </c>
      <c r="T560">
        <f>sumif(Plan!B:B,"261-010507-703",Plan!t:t)</f>
        <v>0</v>
      </c>
      <c r="U560">
        <f>sumif(Plan!B:B,"261-010507-703",Plan!u:u)</f>
        <v>0</v>
      </c>
      <c r="V560">
        <f>sumif(Plan!B:B,"261-010507-703",Plan!v:v)</f>
        <v>0</v>
      </c>
      <c r="W560">
        <f>sumif(Plan!B:B,"261-010507-703",Plan!w:w)</f>
        <v>0</v>
      </c>
      <c r="X560">
        <f>sumif(Plan!B:B,"261-010507-703",Plan!x:x)</f>
        <v>0</v>
      </c>
      <c r="Y560">
        <f>sumif(Plan!B:B,"261-010507-703",Plan!y:y)</f>
        <v>0</v>
      </c>
      <c r="Z560">
        <f>sumif(Plan!B:B,"261-010507-703",Plan!z:z)</f>
        <v>0</v>
      </c>
      <c r="AA560">
        <f>sumif(Plan!B:B,"261-010507-703",Plan!aa:aa)</f>
        <v>0</v>
      </c>
      <c r="AB560">
        <f>sumif(Plan!B:B,"261-010507-703",Plan!ab:ab)</f>
        <v>0</v>
      </c>
      <c r="AC560">
        <f>sumif(Plan!B:B,"261-010507-703",Plan!ac:ac)</f>
        <v>0</v>
      </c>
      <c r="AD560">
        <f>sumif(Plan!B:B,"261-010507-703",Plan!ad:ad)</f>
        <v>0</v>
      </c>
      <c r="AE560">
        <f>sumif(Plan!B:B,"261-010507-703",Plan!ae:ae)</f>
        <v>0</v>
      </c>
      <c r="AF560">
        <f>sumif(Plan!B:B,"261-010507-703",Plan!af:af)</f>
        <v>0</v>
      </c>
      <c r="AG560">
        <f>sumif(Plan!B:B,"261-010507-703",Plan!ag:ag)</f>
        <v>0</v>
      </c>
      <c r="AH560">
        <f>sumif(Plan!B:B,"261-010507-703",Plan!ah:ah)</f>
        <v>0</v>
      </c>
      <c r="AI560">
        <f>sumif(Plan!B:B,"261-010507-703",Plan!ai:ai)</f>
        <v>0</v>
      </c>
      <c r="AJ560">
        <f>sumif(Plan!B:B,"261-010507-703",Plan!aj:aj)</f>
        <v>0</v>
      </c>
      <c r="AK560">
        <f>sumif(Plan!B:B,"261-010507-703",Plan!ak:ak)</f>
        <v>0</v>
      </c>
      <c r="AL560">
        <f>sumif(Plan!B:B,"261-010507-703",Plan!al:al)</f>
        <v>0</v>
      </c>
      <c r="AM560">
        <f>sumif(Plan!B:B,"261-010507-703",Plan!am:am)</f>
        <v>0</v>
      </c>
      <c r="AN560">
        <f>sumif(Plan!B:B,"261-010507-703",Plan!an:an)</f>
        <v>0</v>
      </c>
      <c r="AO560">
        <f>sumif(Plan!B:B,"261-010507-703",Plan!ao:ao)</f>
        <v>0</v>
      </c>
    </row>
    <row r="561" spans="1:41">
      <c r="A561" t="s">
        <v>22</v>
      </c>
      <c r="B561" t="s">
        <v>351</v>
      </c>
      <c r="C561" t="s">
        <v>352</v>
      </c>
      <c r="E561">
        <v>1</v>
      </c>
      <c r="F561" t="s">
        <v>13</v>
      </c>
      <c r="H561" t="s">
        <v>16</v>
      </c>
      <c r="J561">
        <f>indirect(address(561,9))+indirect(address(559,10))-indirect(address(560,10))</f>
        <v>0</v>
      </c>
      <c r="K561">
        <f>indirect(address(561,10))+indirect(address(559,11))-indirect(address(560,11))</f>
        <v>0</v>
      </c>
      <c r="L561">
        <f>indirect(address(561,11))+indirect(address(559,12))-indirect(address(560,12))</f>
        <v>0</v>
      </c>
      <c r="M561">
        <f>indirect(address(561,12))+indirect(address(559,13))-indirect(address(560,13))</f>
        <v>0</v>
      </c>
      <c r="N561">
        <f>indirect(address(561,13))+indirect(address(559,14))-indirect(address(560,14))</f>
        <v>0</v>
      </c>
      <c r="O561">
        <f>indirect(address(561,14))+indirect(address(559,15))-indirect(address(560,15))</f>
        <v>0</v>
      </c>
      <c r="P561">
        <f>indirect(address(561,15))+indirect(address(559,16))-indirect(address(560,16))</f>
        <v>0</v>
      </c>
      <c r="Q561">
        <f>indirect(address(561,16))+indirect(address(559,17))-indirect(address(560,17))</f>
        <v>0</v>
      </c>
      <c r="R561">
        <f>indirect(address(561,17))+indirect(address(559,18))-indirect(address(560,18))</f>
        <v>0</v>
      </c>
      <c r="S561">
        <f>indirect(address(561,18))+indirect(address(559,19))-indirect(address(560,19))</f>
        <v>0</v>
      </c>
      <c r="T561">
        <f>indirect(address(561,19))+indirect(address(559,20))-indirect(address(560,20))</f>
        <v>0</v>
      </c>
      <c r="U561">
        <f>indirect(address(561,20))+indirect(address(559,21))-indirect(address(560,21))</f>
        <v>0</v>
      </c>
      <c r="V561">
        <f>indirect(address(561,21))+indirect(address(559,22))-indirect(address(560,22))</f>
        <v>0</v>
      </c>
      <c r="W561">
        <f>indirect(address(561,22))+indirect(address(559,23))-indirect(address(560,23))</f>
        <v>0</v>
      </c>
      <c r="X561">
        <f>indirect(address(561,23))+indirect(address(559,24))-indirect(address(560,24))</f>
        <v>0</v>
      </c>
      <c r="Y561">
        <f>indirect(address(561,24))+indirect(address(559,25))-indirect(address(560,25))</f>
        <v>0</v>
      </c>
      <c r="Z561">
        <f>indirect(address(561,25))+indirect(address(559,26))-indirect(address(560,26))</f>
        <v>0</v>
      </c>
      <c r="AA561">
        <f>indirect(address(561,26))+indirect(address(559,27))-indirect(address(560,27))</f>
        <v>0</v>
      </c>
      <c r="AB561">
        <f>indirect(address(561,27))+indirect(address(559,28))-indirect(address(560,28))</f>
        <v>0</v>
      </c>
      <c r="AC561">
        <f>indirect(address(561,28))+indirect(address(559,29))-indirect(address(560,29))</f>
        <v>0</v>
      </c>
      <c r="AD561">
        <f>indirect(address(561,29))+indirect(address(559,30))-indirect(address(560,30))</f>
        <v>0</v>
      </c>
      <c r="AE561">
        <f>indirect(address(561,30))+indirect(address(559,31))-indirect(address(560,31))</f>
        <v>0</v>
      </c>
      <c r="AF561">
        <f>indirect(address(561,31))+indirect(address(559,32))-indirect(address(560,32))</f>
        <v>0</v>
      </c>
      <c r="AG561">
        <f>indirect(address(561,32))+indirect(address(559,33))-indirect(address(560,33))</f>
        <v>0</v>
      </c>
      <c r="AH561">
        <f>indirect(address(561,33))+indirect(address(559,34))-indirect(address(560,34))</f>
        <v>0</v>
      </c>
      <c r="AI561">
        <f>indirect(address(561,34))+indirect(address(559,35))-indirect(address(560,35))</f>
        <v>0</v>
      </c>
      <c r="AJ561">
        <f>indirect(address(561,35))+indirect(address(559,36))-indirect(address(560,36))</f>
        <v>0</v>
      </c>
      <c r="AK561">
        <f>indirect(address(561,36))+indirect(address(559,37))-indirect(address(560,37))</f>
        <v>0</v>
      </c>
      <c r="AL561">
        <f>indirect(address(561,37))+indirect(address(559,38))-indirect(address(560,38))</f>
        <v>0</v>
      </c>
      <c r="AM561">
        <f>indirect(address(561,38))+indirect(address(559,39))-indirect(address(560,39))</f>
        <v>0</v>
      </c>
      <c r="AN561">
        <f>indirect(address(561,39))+indirect(address(559,40))-indirect(address(560,40))</f>
        <v>0</v>
      </c>
      <c r="AO561">
        <f>indirect(address(561,40))+indirect(address(559,41))-indirect(address(560,41))</f>
        <v>0</v>
      </c>
    </row>
    <row r="562" spans="1:41">
      <c r="I562" t="s">
        <v>14</v>
      </c>
      <c r="AO562">
        <f>sum(j562:an562)</f>
        <v>0</v>
      </c>
    </row>
    <row r="563" spans="1:41">
      <c r="I563" t="s">
        <v>15</v>
      </c>
      <c r="J563">
        <f>sumif(Plan!B:B,"261-019501-005",Plan!j:j)</f>
        <v>0</v>
      </c>
      <c r="K563">
        <f>sumif(Plan!B:B,"261-019501-005",Plan!k:k)</f>
        <v>0</v>
      </c>
      <c r="L563">
        <f>sumif(Plan!B:B,"261-019501-005",Plan!l:l)</f>
        <v>0</v>
      </c>
      <c r="M563">
        <f>sumif(Plan!B:B,"261-019501-005",Plan!m:m)</f>
        <v>0</v>
      </c>
      <c r="N563">
        <f>sumif(Plan!B:B,"261-019501-005",Plan!n:n)</f>
        <v>0</v>
      </c>
      <c r="O563">
        <f>sumif(Plan!B:B,"261-019501-005",Plan!o:o)</f>
        <v>0</v>
      </c>
      <c r="P563">
        <f>sumif(Plan!B:B,"261-019501-005",Plan!p:p)</f>
        <v>0</v>
      </c>
      <c r="Q563">
        <f>sumif(Plan!B:B,"261-019501-005",Plan!q:q)</f>
        <v>0</v>
      </c>
      <c r="R563">
        <f>sumif(Plan!B:B,"261-019501-005",Plan!r:r)</f>
        <v>0</v>
      </c>
      <c r="S563">
        <f>sumif(Plan!B:B,"261-019501-005",Plan!s:s)</f>
        <v>0</v>
      </c>
      <c r="T563">
        <f>sumif(Plan!B:B,"261-019501-005",Plan!t:t)</f>
        <v>0</v>
      </c>
      <c r="U563">
        <f>sumif(Plan!B:B,"261-019501-005",Plan!u:u)</f>
        <v>0</v>
      </c>
      <c r="V563">
        <f>sumif(Plan!B:B,"261-019501-005",Plan!v:v)</f>
        <v>0</v>
      </c>
      <c r="W563">
        <f>sumif(Plan!B:B,"261-019501-005",Plan!w:w)</f>
        <v>0</v>
      </c>
      <c r="X563">
        <f>sumif(Plan!B:B,"261-019501-005",Plan!x:x)</f>
        <v>0</v>
      </c>
      <c r="Y563">
        <f>sumif(Plan!B:B,"261-019501-005",Plan!y:y)</f>
        <v>0</v>
      </c>
      <c r="Z563">
        <f>sumif(Plan!B:B,"261-019501-005",Plan!z:z)</f>
        <v>0</v>
      </c>
      <c r="AA563">
        <f>sumif(Plan!B:B,"261-019501-005",Plan!aa:aa)</f>
        <v>0</v>
      </c>
      <c r="AB563">
        <f>sumif(Plan!B:B,"261-019501-005",Plan!ab:ab)</f>
        <v>0</v>
      </c>
      <c r="AC563">
        <f>sumif(Plan!B:B,"261-019501-005",Plan!ac:ac)</f>
        <v>0</v>
      </c>
      <c r="AD563">
        <f>sumif(Plan!B:B,"261-019501-005",Plan!ad:ad)</f>
        <v>0</v>
      </c>
      <c r="AE563">
        <f>sumif(Plan!B:B,"261-019501-005",Plan!ae:ae)</f>
        <v>0</v>
      </c>
      <c r="AF563">
        <f>sumif(Plan!B:B,"261-019501-005",Plan!af:af)</f>
        <v>0</v>
      </c>
      <c r="AG563">
        <f>sumif(Plan!B:B,"261-019501-005",Plan!ag:ag)</f>
        <v>0</v>
      </c>
      <c r="AH563">
        <f>sumif(Plan!B:B,"261-019501-005",Plan!ah:ah)</f>
        <v>0</v>
      </c>
      <c r="AI563">
        <f>sumif(Plan!B:B,"261-019501-005",Plan!ai:ai)</f>
        <v>0</v>
      </c>
      <c r="AJ563">
        <f>sumif(Plan!B:B,"261-019501-005",Plan!aj:aj)</f>
        <v>0</v>
      </c>
      <c r="AK563">
        <f>sumif(Plan!B:B,"261-019501-005",Plan!ak:ak)</f>
        <v>0</v>
      </c>
      <c r="AL563">
        <f>sumif(Plan!B:B,"261-019501-005",Plan!al:al)</f>
        <v>0</v>
      </c>
      <c r="AM563">
        <f>sumif(Plan!B:B,"261-019501-005",Plan!am:am)</f>
        <v>0</v>
      </c>
      <c r="AN563">
        <f>sumif(Plan!B:B,"261-019501-005",Plan!an:an)</f>
        <v>0</v>
      </c>
      <c r="AO563">
        <f>sumif(Plan!B:B,"261-019501-005",Plan!ao:ao)</f>
        <v>0</v>
      </c>
    </row>
    <row r="564" spans="1:41">
      <c r="A564" t="s">
        <v>22</v>
      </c>
      <c r="B564" t="s">
        <v>353</v>
      </c>
      <c r="C564" t="s">
        <v>354</v>
      </c>
      <c r="E564">
        <v>1</v>
      </c>
      <c r="F564" t="s">
        <v>13</v>
      </c>
      <c r="H564" t="s">
        <v>16</v>
      </c>
      <c r="J564">
        <f>indirect(address(564,9))+indirect(address(562,10))-indirect(address(563,10))</f>
        <v>0</v>
      </c>
      <c r="K564">
        <f>indirect(address(564,10))+indirect(address(562,11))-indirect(address(563,11))</f>
        <v>0</v>
      </c>
      <c r="L564">
        <f>indirect(address(564,11))+indirect(address(562,12))-indirect(address(563,12))</f>
        <v>0</v>
      </c>
      <c r="M564">
        <f>indirect(address(564,12))+indirect(address(562,13))-indirect(address(563,13))</f>
        <v>0</v>
      </c>
      <c r="N564">
        <f>indirect(address(564,13))+indirect(address(562,14))-indirect(address(563,14))</f>
        <v>0</v>
      </c>
      <c r="O564">
        <f>indirect(address(564,14))+indirect(address(562,15))-indirect(address(563,15))</f>
        <v>0</v>
      </c>
      <c r="P564">
        <f>indirect(address(564,15))+indirect(address(562,16))-indirect(address(563,16))</f>
        <v>0</v>
      </c>
      <c r="Q564">
        <f>indirect(address(564,16))+indirect(address(562,17))-indirect(address(563,17))</f>
        <v>0</v>
      </c>
      <c r="R564">
        <f>indirect(address(564,17))+indirect(address(562,18))-indirect(address(563,18))</f>
        <v>0</v>
      </c>
      <c r="S564">
        <f>indirect(address(564,18))+indirect(address(562,19))-indirect(address(563,19))</f>
        <v>0</v>
      </c>
      <c r="T564">
        <f>indirect(address(564,19))+indirect(address(562,20))-indirect(address(563,20))</f>
        <v>0</v>
      </c>
      <c r="U564">
        <f>indirect(address(564,20))+indirect(address(562,21))-indirect(address(563,21))</f>
        <v>0</v>
      </c>
      <c r="V564">
        <f>indirect(address(564,21))+indirect(address(562,22))-indirect(address(563,22))</f>
        <v>0</v>
      </c>
      <c r="W564">
        <f>indirect(address(564,22))+indirect(address(562,23))-indirect(address(563,23))</f>
        <v>0</v>
      </c>
      <c r="X564">
        <f>indirect(address(564,23))+indirect(address(562,24))-indirect(address(563,24))</f>
        <v>0</v>
      </c>
      <c r="Y564">
        <f>indirect(address(564,24))+indirect(address(562,25))-indirect(address(563,25))</f>
        <v>0</v>
      </c>
      <c r="Z564">
        <f>indirect(address(564,25))+indirect(address(562,26))-indirect(address(563,26))</f>
        <v>0</v>
      </c>
      <c r="AA564">
        <f>indirect(address(564,26))+indirect(address(562,27))-indirect(address(563,27))</f>
        <v>0</v>
      </c>
      <c r="AB564">
        <f>indirect(address(564,27))+indirect(address(562,28))-indirect(address(563,28))</f>
        <v>0</v>
      </c>
      <c r="AC564">
        <f>indirect(address(564,28))+indirect(address(562,29))-indirect(address(563,29))</f>
        <v>0</v>
      </c>
      <c r="AD564">
        <f>indirect(address(564,29))+indirect(address(562,30))-indirect(address(563,30))</f>
        <v>0</v>
      </c>
      <c r="AE564">
        <f>indirect(address(564,30))+indirect(address(562,31))-indirect(address(563,31))</f>
        <v>0</v>
      </c>
      <c r="AF564">
        <f>indirect(address(564,31))+indirect(address(562,32))-indirect(address(563,32))</f>
        <v>0</v>
      </c>
      <c r="AG564">
        <f>indirect(address(564,32))+indirect(address(562,33))-indirect(address(563,33))</f>
        <v>0</v>
      </c>
      <c r="AH564">
        <f>indirect(address(564,33))+indirect(address(562,34))-indirect(address(563,34))</f>
        <v>0</v>
      </c>
      <c r="AI564">
        <f>indirect(address(564,34))+indirect(address(562,35))-indirect(address(563,35))</f>
        <v>0</v>
      </c>
      <c r="AJ564">
        <f>indirect(address(564,35))+indirect(address(562,36))-indirect(address(563,36))</f>
        <v>0</v>
      </c>
      <c r="AK564">
        <f>indirect(address(564,36))+indirect(address(562,37))-indirect(address(563,37))</f>
        <v>0</v>
      </c>
      <c r="AL564">
        <f>indirect(address(564,37))+indirect(address(562,38))-indirect(address(563,38))</f>
        <v>0</v>
      </c>
      <c r="AM564">
        <f>indirect(address(564,38))+indirect(address(562,39))-indirect(address(563,39))</f>
        <v>0</v>
      </c>
      <c r="AN564">
        <f>indirect(address(564,39))+indirect(address(562,40))-indirect(address(563,40))</f>
        <v>0</v>
      </c>
      <c r="AO564">
        <f>indirect(address(564,40))+indirect(address(562,41))-indirect(address(563,41))</f>
        <v>0</v>
      </c>
    </row>
    <row r="565" spans="1:41">
      <c r="I565" t="s">
        <v>14</v>
      </c>
      <c r="AO565">
        <f>sum(j565:an565)</f>
        <v>0</v>
      </c>
    </row>
    <row r="566" spans="1:41">
      <c r="I566" t="s">
        <v>15</v>
      </c>
      <c r="J566">
        <f>sumif(Plan!B:B,"261-004800-508",Plan!j:j)</f>
        <v>0</v>
      </c>
      <c r="K566">
        <f>sumif(Plan!B:B,"261-004800-508",Plan!k:k)</f>
        <v>0</v>
      </c>
      <c r="L566">
        <f>sumif(Plan!B:B,"261-004800-508",Plan!l:l)</f>
        <v>0</v>
      </c>
      <c r="M566">
        <f>sumif(Plan!B:B,"261-004800-508",Plan!m:m)</f>
        <v>0</v>
      </c>
      <c r="N566">
        <f>sumif(Plan!B:B,"261-004800-508",Plan!n:n)</f>
        <v>0</v>
      </c>
      <c r="O566">
        <f>sumif(Plan!B:B,"261-004800-508",Plan!o:o)</f>
        <v>0</v>
      </c>
      <c r="P566">
        <f>sumif(Plan!B:B,"261-004800-508",Plan!p:p)</f>
        <v>0</v>
      </c>
      <c r="Q566">
        <f>sumif(Plan!B:B,"261-004800-508",Plan!q:q)</f>
        <v>0</v>
      </c>
      <c r="R566">
        <f>sumif(Plan!B:B,"261-004800-508",Plan!r:r)</f>
        <v>0</v>
      </c>
      <c r="S566">
        <f>sumif(Plan!B:B,"261-004800-508",Plan!s:s)</f>
        <v>0</v>
      </c>
      <c r="T566">
        <f>sumif(Plan!B:B,"261-004800-508",Plan!t:t)</f>
        <v>0</v>
      </c>
      <c r="U566">
        <f>sumif(Plan!B:B,"261-004800-508",Plan!u:u)</f>
        <v>0</v>
      </c>
      <c r="V566">
        <f>sumif(Plan!B:B,"261-004800-508",Plan!v:v)</f>
        <v>0</v>
      </c>
      <c r="W566">
        <f>sumif(Plan!B:B,"261-004800-508",Plan!w:w)</f>
        <v>0</v>
      </c>
      <c r="X566">
        <f>sumif(Plan!B:B,"261-004800-508",Plan!x:x)</f>
        <v>0</v>
      </c>
      <c r="Y566">
        <f>sumif(Plan!B:B,"261-004800-508",Plan!y:y)</f>
        <v>0</v>
      </c>
      <c r="Z566">
        <f>sumif(Plan!B:B,"261-004800-508",Plan!z:z)</f>
        <v>0</v>
      </c>
      <c r="AA566">
        <f>sumif(Plan!B:B,"261-004800-508",Plan!aa:aa)</f>
        <v>0</v>
      </c>
      <c r="AB566">
        <f>sumif(Plan!B:B,"261-004800-508",Plan!ab:ab)</f>
        <v>0</v>
      </c>
      <c r="AC566">
        <f>sumif(Plan!B:B,"261-004800-508",Plan!ac:ac)</f>
        <v>0</v>
      </c>
      <c r="AD566">
        <f>sumif(Plan!B:B,"261-004800-508",Plan!ad:ad)</f>
        <v>0</v>
      </c>
      <c r="AE566">
        <f>sumif(Plan!B:B,"261-004800-508",Plan!ae:ae)</f>
        <v>0</v>
      </c>
      <c r="AF566">
        <f>sumif(Plan!B:B,"261-004800-508",Plan!af:af)</f>
        <v>0</v>
      </c>
      <c r="AG566">
        <f>sumif(Plan!B:B,"261-004800-508",Plan!ag:ag)</f>
        <v>0</v>
      </c>
      <c r="AH566">
        <f>sumif(Plan!B:B,"261-004800-508",Plan!ah:ah)</f>
        <v>0</v>
      </c>
      <c r="AI566">
        <f>sumif(Plan!B:B,"261-004800-508",Plan!ai:ai)</f>
        <v>0</v>
      </c>
      <c r="AJ566">
        <f>sumif(Plan!B:B,"261-004800-508",Plan!aj:aj)</f>
        <v>0</v>
      </c>
      <c r="AK566">
        <f>sumif(Plan!B:B,"261-004800-508",Plan!ak:ak)</f>
        <v>0</v>
      </c>
      <c r="AL566">
        <f>sumif(Plan!B:B,"261-004800-508",Plan!al:al)</f>
        <v>0</v>
      </c>
      <c r="AM566">
        <f>sumif(Plan!B:B,"261-004800-508",Plan!am:am)</f>
        <v>0</v>
      </c>
      <c r="AN566">
        <f>sumif(Plan!B:B,"261-004800-508",Plan!an:an)</f>
        <v>0</v>
      </c>
      <c r="AO566">
        <f>sumif(Plan!B:B,"261-004800-508",Plan!ao:ao)</f>
        <v>0</v>
      </c>
    </row>
    <row r="567" spans="1:41">
      <c r="A567" t="s">
        <v>22</v>
      </c>
      <c r="B567" t="s">
        <v>355</v>
      </c>
      <c r="C567" t="s">
        <v>356</v>
      </c>
      <c r="E567">
        <v>1</v>
      </c>
      <c r="F567" t="s">
        <v>13</v>
      </c>
      <c r="H567" t="s">
        <v>16</v>
      </c>
      <c r="J567">
        <f>indirect(address(567,9))+indirect(address(565,10))-indirect(address(566,10))</f>
        <v>0</v>
      </c>
      <c r="K567">
        <f>indirect(address(567,10))+indirect(address(565,11))-indirect(address(566,11))</f>
        <v>0</v>
      </c>
      <c r="L567">
        <f>indirect(address(567,11))+indirect(address(565,12))-indirect(address(566,12))</f>
        <v>0</v>
      </c>
      <c r="M567">
        <f>indirect(address(567,12))+indirect(address(565,13))-indirect(address(566,13))</f>
        <v>0</v>
      </c>
      <c r="N567">
        <f>indirect(address(567,13))+indirect(address(565,14))-indirect(address(566,14))</f>
        <v>0</v>
      </c>
      <c r="O567">
        <f>indirect(address(567,14))+indirect(address(565,15))-indirect(address(566,15))</f>
        <v>0</v>
      </c>
      <c r="P567">
        <f>indirect(address(567,15))+indirect(address(565,16))-indirect(address(566,16))</f>
        <v>0</v>
      </c>
      <c r="Q567">
        <f>indirect(address(567,16))+indirect(address(565,17))-indirect(address(566,17))</f>
        <v>0</v>
      </c>
      <c r="R567">
        <f>indirect(address(567,17))+indirect(address(565,18))-indirect(address(566,18))</f>
        <v>0</v>
      </c>
      <c r="S567">
        <f>indirect(address(567,18))+indirect(address(565,19))-indirect(address(566,19))</f>
        <v>0</v>
      </c>
      <c r="T567">
        <f>indirect(address(567,19))+indirect(address(565,20))-indirect(address(566,20))</f>
        <v>0</v>
      </c>
      <c r="U567">
        <f>indirect(address(567,20))+indirect(address(565,21))-indirect(address(566,21))</f>
        <v>0</v>
      </c>
      <c r="V567">
        <f>indirect(address(567,21))+indirect(address(565,22))-indirect(address(566,22))</f>
        <v>0</v>
      </c>
      <c r="W567">
        <f>indirect(address(567,22))+indirect(address(565,23))-indirect(address(566,23))</f>
        <v>0</v>
      </c>
      <c r="X567">
        <f>indirect(address(567,23))+indirect(address(565,24))-indirect(address(566,24))</f>
        <v>0</v>
      </c>
      <c r="Y567">
        <f>indirect(address(567,24))+indirect(address(565,25))-indirect(address(566,25))</f>
        <v>0</v>
      </c>
      <c r="Z567">
        <f>indirect(address(567,25))+indirect(address(565,26))-indirect(address(566,26))</f>
        <v>0</v>
      </c>
      <c r="AA567">
        <f>indirect(address(567,26))+indirect(address(565,27))-indirect(address(566,27))</f>
        <v>0</v>
      </c>
      <c r="AB567">
        <f>indirect(address(567,27))+indirect(address(565,28))-indirect(address(566,28))</f>
        <v>0</v>
      </c>
      <c r="AC567">
        <f>indirect(address(567,28))+indirect(address(565,29))-indirect(address(566,29))</f>
        <v>0</v>
      </c>
      <c r="AD567">
        <f>indirect(address(567,29))+indirect(address(565,30))-indirect(address(566,30))</f>
        <v>0</v>
      </c>
      <c r="AE567">
        <f>indirect(address(567,30))+indirect(address(565,31))-indirect(address(566,31))</f>
        <v>0</v>
      </c>
      <c r="AF567">
        <f>indirect(address(567,31))+indirect(address(565,32))-indirect(address(566,32))</f>
        <v>0</v>
      </c>
      <c r="AG567">
        <f>indirect(address(567,32))+indirect(address(565,33))-indirect(address(566,33))</f>
        <v>0</v>
      </c>
      <c r="AH567">
        <f>indirect(address(567,33))+indirect(address(565,34))-indirect(address(566,34))</f>
        <v>0</v>
      </c>
      <c r="AI567">
        <f>indirect(address(567,34))+indirect(address(565,35))-indirect(address(566,35))</f>
        <v>0</v>
      </c>
      <c r="AJ567">
        <f>indirect(address(567,35))+indirect(address(565,36))-indirect(address(566,36))</f>
        <v>0</v>
      </c>
      <c r="AK567">
        <f>indirect(address(567,36))+indirect(address(565,37))-indirect(address(566,37))</f>
        <v>0</v>
      </c>
      <c r="AL567">
        <f>indirect(address(567,37))+indirect(address(565,38))-indirect(address(566,38))</f>
        <v>0</v>
      </c>
      <c r="AM567">
        <f>indirect(address(567,38))+indirect(address(565,39))-indirect(address(566,39))</f>
        <v>0</v>
      </c>
      <c r="AN567">
        <f>indirect(address(567,39))+indirect(address(565,40))-indirect(address(566,40))</f>
        <v>0</v>
      </c>
      <c r="AO567">
        <f>indirect(address(567,40))+indirect(address(565,41))-indirect(address(566,41))</f>
        <v>0</v>
      </c>
    </row>
    <row r="568" spans="1:41">
      <c r="I568" t="s">
        <v>14</v>
      </c>
      <c r="AO568">
        <f>sum(j568:an568)</f>
        <v>0</v>
      </c>
    </row>
    <row r="569" spans="1:41">
      <c r="I569" t="s">
        <v>15</v>
      </c>
      <c r="J569">
        <f>sumif(Plan!B:B,"261-026500-805",Plan!j:j)</f>
        <v>0</v>
      </c>
      <c r="K569">
        <f>sumif(Plan!B:B,"261-026500-805",Plan!k:k)</f>
        <v>0</v>
      </c>
      <c r="L569">
        <f>sumif(Plan!B:B,"261-026500-805",Plan!l:l)</f>
        <v>0</v>
      </c>
      <c r="M569">
        <f>sumif(Plan!B:B,"261-026500-805",Plan!m:m)</f>
        <v>0</v>
      </c>
      <c r="N569">
        <f>sumif(Plan!B:B,"261-026500-805",Plan!n:n)</f>
        <v>0</v>
      </c>
      <c r="O569">
        <f>sumif(Plan!B:B,"261-026500-805",Plan!o:o)</f>
        <v>0</v>
      </c>
      <c r="P569">
        <f>sumif(Plan!B:B,"261-026500-805",Plan!p:p)</f>
        <v>0</v>
      </c>
      <c r="Q569">
        <f>sumif(Plan!B:B,"261-026500-805",Plan!q:q)</f>
        <v>0</v>
      </c>
      <c r="R569">
        <f>sumif(Plan!B:B,"261-026500-805",Plan!r:r)</f>
        <v>0</v>
      </c>
      <c r="S569">
        <f>sumif(Plan!B:B,"261-026500-805",Plan!s:s)</f>
        <v>0</v>
      </c>
      <c r="T569">
        <f>sumif(Plan!B:B,"261-026500-805",Plan!t:t)</f>
        <v>0</v>
      </c>
      <c r="U569">
        <f>sumif(Plan!B:B,"261-026500-805",Plan!u:u)</f>
        <v>0</v>
      </c>
      <c r="V569">
        <f>sumif(Plan!B:B,"261-026500-805",Plan!v:v)</f>
        <v>0</v>
      </c>
      <c r="W569">
        <f>sumif(Plan!B:B,"261-026500-805",Plan!w:w)</f>
        <v>0</v>
      </c>
      <c r="X569">
        <f>sumif(Plan!B:B,"261-026500-805",Plan!x:x)</f>
        <v>0</v>
      </c>
      <c r="Y569">
        <f>sumif(Plan!B:B,"261-026500-805",Plan!y:y)</f>
        <v>0</v>
      </c>
      <c r="Z569">
        <f>sumif(Plan!B:B,"261-026500-805",Plan!z:z)</f>
        <v>0</v>
      </c>
      <c r="AA569">
        <f>sumif(Plan!B:B,"261-026500-805",Plan!aa:aa)</f>
        <v>0</v>
      </c>
      <c r="AB569">
        <f>sumif(Plan!B:B,"261-026500-805",Plan!ab:ab)</f>
        <v>0</v>
      </c>
      <c r="AC569">
        <f>sumif(Plan!B:B,"261-026500-805",Plan!ac:ac)</f>
        <v>0</v>
      </c>
      <c r="AD569">
        <f>sumif(Plan!B:B,"261-026500-805",Plan!ad:ad)</f>
        <v>0</v>
      </c>
      <c r="AE569">
        <f>sumif(Plan!B:B,"261-026500-805",Plan!ae:ae)</f>
        <v>0</v>
      </c>
      <c r="AF569">
        <f>sumif(Plan!B:B,"261-026500-805",Plan!af:af)</f>
        <v>0</v>
      </c>
      <c r="AG569">
        <f>sumif(Plan!B:B,"261-026500-805",Plan!ag:ag)</f>
        <v>0</v>
      </c>
      <c r="AH569">
        <f>sumif(Plan!B:B,"261-026500-805",Plan!ah:ah)</f>
        <v>0</v>
      </c>
      <c r="AI569">
        <f>sumif(Plan!B:B,"261-026500-805",Plan!ai:ai)</f>
        <v>0</v>
      </c>
      <c r="AJ569">
        <f>sumif(Plan!B:B,"261-026500-805",Plan!aj:aj)</f>
        <v>0</v>
      </c>
      <c r="AK569">
        <f>sumif(Plan!B:B,"261-026500-805",Plan!ak:ak)</f>
        <v>0</v>
      </c>
      <c r="AL569">
        <f>sumif(Plan!B:B,"261-026500-805",Plan!al:al)</f>
        <v>0</v>
      </c>
      <c r="AM569">
        <f>sumif(Plan!B:B,"261-026500-805",Plan!am:am)</f>
        <v>0</v>
      </c>
      <c r="AN569">
        <f>sumif(Plan!B:B,"261-026500-805",Plan!an:an)</f>
        <v>0</v>
      </c>
      <c r="AO569">
        <f>sumif(Plan!B:B,"261-026500-805",Plan!ao:ao)</f>
        <v>0</v>
      </c>
    </row>
    <row r="570" spans="1:41">
      <c r="A570" t="s">
        <v>22</v>
      </c>
      <c r="B570" t="s">
        <v>357</v>
      </c>
      <c r="C570" t="s">
        <v>358</v>
      </c>
      <c r="E570">
        <v>1</v>
      </c>
      <c r="F570" t="s">
        <v>13</v>
      </c>
      <c r="H570" t="s">
        <v>16</v>
      </c>
      <c r="J570">
        <f>indirect(address(570,9))+indirect(address(568,10))-indirect(address(569,10))</f>
        <v>0</v>
      </c>
      <c r="K570">
        <f>indirect(address(570,10))+indirect(address(568,11))-indirect(address(569,11))</f>
        <v>0</v>
      </c>
      <c r="L570">
        <f>indirect(address(570,11))+indirect(address(568,12))-indirect(address(569,12))</f>
        <v>0</v>
      </c>
      <c r="M570">
        <f>indirect(address(570,12))+indirect(address(568,13))-indirect(address(569,13))</f>
        <v>0</v>
      </c>
      <c r="N570">
        <f>indirect(address(570,13))+indirect(address(568,14))-indirect(address(569,14))</f>
        <v>0</v>
      </c>
      <c r="O570">
        <f>indirect(address(570,14))+indirect(address(568,15))-indirect(address(569,15))</f>
        <v>0</v>
      </c>
      <c r="P570">
        <f>indirect(address(570,15))+indirect(address(568,16))-indirect(address(569,16))</f>
        <v>0</v>
      </c>
      <c r="Q570">
        <f>indirect(address(570,16))+indirect(address(568,17))-indirect(address(569,17))</f>
        <v>0</v>
      </c>
      <c r="R570">
        <f>indirect(address(570,17))+indirect(address(568,18))-indirect(address(569,18))</f>
        <v>0</v>
      </c>
      <c r="S570">
        <f>indirect(address(570,18))+indirect(address(568,19))-indirect(address(569,19))</f>
        <v>0</v>
      </c>
      <c r="T570">
        <f>indirect(address(570,19))+indirect(address(568,20))-indirect(address(569,20))</f>
        <v>0</v>
      </c>
      <c r="U570">
        <f>indirect(address(570,20))+indirect(address(568,21))-indirect(address(569,21))</f>
        <v>0</v>
      </c>
      <c r="V570">
        <f>indirect(address(570,21))+indirect(address(568,22))-indirect(address(569,22))</f>
        <v>0</v>
      </c>
      <c r="W570">
        <f>indirect(address(570,22))+indirect(address(568,23))-indirect(address(569,23))</f>
        <v>0</v>
      </c>
      <c r="X570">
        <f>indirect(address(570,23))+indirect(address(568,24))-indirect(address(569,24))</f>
        <v>0</v>
      </c>
      <c r="Y570">
        <f>indirect(address(570,24))+indirect(address(568,25))-indirect(address(569,25))</f>
        <v>0</v>
      </c>
      <c r="Z570">
        <f>indirect(address(570,25))+indirect(address(568,26))-indirect(address(569,26))</f>
        <v>0</v>
      </c>
      <c r="AA570">
        <f>indirect(address(570,26))+indirect(address(568,27))-indirect(address(569,27))</f>
        <v>0</v>
      </c>
      <c r="AB570">
        <f>indirect(address(570,27))+indirect(address(568,28))-indirect(address(569,28))</f>
        <v>0</v>
      </c>
      <c r="AC570">
        <f>indirect(address(570,28))+indirect(address(568,29))-indirect(address(569,29))</f>
        <v>0</v>
      </c>
      <c r="AD570">
        <f>indirect(address(570,29))+indirect(address(568,30))-indirect(address(569,30))</f>
        <v>0</v>
      </c>
      <c r="AE570">
        <f>indirect(address(570,30))+indirect(address(568,31))-indirect(address(569,31))</f>
        <v>0</v>
      </c>
      <c r="AF570">
        <f>indirect(address(570,31))+indirect(address(568,32))-indirect(address(569,32))</f>
        <v>0</v>
      </c>
      <c r="AG570">
        <f>indirect(address(570,32))+indirect(address(568,33))-indirect(address(569,33))</f>
        <v>0</v>
      </c>
      <c r="AH570">
        <f>indirect(address(570,33))+indirect(address(568,34))-indirect(address(569,34))</f>
        <v>0</v>
      </c>
      <c r="AI570">
        <f>indirect(address(570,34))+indirect(address(568,35))-indirect(address(569,35))</f>
        <v>0</v>
      </c>
      <c r="AJ570">
        <f>indirect(address(570,35))+indirect(address(568,36))-indirect(address(569,36))</f>
        <v>0</v>
      </c>
      <c r="AK570">
        <f>indirect(address(570,36))+indirect(address(568,37))-indirect(address(569,37))</f>
        <v>0</v>
      </c>
      <c r="AL570">
        <f>indirect(address(570,37))+indirect(address(568,38))-indirect(address(569,38))</f>
        <v>0</v>
      </c>
      <c r="AM570">
        <f>indirect(address(570,38))+indirect(address(568,39))-indirect(address(569,39))</f>
        <v>0</v>
      </c>
      <c r="AN570">
        <f>indirect(address(570,39))+indirect(address(568,40))-indirect(address(569,40))</f>
        <v>0</v>
      </c>
      <c r="AO570">
        <f>indirect(address(570,40))+indirect(address(568,41))-indirect(address(569,41))</f>
        <v>0</v>
      </c>
    </row>
    <row r="571" spans="1:41">
      <c r="I571" t="s">
        <v>14</v>
      </c>
      <c r="AO571">
        <f>sum(j571:an571)</f>
        <v>0</v>
      </c>
    </row>
    <row r="572" spans="1:41">
      <c r="I572" t="s">
        <v>15</v>
      </c>
      <c r="J572">
        <f>sumif(Plan!B:B,"204-00372",Plan!j:j)</f>
        <v>0</v>
      </c>
      <c r="K572">
        <f>sumif(Plan!B:B,"204-00372",Plan!k:k)</f>
        <v>0</v>
      </c>
      <c r="L572">
        <f>sumif(Plan!B:B,"204-00372",Plan!l:l)</f>
        <v>0</v>
      </c>
      <c r="M572">
        <f>sumif(Plan!B:B,"204-00372",Plan!m:m)</f>
        <v>0</v>
      </c>
      <c r="N572">
        <f>sumif(Plan!B:B,"204-00372",Plan!n:n)</f>
        <v>0</v>
      </c>
      <c r="O572">
        <f>sumif(Plan!B:B,"204-00372",Plan!o:o)</f>
        <v>0</v>
      </c>
      <c r="P572">
        <f>sumif(Plan!B:B,"204-00372",Plan!p:p)</f>
        <v>0</v>
      </c>
      <c r="Q572">
        <f>sumif(Plan!B:B,"204-00372",Plan!q:q)</f>
        <v>0</v>
      </c>
      <c r="R572">
        <f>sumif(Plan!B:B,"204-00372",Plan!r:r)</f>
        <v>0</v>
      </c>
      <c r="S572">
        <f>sumif(Plan!B:B,"204-00372",Plan!s:s)</f>
        <v>0</v>
      </c>
      <c r="T572">
        <f>sumif(Plan!B:B,"204-00372",Plan!t:t)</f>
        <v>0</v>
      </c>
      <c r="U572">
        <f>sumif(Plan!B:B,"204-00372",Plan!u:u)</f>
        <v>0</v>
      </c>
      <c r="V572">
        <f>sumif(Plan!B:B,"204-00372",Plan!v:v)</f>
        <v>0</v>
      </c>
      <c r="W572">
        <f>sumif(Plan!B:B,"204-00372",Plan!w:w)</f>
        <v>0</v>
      </c>
      <c r="X572">
        <f>sumif(Plan!B:B,"204-00372",Plan!x:x)</f>
        <v>0</v>
      </c>
      <c r="Y572">
        <f>sumif(Plan!B:B,"204-00372",Plan!y:y)</f>
        <v>0</v>
      </c>
      <c r="Z572">
        <f>sumif(Plan!B:B,"204-00372",Plan!z:z)</f>
        <v>0</v>
      </c>
      <c r="AA572">
        <f>sumif(Plan!B:B,"204-00372",Plan!aa:aa)</f>
        <v>0</v>
      </c>
      <c r="AB572">
        <f>sumif(Plan!B:B,"204-00372",Plan!ab:ab)</f>
        <v>0</v>
      </c>
      <c r="AC572">
        <f>sumif(Plan!B:B,"204-00372",Plan!ac:ac)</f>
        <v>0</v>
      </c>
      <c r="AD572">
        <f>sumif(Plan!B:B,"204-00372",Plan!ad:ad)</f>
        <v>0</v>
      </c>
      <c r="AE572">
        <f>sumif(Plan!B:B,"204-00372",Plan!ae:ae)</f>
        <v>0</v>
      </c>
      <c r="AF572">
        <f>sumif(Plan!B:B,"204-00372",Plan!af:af)</f>
        <v>0</v>
      </c>
      <c r="AG572">
        <f>sumif(Plan!B:B,"204-00372",Plan!ag:ag)</f>
        <v>0</v>
      </c>
      <c r="AH572">
        <f>sumif(Plan!B:B,"204-00372",Plan!ah:ah)</f>
        <v>0</v>
      </c>
      <c r="AI572">
        <f>sumif(Plan!B:B,"204-00372",Plan!ai:ai)</f>
        <v>0</v>
      </c>
      <c r="AJ572">
        <f>sumif(Plan!B:B,"204-00372",Plan!aj:aj)</f>
        <v>0</v>
      </c>
      <c r="AK572">
        <f>sumif(Plan!B:B,"204-00372",Plan!ak:ak)</f>
        <v>0</v>
      </c>
      <c r="AL572">
        <f>sumif(Plan!B:B,"204-00372",Plan!al:al)</f>
        <v>0</v>
      </c>
      <c r="AM572">
        <f>sumif(Plan!B:B,"204-00372",Plan!am:am)</f>
        <v>0</v>
      </c>
      <c r="AN572">
        <f>sumif(Plan!B:B,"204-00372",Plan!an:an)</f>
        <v>0</v>
      </c>
      <c r="AO572">
        <f>sumif(Plan!B:B,"204-00372",Plan!ao:ao)</f>
        <v>0</v>
      </c>
    </row>
    <row r="573" spans="1:41">
      <c r="A573" t="s">
        <v>43</v>
      </c>
      <c r="B573" t="s">
        <v>359</v>
      </c>
      <c r="C573" t="s">
        <v>360</v>
      </c>
      <c r="E573">
        <v>0.17</v>
      </c>
      <c r="F573" t="s">
        <v>13</v>
      </c>
      <c r="H573" t="s">
        <v>16</v>
      </c>
      <c r="J573">
        <f>indirect(address(573,9))+indirect(address(571,10))-indirect(address(572,10))</f>
        <v>0</v>
      </c>
      <c r="K573">
        <f>indirect(address(573,10))+indirect(address(571,11))-indirect(address(572,11))</f>
        <v>0</v>
      </c>
      <c r="L573">
        <f>indirect(address(573,11))+indirect(address(571,12))-indirect(address(572,12))</f>
        <v>0</v>
      </c>
      <c r="M573">
        <f>indirect(address(573,12))+indirect(address(571,13))-indirect(address(572,13))</f>
        <v>0</v>
      </c>
      <c r="N573">
        <f>indirect(address(573,13))+indirect(address(571,14))-indirect(address(572,14))</f>
        <v>0</v>
      </c>
      <c r="O573">
        <f>indirect(address(573,14))+indirect(address(571,15))-indirect(address(572,15))</f>
        <v>0</v>
      </c>
      <c r="P573">
        <f>indirect(address(573,15))+indirect(address(571,16))-indirect(address(572,16))</f>
        <v>0</v>
      </c>
      <c r="Q573">
        <f>indirect(address(573,16))+indirect(address(571,17))-indirect(address(572,17))</f>
        <v>0</v>
      </c>
      <c r="R573">
        <f>indirect(address(573,17))+indirect(address(571,18))-indirect(address(572,18))</f>
        <v>0</v>
      </c>
      <c r="S573">
        <f>indirect(address(573,18))+indirect(address(571,19))-indirect(address(572,19))</f>
        <v>0</v>
      </c>
      <c r="T573">
        <f>indirect(address(573,19))+indirect(address(571,20))-indirect(address(572,20))</f>
        <v>0</v>
      </c>
      <c r="U573">
        <f>indirect(address(573,20))+indirect(address(571,21))-indirect(address(572,21))</f>
        <v>0</v>
      </c>
      <c r="V573">
        <f>indirect(address(573,21))+indirect(address(571,22))-indirect(address(572,22))</f>
        <v>0</v>
      </c>
      <c r="W573">
        <f>indirect(address(573,22))+indirect(address(571,23))-indirect(address(572,23))</f>
        <v>0</v>
      </c>
      <c r="X573">
        <f>indirect(address(573,23))+indirect(address(571,24))-indirect(address(572,24))</f>
        <v>0</v>
      </c>
      <c r="Y573">
        <f>indirect(address(573,24))+indirect(address(571,25))-indirect(address(572,25))</f>
        <v>0</v>
      </c>
      <c r="Z573">
        <f>indirect(address(573,25))+indirect(address(571,26))-indirect(address(572,26))</f>
        <v>0</v>
      </c>
      <c r="AA573">
        <f>indirect(address(573,26))+indirect(address(571,27))-indirect(address(572,27))</f>
        <v>0</v>
      </c>
      <c r="AB573">
        <f>indirect(address(573,27))+indirect(address(571,28))-indirect(address(572,28))</f>
        <v>0</v>
      </c>
      <c r="AC573">
        <f>indirect(address(573,28))+indirect(address(571,29))-indirect(address(572,29))</f>
        <v>0</v>
      </c>
      <c r="AD573">
        <f>indirect(address(573,29))+indirect(address(571,30))-indirect(address(572,30))</f>
        <v>0</v>
      </c>
      <c r="AE573">
        <f>indirect(address(573,30))+indirect(address(571,31))-indirect(address(572,31))</f>
        <v>0</v>
      </c>
      <c r="AF573">
        <f>indirect(address(573,31))+indirect(address(571,32))-indirect(address(572,32))</f>
        <v>0</v>
      </c>
      <c r="AG573">
        <f>indirect(address(573,32))+indirect(address(571,33))-indirect(address(572,33))</f>
        <v>0</v>
      </c>
      <c r="AH573">
        <f>indirect(address(573,33))+indirect(address(571,34))-indirect(address(572,34))</f>
        <v>0</v>
      </c>
      <c r="AI573">
        <f>indirect(address(573,34))+indirect(address(571,35))-indirect(address(572,35))</f>
        <v>0</v>
      </c>
      <c r="AJ573">
        <f>indirect(address(573,35))+indirect(address(571,36))-indirect(address(572,36))</f>
        <v>0</v>
      </c>
      <c r="AK573">
        <f>indirect(address(573,36))+indirect(address(571,37))-indirect(address(572,37))</f>
        <v>0</v>
      </c>
      <c r="AL573">
        <f>indirect(address(573,37))+indirect(address(571,38))-indirect(address(572,38))</f>
        <v>0</v>
      </c>
      <c r="AM573">
        <f>indirect(address(573,38))+indirect(address(571,39))-indirect(address(572,39))</f>
        <v>0</v>
      </c>
      <c r="AN573">
        <f>indirect(address(573,39))+indirect(address(571,40))-indirect(address(572,40))</f>
        <v>0</v>
      </c>
      <c r="AO573">
        <f>indirect(address(573,40))+indirect(address(571,41))-indirect(address(572,41))</f>
        <v>0</v>
      </c>
    </row>
    <row r="574" spans="1:41">
      <c r="I574" t="s">
        <v>14</v>
      </c>
      <c r="AO574">
        <f>sum(j574:an574)</f>
        <v>0</v>
      </c>
    </row>
    <row r="575" spans="1:41">
      <c r="I575" t="s">
        <v>15</v>
      </c>
      <c r="J575">
        <f>sumif(Plan!B:B,"204-00372",Plan!j:j)</f>
        <v>0</v>
      </c>
      <c r="K575">
        <f>sumif(Plan!B:B,"204-00372",Plan!k:k)</f>
        <v>0</v>
      </c>
      <c r="L575">
        <f>sumif(Plan!B:B,"204-00372",Plan!l:l)</f>
        <v>0</v>
      </c>
      <c r="M575">
        <f>sumif(Plan!B:B,"204-00372",Plan!m:m)</f>
        <v>0</v>
      </c>
      <c r="N575">
        <f>sumif(Plan!B:B,"204-00372",Plan!n:n)</f>
        <v>0</v>
      </c>
      <c r="O575">
        <f>sumif(Plan!B:B,"204-00372",Plan!o:o)</f>
        <v>0</v>
      </c>
      <c r="P575">
        <f>sumif(Plan!B:B,"204-00372",Plan!p:p)</f>
        <v>0</v>
      </c>
      <c r="Q575">
        <f>sumif(Plan!B:B,"204-00372",Plan!q:q)</f>
        <v>0</v>
      </c>
      <c r="R575">
        <f>sumif(Plan!B:B,"204-00372",Plan!r:r)</f>
        <v>0</v>
      </c>
      <c r="S575">
        <f>sumif(Plan!B:B,"204-00372",Plan!s:s)</f>
        <v>0</v>
      </c>
      <c r="T575">
        <f>sumif(Plan!B:B,"204-00372",Plan!t:t)</f>
        <v>0</v>
      </c>
      <c r="U575">
        <f>sumif(Plan!B:B,"204-00372",Plan!u:u)</f>
        <v>0</v>
      </c>
      <c r="V575">
        <f>sumif(Plan!B:B,"204-00372",Plan!v:v)</f>
        <v>0</v>
      </c>
      <c r="W575">
        <f>sumif(Plan!B:B,"204-00372",Plan!w:w)</f>
        <v>0</v>
      </c>
      <c r="X575">
        <f>sumif(Plan!B:B,"204-00372",Plan!x:x)</f>
        <v>0</v>
      </c>
      <c r="Y575">
        <f>sumif(Plan!B:B,"204-00372",Plan!y:y)</f>
        <v>0</v>
      </c>
      <c r="Z575">
        <f>sumif(Plan!B:B,"204-00372",Plan!z:z)</f>
        <v>0</v>
      </c>
      <c r="AA575">
        <f>sumif(Plan!B:B,"204-00372",Plan!aa:aa)</f>
        <v>0</v>
      </c>
      <c r="AB575">
        <f>sumif(Plan!B:B,"204-00372",Plan!ab:ab)</f>
        <v>0</v>
      </c>
      <c r="AC575">
        <f>sumif(Plan!B:B,"204-00372",Plan!ac:ac)</f>
        <v>0</v>
      </c>
      <c r="AD575">
        <f>sumif(Plan!B:B,"204-00372",Plan!ad:ad)</f>
        <v>0</v>
      </c>
      <c r="AE575">
        <f>sumif(Plan!B:B,"204-00372",Plan!ae:ae)</f>
        <v>0</v>
      </c>
      <c r="AF575">
        <f>sumif(Plan!B:B,"204-00372",Plan!af:af)</f>
        <v>0</v>
      </c>
      <c r="AG575">
        <f>sumif(Plan!B:B,"204-00372",Plan!ag:ag)</f>
        <v>0</v>
      </c>
      <c r="AH575">
        <f>sumif(Plan!B:B,"204-00372",Plan!ah:ah)</f>
        <v>0</v>
      </c>
      <c r="AI575">
        <f>sumif(Plan!B:B,"204-00372",Plan!ai:ai)</f>
        <v>0</v>
      </c>
      <c r="AJ575">
        <f>sumif(Plan!B:B,"204-00372",Plan!aj:aj)</f>
        <v>0</v>
      </c>
      <c r="AK575">
        <f>sumif(Plan!B:B,"204-00372",Plan!ak:ak)</f>
        <v>0</v>
      </c>
      <c r="AL575">
        <f>sumif(Plan!B:B,"204-00372",Plan!al:al)</f>
        <v>0</v>
      </c>
      <c r="AM575">
        <f>sumif(Plan!B:B,"204-00372",Plan!am:am)</f>
        <v>0</v>
      </c>
      <c r="AN575">
        <f>sumif(Plan!B:B,"204-00372",Plan!an:an)</f>
        <v>0</v>
      </c>
      <c r="AO575">
        <f>sumif(Plan!B:B,"204-00372",Plan!ao:ao)</f>
        <v>0</v>
      </c>
    </row>
    <row r="576" spans="1:41">
      <c r="A576" t="s">
        <v>41</v>
      </c>
      <c r="B576" t="s">
        <v>359</v>
      </c>
      <c r="C576" t="s">
        <v>360</v>
      </c>
      <c r="E576">
        <v>0.17</v>
      </c>
      <c r="F576" t="s">
        <v>13</v>
      </c>
      <c r="H576" t="s">
        <v>16</v>
      </c>
      <c r="J576">
        <f>indirect(address(576,9))+indirect(address(574,10))-indirect(address(575,10))</f>
        <v>0</v>
      </c>
      <c r="K576">
        <f>indirect(address(576,10))+indirect(address(574,11))-indirect(address(575,11))</f>
        <v>0</v>
      </c>
      <c r="L576">
        <f>indirect(address(576,11))+indirect(address(574,12))-indirect(address(575,12))</f>
        <v>0</v>
      </c>
      <c r="M576">
        <f>indirect(address(576,12))+indirect(address(574,13))-indirect(address(575,13))</f>
        <v>0</v>
      </c>
      <c r="N576">
        <f>indirect(address(576,13))+indirect(address(574,14))-indirect(address(575,14))</f>
        <v>0</v>
      </c>
      <c r="O576">
        <f>indirect(address(576,14))+indirect(address(574,15))-indirect(address(575,15))</f>
        <v>0</v>
      </c>
      <c r="P576">
        <f>indirect(address(576,15))+indirect(address(574,16))-indirect(address(575,16))</f>
        <v>0</v>
      </c>
      <c r="Q576">
        <f>indirect(address(576,16))+indirect(address(574,17))-indirect(address(575,17))</f>
        <v>0</v>
      </c>
      <c r="R576">
        <f>indirect(address(576,17))+indirect(address(574,18))-indirect(address(575,18))</f>
        <v>0</v>
      </c>
      <c r="S576">
        <f>indirect(address(576,18))+indirect(address(574,19))-indirect(address(575,19))</f>
        <v>0</v>
      </c>
      <c r="T576">
        <f>indirect(address(576,19))+indirect(address(574,20))-indirect(address(575,20))</f>
        <v>0</v>
      </c>
      <c r="U576">
        <f>indirect(address(576,20))+indirect(address(574,21))-indirect(address(575,21))</f>
        <v>0</v>
      </c>
      <c r="V576">
        <f>indirect(address(576,21))+indirect(address(574,22))-indirect(address(575,22))</f>
        <v>0</v>
      </c>
      <c r="W576">
        <f>indirect(address(576,22))+indirect(address(574,23))-indirect(address(575,23))</f>
        <v>0</v>
      </c>
      <c r="X576">
        <f>indirect(address(576,23))+indirect(address(574,24))-indirect(address(575,24))</f>
        <v>0</v>
      </c>
      <c r="Y576">
        <f>indirect(address(576,24))+indirect(address(574,25))-indirect(address(575,25))</f>
        <v>0</v>
      </c>
      <c r="Z576">
        <f>indirect(address(576,25))+indirect(address(574,26))-indirect(address(575,26))</f>
        <v>0</v>
      </c>
      <c r="AA576">
        <f>indirect(address(576,26))+indirect(address(574,27))-indirect(address(575,27))</f>
        <v>0</v>
      </c>
      <c r="AB576">
        <f>indirect(address(576,27))+indirect(address(574,28))-indirect(address(575,28))</f>
        <v>0</v>
      </c>
      <c r="AC576">
        <f>indirect(address(576,28))+indirect(address(574,29))-indirect(address(575,29))</f>
        <v>0</v>
      </c>
      <c r="AD576">
        <f>indirect(address(576,29))+indirect(address(574,30))-indirect(address(575,30))</f>
        <v>0</v>
      </c>
      <c r="AE576">
        <f>indirect(address(576,30))+indirect(address(574,31))-indirect(address(575,31))</f>
        <v>0</v>
      </c>
      <c r="AF576">
        <f>indirect(address(576,31))+indirect(address(574,32))-indirect(address(575,32))</f>
        <v>0</v>
      </c>
      <c r="AG576">
        <f>indirect(address(576,32))+indirect(address(574,33))-indirect(address(575,33))</f>
        <v>0</v>
      </c>
      <c r="AH576">
        <f>indirect(address(576,33))+indirect(address(574,34))-indirect(address(575,34))</f>
        <v>0</v>
      </c>
      <c r="AI576">
        <f>indirect(address(576,34))+indirect(address(574,35))-indirect(address(575,35))</f>
        <v>0</v>
      </c>
      <c r="AJ576">
        <f>indirect(address(576,35))+indirect(address(574,36))-indirect(address(575,36))</f>
        <v>0</v>
      </c>
      <c r="AK576">
        <f>indirect(address(576,36))+indirect(address(574,37))-indirect(address(575,37))</f>
        <v>0</v>
      </c>
      <c r="AL576">
        <f>indirect(address(576,37))+indirect(address(574,38))-indirect(address(575,38))</f>
        <v>0</v>
      </c>
      <c r="AM576">
        <f>indirect(address(576,38))+indirect(address(574,39))-indirect(address(575,39))</f>
        <v>0</v>
      </c>
      <c r="AN576">
        <f>indirect(address(576,39))+indirect(address(574,40))-indirect(address(575,40))</f>
        <v>0</v>
      </c>
      <c r="AO576">
        <f>indirect(address(576,40))+indirect(address(574,41))-indirect(address(575,41))</f>
        <v>0</v>
      </c>
    </row>
    <row r="577" spans="1:41">
      <c r="I577" t="s">
        <v>14</v>
      </c>
      <c r="AO577">
        <f>sum(j577:an577)</f>
        <v>0</v>
      </c>
    </row>
    <row r="578" spans="1:41">
      <c r="I578" t="s">
        <v>15</v>
      </c>
      <c r="J578">
        <f>sumif(Plan!B:B,"821-059000-200",Plan!j:j)</f>
        <v>0</v>
      </c>
      <c r="K578">
        <f>sumif(Plan!B:B,"821-059000-200",Plan!k:k)</f>
        <v>0</v>
      </c>
      <c r="L578">
        <f>sumif(Plan!B:B,"821-059000-200",Plan!l:l)</f>
        <v>0</v>
      </c>
      <c r="M578">
        <f>sumif(Plan!B:B,"821-059000-200",Plan!m:m)</f>
        <v>0</v>
      </c>
      <c r="N578">
        <f>sumif(Plan!B:B,"821-059000-200",Plan!n:n)</f>
        <v>0</v>
      </c>
      <c r="O578">
        <f>sumif(Plan!B:B,"821-059000-200",Plan!o:o)</f>
        <v>0</v>
      </c>
      <c r="P578">
        <f>sumif(Plan!B:B,"821-059000-200",Plan!p:p)</f>
        <v>0</v>
      </c>
      <c r="Q578">
        <f>sumif(Plan!B:B,"821-059000-200",Plan!q:q)</f>
        <v>0</v>
      </c>
      <c r="R578">
        <f>sumif(Plan!B:B,"821-059000-200",Plan!r:r)</f>
        <v>0</v>
      </c>
      <c r="S578">
        <f>sumif(Plan!B:B,"821-059000-200",Plan!s:s)</f>
        <v>0</v>
      </c>
      <c r="T578">
        <f>sumif(Plan!B:B,"821-059000-200",Plan!t:t)</f>
        <v>0</v>
      </c>
      <c r="U578">
        <f>sumif(Plan!B:B,"821-059000-200",Plan!u:u)</f>
        <v>0</v>
      </c>
      <c r="V578">
        <f>sumif(Plan!B:B,"821-059000-200",Plan!v:v)</f>
        <v>0</v>
      </c>
      <c r="W578">
        <f>sumif(Plan!B:B,"821-059000-200",Plan!w:w)</f>
        <v>0</v>
      </c>
      <c r="X578">
        <f>sumif(Plan!B:B,"821-059000-200",Plan!x:x)</f>
        <v>0</v>
      </c>
      <c r="Y578">
        <f>sumif(Plan!B:B,"821-059000-200",Plan!y:y)</f>
        <v>0</v>
      </c>
      <c r="Z578">
        <f>sumif(Plan!B:B,"821-059000-200",Plan!z:z)</f>
        <v>0</v>
      </c>
      <c r="AA578">
        <f>sumif(Plan!B:B,"821-059000-200",Plan!aa:aa)</f>
        <v>0</v>
      </c>
      <c r="AB578">
        <f>sumif(Plan!B:B,"821-059000-200",Plan!ab:ab)</f>
        <v>0</v>
      </c>
      <c r="AC578">
        <f>sumif(Plan!B:B,"821-059000-200",Plan!ac:ac)</f>
        <v>0</v>
      </c>
      <c r="AD578">
        <f>sumif(Plan!B:B,"821-059000-200",Plan!ad:ad)</f>
        <v>0</v>
      </c>
      <c r="AE578">
        <f>sumif(Plan!B:B,"821-059000-200",Plan!ae:ae)</f>
        <v>0</v>
      </c>
      <c r="AF578">
        <f>sumif(Plan!B:B,"821-059000-200",Plan!af:af)</f>
        <v>0</v>
      </c>
      <c r="AG578">
        <f>sumif(Plan!B:B,"821-059000-200",Plan!ag:ag)</f>
        <v>0</v>
      </c>
      <c r="AH578">
        <f>sumif(Plan!B:B,"821-059000-200",Plan!ah:ah)</f>
        <v>0</v>
      </c>
      <c r="AI578">
        <f>sumif(Plan!B:B,"821-059000-200",Plan!ai:ai)</f>
        <v>0</v>
      </c>
      <c r="AJ578">
        <f>sumif(Plan!B:B,"821-059000-200",Plan!aj:aj)</f>
        <v>0</v>
      </c>
      <c r="AK578">
        <f>sumif(Plan!B:B,"821-059000-200",Plan!ak:ak)</f>
        <v>0</v>
      </c>
      <c r="AL578">
        <f>sumif(Plan!B:B,"821-059000-200",Plan!al:al)</f>
        <v>0</v>
      </c>
      <c r="AM578">
        <f>sumif(Plan!B:B,"821-059000-200",Plan!am:am)</f>
        <v>0</v>
      </c>
      <c r="AN578">
        <f>sumif(Plan!B:B,"821-059000-200",Plan!an:an)</f>
        <v>0</v>
      </c>
      <c r="AO578">
        <f>sumif(Plan!B:B,"821-059000-200",Plan!ao:ao)</f>
        <v>0</v>
      </c>
    </row>
    <row r="579" spans="1:41">
      <c r="A579" t="s">
        <v>17</v>
      </c>
      <c r="B579" t="s">
        <v>363</v>
      </c>
      <c r="C579" t="s">
        <v>364</v>
      </c>
      <c r="E579">
        <v>1</v>
      </c>
      <c r="F579" t="s">
        <v>13</v>
      </c>
      <c r="H579" t="s">
        <v>16</v>
      </c>
      <c r="J579">
        <f>indirect(address(579,9))+indirect(address(577,10))-indirect(address(578,10))</f>
        <v>0</v>
      </c>
      <c r="K579">
        <f>indirect(address(579,10))+indirect(address(577,11))-indirect(address(578,11))</f>
        <v>0</v>
      </c>
      <c r="L579">
        <f>indirect(address(579,11))+indirect(address(577,12))-indirect(address(578,12))</f>
        <v>0</v>
      </c>
      <c r="M579">
        <f>indirect(address(579,12))+indirect(address(577,13))-indirect(address(578,13))</f>
        <v>0</v>
      </c>
      <c r="N579">
        <f>indirect(address(579,13))+indirect(address(577,14))-indirect(address(578,14))</f>
        <v>0</v>
      </c>
      <c r="O579">
        <f>indirect(address(579,14))+indirect(address(577,15))-indirect(address(578,15))</f>
        <v>0</v>
      </c>
      <c r="P579">
        <f>indirect(address(579,15))+indirect(address(577,16))-indirect(address(578,16))</f>
        <v>0</v>
      </c>
      <c r="Q579">
        <f>indirect(address(579,16))+indirect(address(577,17))-indirect(address(578,17))</f>
        <v>0</v>
      </c>
      <c r="R579">
        <f>indirect(address(579,17))+indirect(address(577,18))-indirect(address(578,18))</f>
        <v>0</v>
      </c>
      <c r="S579">
        <f>indirect(address(579,18))+indirect(address(577,19))-indirect(address(578,19))</f>
        <v>0</v>
      </c>
      <c r="T579">
        <f>indirect(address(579,19))+indirect(address(577,20))-indirect(address(578,20))</f>
        <v>0</v>
      </c>
      <c r="U579">
        <f>indirect(address(579,20))+indirect(address(577,21))-indirect(address(578,21))</f>
        <v>0</v>
      </c>
      <c r="V579">
        <f>indirect(address(579,21))+indirect(address(577,22))-indirect(address(578,22))</f>
        <v>0</v>
      </c>
      <c r="W579">
        <f>indirect(address(579,22))+indirect(address(577,23))-indirect(address(578,23))</f>
        <v>0</v>
      </c>
      <c r="X579">
        <f>indirect(address(579,23))+indirect(address(577,24))-indirect(address(578,24))</f>
        <v>0</v>
      </c>
      <c r="Y579">
        <f>indirect(address(579,24))+indirect(address(577,25))-indirect(address(578,25))</f>
        <v>0</v>
      </c>
      <c r="Z579">
        <f>indirect(address(579,25))+indirect(address(577,26))-indirect(address(578,26))</f>
        <v>0</v>
      </c>
      <c r="AA579">
        <f>indirect(address(579,26))+indirect(address(577,27))-indirect(address(578,27))</f>
        <v>0</v>
      </c>
      <c r="AB579">
        <f>indirect(address(579,27))+indirect(address(577,28))-indirect(address(578,28))</f>
        <v>0</v>
      </c>
      <c r="AC579">
        <f>indirect(address(579,28))+indirect(address(577,29))-indirect(address(578,29))</f>
        <v>0</v>
      </c>
      <c r="AD579">
        <f>indirect(address(579,29))+indirect(address(577,30))-indirect(address(578,30))</f>
        <v>0</v>
      </c>
      <c r="AE579">
        <f>indirect(address(579,30))+indirect(address(577,31))-indirect(address(578,31))</f>
        <v>0</v>
      </c>
      <c r="AF579">
        <f>indirect(address(579,31))+indirect(address(577,32))-indirect(address(578,32))</f>
        <v>0</v>
      </c>
      <c r="AG579">
        <f>indirect(address(579,32))+indirect(address(577,33))-indirect(address(578,33))</f>
        <v>0</v>
      </c>
      <c r="AH579">
        <f>indirect(address(579,33))+indirect(address(577,34))-indirect(address(578,34))</f>
        <v>0</v>
      </c>
      <c r="AI579">
        <f>indirect(address(579,34))+indirect(address(577,35))-indirect(address(578,35))</f>
        <v>0</v>
      </c>
      <c r="AJ579">
        <f>indirect(address(579,35))+indirect(address(577,36))-indirect(address(578,36))</f>
        <v>0</v>
      </c>
      <c r="AK579">
        <f>indirect(address(579,36))+indirect(address(577,37))-indirect(address(578,37))</f>
        <v>0</v>
      </c>
      <c r="AL579">
        <f>indirect(address(579,37))+indirect(address(577,38))-indirect(address(578,38))</f>
        <v>0</v>
      </c>
      <c r="AM579">
        <f>indirect(address(579,38))+indirect(address(577,39))-indirect(address(578,39))</f>
        <v>0</v>
      </c>
      <c r="AN579">
        <f>indirect(address(579,39))+indirect(address(577,40))-indirect(address(578,40))</f>
        <v>0</v>
      </c>
      <c r="AO579">
        <f>indirect(address(579,40))+indirect(address(577,41))-indirect(address(578,41))</f>
        <v>0</v>
      </c>
    </row>
    <row r="580" spans="1:41">
      <c r="I580" t="s">
        <v>14</v>
      </c>
      <c r="AO580">
        <f>sum(j580:an580)</f>
        <v>0</v>
      </c>
    </row>
    <row r="581" spans="1:41">
      <c r="I581" t="s">
        <v>15</v>
      </c>
      <c r="J581">
        <f>sumif(Plan!B:B,"821-061000-300",Plan!j:j)</f>
        <v>0</v>
      </c>
      <c r="K581">
        <f>sumif(Plan!B:B,"821-061000-300",Plan!k:k)</f>
        <v>0</v>
      </c>
      <c r="L581">
        <f>sumif(Plan!B:B,"821-061000-300",Plan!l:l)</f>
        <v>0</v>
      </c>
      <c r="M581">
        <f>sumif(Plan!B:B,"821-061000-300",Plan!m:m)</f>
        <v>0</v>
      </c>
      <c r="N581">
        <f>sumif(Plan!B:B,"821-061000-300",Plan!n:n)</f>
        <v>0</v>
      </c>
      <c r="O581">
        <f>sumif(Plan!B:B,"821-061000-300",Plan!o:o)</f>
        <v>0</v>
      </c>
      <c r="P581">
        <f>sumif(Plan!B:B,"821-061000-300",Plan!p:p)</f>
        <v>0</v>
      </c>
      <c r="Q581">
        <f>sumif(Plan!B:B,"821-061000-300",Plan!q:q)</f>
        <v>0</v>
      </c>
      <c r="R581">
        <f>sumif(Plan!B:B,"821-061000-300",Plan!r:r)</f>
        <v>0</v>
      </c>
      <c r="S581">
        <f>sumif(Plan!B:B,"821-061000-300",Plan!s:s)</f>
        <v>0</v>
      </c>
      <c r="T581">
        <f>sumif(Plan!B:B,"821-061000-300",Plan!t:t)</f>
        <v>0</v>
      </c>
      <c r="U581">
        <f>sumif(Plan!B:B,"821-061000-300",Plan!u:u)</f>
        <v>0</v>
      </c>
      <c r="V581">
        <f>sumif(Plan!B:B,"821-061000-300",Plan!v:v)</f>
        <v>0</v>
      </c>
      <c r="W581">
        <f>sumif(Plan!B:B,"821-061000-300",Plan!w:w)</f>
        <v>0</v>
      </c>
      <c r="X581">
        <f>sumif(Plan!B:B,"821-061000-300",Plan!x:x)</f>
        <v>0</v>
      </c>
      <c r="Y581">
        <f>sumif(Plan!B:B,"821-061000-300",Plan!y:y)</f>
        <v>0</v>
      </c>
      <c r="Z581">
        <f>sumif(Plan!B:B,"821-061000-300",Plan!z:z)</f>
        <v>0</v>
      </c>
      <c r="AA581">
        <f>sumif(Plan!B:B,"821-061000-300",Plan!aa:aa)</f>
        <v>0</v>
      </c>
      <c r="AB581">
        <f>sumif(Plan!B:B,"821-061000-300",Plan!ab:ab)</f>
        <v>0</v>
      </c>
      <c r="AC581">
        <f>sumif(Plan!B:B,"821-061000-300",Plan!ac:ac)</f>
        <v>0</v>
      </c>
      <c r="AD581">
        <f>sumif(Plan!B:B,"821-061000-300",Plan!ad:ad)</f>
        <v>0</v>
      </c>
      <c r="AE581">
        <f>sumif(Plan!B:B,"821-061000-300",Plan!ae:ae)</f>
        <v>0</v>
      </c>
      <c r="AF581">
        <f>sumif(Plan!B:B,"821-061000-300",Plan!af:af)</f>
        <v>0</v>
      </c>
      <c r="AG581">
        <f>sumif(Plan!B:B,"821-061000-300",Plan!ag:ag)</f>
        <v>0</v>
      </c>
      <c r="AH581">
        <f>sumif(Plan!B:B,"821-061000-300",Plan!ah:ah)</f>
        <v>0</v>
      </c>
      <c r="AI581">
        <f>sumif(Plan!B:B,"821-061000-300",Plan!ai:ai)</f>
        <v>0</v>
      </c>
      <c r="AJ581">
        <f>sumif(Plan!B:B,"821-061000-300",Plan!aj:aj)</f>
        <v>0</v>
      </c>
      <c r="AK581">
        <f>sumif(Plan!B:B,"821-061000-300",Plan!ak:ak)</f>
        <v>0</v>
      </c>
      <c r="AL581">
        <f>sumif(Plan!B:B,"821-061000-300",Plan!al:al)</f>
        <v>0</v>
      </c>
      <c r="AM581">
        <f>sumif(Plan!B:B,"821-061000-300",Plan!am:am)</f>
        <v>0</v>
      </c>
      <c r="AN581">
        <f>sumif(Plan!B:B,"821-061000-300",Plan!an:an)</f>
        <v>0</v>
      </c>
      <c r="AO581">
        <f>sumif(Plan!B:B,"821-061000-300",Plan!ao:ao)</f>
        <v>0</v>
      </c>
    </row>
    <row r="582" spans="1:41">
      <c r="A582" t="s">
        <v>17</v>
      </c>
      <c r="B582" t="s">
        <v>365</v>
      </c>
      <c r="C582" t="s">
        <v>366</v>
      </c>
      <c r="E582">
        <v>1</v>
      </c>
      <c r="F582" t="s">
        <v>13</v>
      </c>
      <c r="H582" t="s">
        <v>16</v>
      </c>
      <c r="J582">
        <f>indirect(address(582,9))+indirect(address(580,10))-indirect(address(581,10))</f>
        <v>0</v>
      </c>
      <c r="K582">
        <f>indirect(address(582,10))+indirect(address(580,11))-indirect(address(581,11))</f>
        <v>0</v>
      </c>
      <c r="L582">
        <f>indirect(address(582,11))+indirect(address(580,12))-indirect(address(581,12))</f>
        <v>0</v>
      </c>
      <c r="M582">
        <f>indirect(address(582,12))+indirect(address(580,13))-indirect(address(581,13))</f>
        <v>0</v>
      </c>
      <c r="N582">
        <f>indirect(address(582,13))+indirect(address(580,14))-indirect(address(581,14))</f>
        <v>0</v>
      </c>
      <c r="O582">
        <f>indirect(address(582,14))+indirect(address(580,15))-indirect(address(581,15))</f>
        <v>0</v>
      </c>
      <c r="P582">
        <f>indirect(address(582,15))+indirect(address(580,16))-indirect(address(581,16))</f>
        <v>0</v>
      </c>
      <c r="Q582">
        <f>indirect(address(582,16))+indirect(address(580,17))-indirect(address(581,17))</f>
        <v>0</v>
      </c>
      <c r="R582">
        <f>indirect(address(582,17))+indirect(address(580,18))-indirect(address(581,18))</f>
        <v>0</v>
      </c>
      <c r="S582">
        <f>indirect(address(582,18))+indirect(address(580,19))-indirect(address(581,19))</f>
        <v>0</v>
      </c>
      <c r="T582">
        <f>indirect(address(582,19))+indirect(address(580,20))-indirect(address(581,20))</f>
        <v>0</v>
      </c>
      <c r="U582">
        <f>indirect(address(582,20))+indirect(address(580,21))-indirect(address(581,21))</f>
        <v>0</v>
      </c>
      <c r="V582">
        <f>indirect(address(582,21))+indirect(address(580,22))-indirect(address(581,22))</f>
        <v>0</v>
      </c>
      <c r="W582">
        <f>indirect(address(582,22))+indirect(address(580,23))-indirect(address(581,23))</f>
        <v>0</v>
      </c>
      <c r="X582">
        <f>indirect(address(582,23))+indirect(address(580,24))-indirect(address(581,24))</f>
        <v>0</v>
      </c>
      <c r="Y582">
        <f>indirect(address(582,24))+indirect(address(580,25))-indirect(address(581,25))</f>
        <v>0</v>
      </c>
      <c r="Z582">
        <f>indirect(address(582,25))+indirect(address(580,26))-indirect(address(581,26))</f>
        <v>0</v>
      </c>
      <c r="AA582">
        <f>indirect(address(582,26))+indirect(address(580,27))-indirect(address(581,27))</f>
        <v>0</v>
      </c>
      <c r="AB582">
        <f>indirect(address(582,27))+indirect(address(580,28))-indirect(address(581,28))</f>
        <v>0</v>
      </c>
      <c r="AC582">
        <f>indirect(address(582,28))+indirect(address(580,29))-indirect(address(581,29))</f>
        <v>0</v>
      </c>
      <c r="AD582">
        <f>indirect(address(582,29))+indirect(address(580,30))-indirect(address(581,30))</f>
        <v>0</v>
      </c>
      <c r="AE582">
        <f>indirect(address(582,30))+indirect(address(580,31))-indirect(address(581,31))</f>
        <v>0</v>
      </c>
      <c r="AF582">
        <f>indirect(address(582,31))+indirect(address(580,32))-indirect(address(581,32))</f>
        <v>0</v>
      </c>
      <c r="AG582">
        <f>indirect(address(582,32))+indirect(address(580,33))-indirect(address(581,33))</f>
        <v>0</v>
      </c>
      <c r="AH582">
        <f>indirect(address(582,33))+indirect(address(580,34))-indirect(address(581,34))</f>
        <v>0</v>
      </c>
      <c r="AI582">
        <f>indirect(address(582,34))+indirect(address(580,35))-indirect(address(581,35))</f>
        <v>0</v>
      </c>
      <c r="AJ582">
        <f>indirect(address(582,35))+indirect(address(580,36))-indirect(address(581,36))</f>
        <v>0</v>
      </c>
      <c r="AK582">
        <f>indirect(address(582,36))+indirect(address(580,37))-indirect(address(581,37))</f>
        <v>0</v>
      </c>
      <c r="AL582">
        <f>indirect(address(582,37))+indirect(address(580,38))-indirect(address(581,38))</f>
        <v>0</v>
      </c>
      <c r="AM582">
        <f>indirect(address(582,38))+indirect(address(580,39))-indirect(address(581,39))</f>
        <v>0</v>
      </c>
      <c r="AN582">
        <f>indirect(address(582,39))+indirect(address(580,40))-indirect(address(581,40))</f>
        <v>0</v>
      </c>
      <c r="AO582">
        <f>indirect(address(582,40))+indirect(address(580,41))-indirect(address(581,41))</f>
        <v>0</v>
      </c>
    </row>
    <row r="583" spans="1:41">
      <c r="I583" t="s">
        <v>14</v>
      </c>
      <c r="AO583">
        <f>sum(j583:an583)</f>
        <v>0</v>
      </c>
    </row>
    <row r="584" spans="1:41">
      <c r="I584" t="s">
        <v>15</v>
      </c>
      <c r="J584">
        <f>sumif(Plan!B:B,"821-061000-400",Plan!j:j)</f>
        <v>0</v>
      </c>
      <c r="K584">
        <f>sumif(Plan!B:B,"821-061000-400",Plan!k:k)</f>
        <v>0</v>
      </c>
      <c r="L584">
        <f>sumif(Plan!B:B,"821-061000-400",Plan!l:l)</f>
        <v>0</v>
      </c>
      <c r="M584">
        <f>sumif(Plan!B:B,"821-061000-400",Plan!m:m)</f>
        <v>0</v>
      </c>
      <c r="N584">
        <f>sumif(Plan!B:B,"821-061000-400",Plan!n:n)</f>
        <v>0</v>
      </c>
      <c r="O584">
        <f>sumif(Plan!B:B,"821-061000-400",Plan!o:o)</f>
        <v>0</v>
      </c>
      <c r="P584">
        <f>sumif(Plan!B:B,"821-061000-400",Plan!p:p)</f>
        <v>0</v>
      </c>
      <c r="Q584">
        <f>sumif(Plan!B:B,"821-061000-400",Plan!q:q)</f>
        <v>0</v>
      </c>
      <c r="R584">
        <f>sumif(Plan!B:B,"821-061000-400",Plan!r:r)</f>
        <v>0</v>
      </c>
      <c r="S584">
        <f>sumif(Plan!B:B,"821-061000-400",Plan!s:s)</f>
        <v>0</v>
      </c>
      <c r="T584">
        <f>sumif(Plan!B:B,"821-061000-400",Plan!t:t)</f>
        <v>0</v>
      </c>
      <c r="U584">
        <f>sumif(Plan!B:B,"821-061000-400",Plan!u:u)</f>
        <v>0</v>
      </c>
      <c r="V584">
        <f>sumif(Plan!B:B,"821-061000-400",Plan!v:v)</f>
        <v>0</v>
      </c>
      <c r="W584">
        <f>sumif(Plan!B:B,"821-061000-400",Plan!w:w)</f>
        <v>0</v>
      </c>
      <c r="X584">
        <f>sumif(Plan!B:B,"821-061000-400",Plan!x:x)</f>
        <v>0</v>
      </c>
      <c r="Y584">
        <f>sumif(Plan!B:B,"821-061000-400",Plan!y:y)</f>
        <v>0</v>
      </c>
      <c r="Z584">
        <f>sumif(Plan!B:B,"821-061000-400",Plan!z:z)</f>
        <v>0</v>
      </c>
      <c r="AA584">
        <f>sumif(Plan!B:B,"821-061000-400",Plan!aa:aa)</f>
        <v>0</v>
      </c>
      <c r="AB584">
        <f>sumif(Plan!B:B,"821-061000-400",Plan!ab:ab)</f>
        <v>0</v>
      </c>
      <c r="AC584">
        <f>sumif(Plan!B:B,"821-061000-400",Plan!ac:ac)</f>
        <v>0</v>
      </c>
      <c r="AD584">
        <f>sumif(Plan!B:B,"821-061000-400",Plan!ad:ad)</f>
        <v>0</v>
      </c>
      <c r="AE584">
        <f>sumif(Plan!B:B,"821-061000-400",Plan!ae:ae)</f>
        <v>0</v>
      </c>
      <c r="AF584">
        <f>sumif(Plan!B:B,"821-061000-400",Plan!af:af)</f>
        <v>0</v>
      </c>
      <c r="AG584">
        <f>sumif(Plan!B:B,"821-061000-400",Plan!ag:ag)</f>
        <v>0</v>
      </c>
      <c r="AH584">
        <f>sumif(Plan!B:B,"821-061000-400",Plan!ah:ah)</f>
        <v>0</v>
      </c>
      <c r="AI584">
        <f>sumif(Plan!B:B,"821-061000-400",Plan!ai:ai)</f>
        <v>0</v>
      </c>
      <c r="AJ584">
        <f>sumif(Plan!B:B,"821-061000-400",Plan!aj:aj)</f>
        <v>0</v>
      </c>
      <c r="AK584">
        <f>sumif(Plan!B:B,"821-061000-400",Plan!ak:ak)</f>
        <v>0</v>
      </c>
      <c r="AL584">
        <f>sumif(Plan!B:B,"821-061000-400",Plan!al:al)</f>
        <v>0</v>
      </c>
      <c r="AM584">
        <f>sumif(Plan!B:B,"821-061000-400",Plan!am:am)</f>
        <v>0</v>
      </c>
      <c r="AN584">
        <f>sumif(Plan!B:B,"821-061000-400",Plan!an:an)</f>
        <v>0</v>
      </c>
      <c r="AO584">
        <f>sumif(Plan!B:B,"821-061000-400",Plan!ao:ao)</f>
        <v>0</v>
      </c>
    </row>
    <row r="585" spans="1:41">
      <c r="A585" t="s">
        <v>17</v>
      </c>
      <c r="B585" t="s">
        <v>367</v>
      </c>
      <c r="C585" t="s">
        <v>368</v>
      </c>
      <c r="E585">
        <v>1</v>
      </c>
      <c r="F585" t="s">
        <v>13</v>
      </c>
      <c r="H585" t="s">
        <v>16</v>
      </c>
      <c r="J585">
        <f>indirect(address(585,9))+indirect(address(583,10))-indirect(address(584,10))</f>
        <v>0</v>
      </c>
      <c r="K585">
        <f>indirect(address(585,10))+indirect(address(583,11))-indirect(address(584,11))</f>
        <v>0</v>
      </c>
      <c r="L585">
        <f>indirect(address(585,11))+indirect(address(583,12))-indirect(address(584,12))</f>
        <v>0</v>
      </c>
      <c r="M585">
        <f>indirect(address(585,12))+indirect(address(583,13))-indirect(address(584,13))</f>
        <v>0</v>
      </c>
      <c r="N585">
        <f>indirect(address(585,13))+indirect(address(583,14))-indirect(address(584,14))</f>
        <v>0</v>
      </c>
      <c r="O585">
        <f>indirect(address(585,14))+indirect(address(583,15))-indirect(address(584,15))</f>
        <v>0</v>
      </c>
      <c r="P585">
        <f>indirect(address(585,15))+indirect(address(583,16))-indirect(address(584,16))</f>
        <v>0</v>
      </c>
      <c r="Q585">
        <f>indirect(address(585,16))+indirect(address(583,17))-indirect(address(584,17))</f>
        <v>0</v>
      </c>
      <c r="R585">
        <f>indirect(address(585,17))+indirect(address(583,18))-indirect(address(584,18))</f>
        <v>0</v>
      </c>
      <c r="S585">
        <f>indirect(address(585,18))+indirect(address(583,19))-indirect(address(584,19))</f>
        <v>0</v>
      </c>
      <c r="T585">
        <f>indirect(address(585,19))+indirect(address(583,20))-indirect(address(584,20))</f>
        <v>0</v>
      </c>
      <c r="U585">
        <f>indirect(address(585,20))+indirect(address(583,21))-indirect(address(584,21))</f>
        <v>0</v>
      </c>
      <c r="V585">
        <f>indirect(address(585,21))+indirect(address(583,22))-indirect(address(584,22))</f>
        <v>0</v>
      </c>
      <c r="W585">
        <f>indirect(address(585,22))+indirect(address(583,23))-indirect(address(584,23))</f>
        <v>0</v>
      </c>
      <c r="X585">
        <f>indirect(address(585,23))+indirect(address(583,24))-indirect(address(584,24))</f>
        <v>0</v>
      </c>
      <c r="Y585">
        <f>indirect(address(585,24))+indirect(address(583,25))-indirect(address(584,25))</f>
        <v>0</v>
      </c>
      <c r="Z585">
        <f>indirect(address(585,25))+indirect(address(583,26))-indirect(address(584,26))</f>
        <v>0</v>
      </c>
      <c r="AA585">
        <f>indirect(address(585,26))+indirect(address(583,27))-indirect(address(584,27))</f>
        <v>0</v>
      </c>
      <c r="AB585">
        <f>indirect(address(585,27))+indirect(address(583,28))-indirect(address(584,28))</f>
        <v>0</v>
      </c>
      <c r="AC585">
        <f>indirect(address(585,28))+indirect(address(583,29))-indirect(address(584,29))</f>
        <v>0</v>
      </c>
      <c r="AD585">
        <f>indirect(address(585,29))+indirect(address(583,30))-indirect(address(584,30))</f>
        <v>0</v>
      </c>
      <c r="AE585">
        <f>indirect(address(585,30))+indirect(address(583,31))-indirect(address(584,31))</f>
        <v>0</v>
      </c>
      <c r="AF585">
        <f>indirect(address(585,31))+indirect(address(583,32))-indirect(address(584,32))</f>
        <v>0</v>
      </c>
      <c r="AG585">
        <f>indirect(address(585,32))+indirect(address(583,33))-indirect(address(584,33))</f>
        <v>0</v>
      </c>
      <c r="AH585">
        <f>indirect(address(585,33))+indirect(address(583,34))-indirect(address(584,34))</f>
        <v>0</v>
      </c>
      <c r="AI585">
        <f>indirect(address(585,34))+indirect(address(583,35))-indirect(address(584,35))</f>
        <v>0</v>
      </c>
      <c r="AJ585">
        <f>indirect(address(585,35))+indirect(address(583,36))-indirect(address(584,36))</f>
        <v>0</v>
      </c>
      <c r="AK585">
        <f>indirect(address(585,36))+indirect(address(583,37))-indirect(address(584,37))</f>
        <v>0</v>
      </c>
      <c r="AL585">
        <f>indirect(address(585,37))+indirect(address(583,38))-indirect(address(584,38))</f>
        <v>0</v>
      </c>
      <c r="AM585">
        <f>indirect(address(585,38))+indirect(address(583,39))-indirect(address(584,39))</f>
        <v>0</v>
      </c>
      <c r="AN585">
        <f>indirect(address(585,39))+indirect(address(583,40))-indirect(address(584,40))</f>
        <v>0</v>
      </c>
      <c r="AO585">
        <f>indirect(address(585,40))+indirect(address(583,41))-indirect(address(584,41))</f>
        <v>0</v>
      </c>
    </row>
    <row r="586" spans="1:41">
      <c r="I586" t="s">
        <v>14</v>
      </c>
      <c r="AO586">
        <f>sum(j586:an586)</f>
        <v>0</v>
      </c>
    </row>
    <row r="587" spans="1:41">
      <c r="I587" t="s">
        <v>15</v>
      </c>
      <c r="J587">
        <f>sumif(Plan!B:B,"821-062000-200",Plan!j:j)</f>
        <v>0</v>
      </c>
      <c r="K587">
        <f>sumif(Plan!B:B,"821-062000-200",Plan!k:k)</f>
        <v>0</v>
      </c>
      <c r="L587">
        <f>sumif(Plan!B:B,"821-062000-200",Plan!l:l)</f>
        <v>0</v>
      </c>
      <c r="M587">
        <f>sumif(Plan!B:B,"821-062000-200",Plan!m:m)</f>
        <v>0</v>
      </c>
      <c r="N587">
        <f>sumif(Plan!B:B,"821-062000-200",Plan!n:n)</f>
        <v>0</v>
      </c>
      <c r="O587">
        <f>sumif(Plan!B:B,"821-062000-200",Plan!o:o)</f>
        <v>0</v>
      </c>
      <c r="P587">
        <f>sumif(Plan!B:B,"821-062000-200",Plan!p:p)</f>
        <v>0</v>
      </c>
      <c r="Q587">
        <f>sumif(Plan!B:B,"821-062000-200",Plan!q:q)</f>
        <v>0</v>
      </c>
      <c r="R587">
        <f>sumif(Plan!B:B,"821-062000-200",Plan!r:r)</f>
        <v>0</v>
      </c>
      <c r="S587">
        <f>sumif(Plan!B:B,"821-062000-200",Plan!s:s)</f>
        <v>0</v>
      </c>
      <c r="T587">
        <f>sumif(Plan!B:B,"821-062000-200",Plan!t:t)</f>
        <v>0</v>
      </c>
      <c r="U587">
        <f>sumif(Plan!B:B,"821-062000-200",Plan!u:u)</f>
        <v>0</v>
      </c>
      <c r="V587">
        <f>sumif(Plan!B:B,"821-062000-200",Plan!v:v)</f>
        <v>0</v>
      </c>
      <c r="W587">
        <f>sumif(Plan!B:B,"821-062000-200",Plan!w:w)</f>
        <v>0</v>
      </c>
      <c r="X587">
        <f>sumif(Plan!B:B,"821-062000-200",Plan!x:x)</f>
        <v>0</v>
      </c>
      <c r="Y587">
        <f>sumif(Plan!B:B,"821-062000-200",Plan!y:y)</f>
        <v>0</v>
      </c>
      <c r="Z587">
        <f>sumif(Plan!B:B,"821-062000-200",Plan!z:z)</f>
        <v>0</v>
      </c>
      <c r="AA587">
        <f>sumif(Plan!B:B,"821-062000-200",Plan!aa:aa)</f>
        <v>0</v>
      </c>
      <c r="AB587">
        <f>sumif(Plan!B:B,"821-062000-200",Plan!ab:ab)</f>
        <v>0</v>
      </c>
      <c r="AC587">
        <f>sumif(Plan!B:B,"821-062000-200",Plan!ac:ac)</f>
        <v>0</v>
      </c>
      <c r="AD587">
        <f>sumif(Plan!B:B,"821-062000-200",Plan!ad:ad)</f>
        <v>0</v>
      </c>
      <c r="AE587">
        <f>sumif(Plan!B:B,"821-062000-200",Plan!ae:ae)</f>
        <v>0</v>
      </c>
      <c r="AF587">
        <f>sumif(Plan!B:B,"821-062000-200",Plan!af:af)</f>
        <v>0</v>
      </c>
      <c r="AG587">
        <f>sumif(Plan!B:B,"821-062000-200",Plan!ag:ag)</f>
        <v>0</v>
      </c>
      <c r="AH587">
        <f>sumif(Plan!B:B,"821-062000-200",Plan!ah:ah)</f>
        <v>0</v>
      </c>
      <c r="AI587">
        <f>sumif(Plan!B:B,"821-062000-200",Plan!ai:ai)</f>
        <v>0</v>
      </c>
      <c r="AJ587">
        <f>sumif(Plan!B:B,"821-062000-200",Plan!aj:aj)</f>
        <v>0</v>
      </c>
      <c r="AK587">
        <f>sumif(Plan!B:B,"821-062000-200",Plan!ak:ak)</f>
        <v>0</v>
      </c>
      <c r="AL587">
        <f>sumif(Plan!B:B,"821-062000-200",Plan!al:al)</f>
        <v>0</v>
      </c>
      <c r="AM587">
        <f>sumif(Plan!B:B,"821-062000-200",Plan!am:am)</f>
        <v>0</v>
      </c>
      <c r="AN587">
        <f>sumif(Plan!B:B,"821-062000-200",Plan!an:an)</f>
        <v>0</v>
      </c>
      <c r="AO587">
        <f>sumif(Plan!B:B,"821-062000-200",Plan!ao:ao)</f>
        <v>0</v>
      </c>
    </row>
    <row r="588" spans="1:41">
      <c r="A588" t="s">
        <v>17</v>
      </c>
      <c r="B588" t="s">
        <v>369</v>
      </c>
      <c r="C588" t="s">
        <v>370</v>
      </c>
      <c r="E588">
        <v>1</v>
      </c>
      <c r="F588" t="s">
        <v>13</v>
      </c>
      <c r="H588" t="s">
        <v>16</v>
      </c>
      <c r="J588">
        <f>indirect(address(588,9))+indirect(address(586,10))-indirect(address(587,10))</f>
        <v>0</v>
      </c>
      <c r="K588">
        <f>indirect(address(588,10))+indirect(address(586,11))-indirect(address(587,11))</f>
        <v>0</v>
      </c>
      <c r="L588">
        <f>indirect(address(588,11))+indirect(address(586,12))-indirect(address(587,12))</f>
        <v>0</v>
      </c>
      <c r="M588">
        <f>indirect(address(588,12))+indirect(address(586,13))-indirect(address(587,13))</f>
        <v>0</v>
      </c>
      <c r="N588">
        <f>indirect(address(588,13))+indirect(address(586,14))-indirect(address(587,14))</f>
        <v>0</v>
      </c>
      <c r="O588">
        <f>indirect(address(588,14))+indirect(address(586,15))-indirect(address(587,15))</f>
        <v>0</v>
      </c>
      <c r="P588">
        <f>indirect(address(588,15))+indirect(address(586,16))-indirect(address(587,16))</f>
        <v>0</v>
      </c>
      <c r="Q588">
        <f>indirect(address(588,16))+indirect(address(586,17))-indirect(address(587,17))</f>
        <v>0</v>
      </c>
      <c r="R588">
        <f>indirect(address(588,17))+indirect(address(586,18))-indirect(address(587,18))</f>
        <v>0</v>
      </c>
      <c r="S588">
        <f>indirect(address(588,18))+indirect(address(586,19))-indirect(address(587,19))</f>
        <v>0</v>
      </c>
      <c r="T588">
        <f>indirect(address(588,19))+indirect(address(586,20))-indirect(address(587,20))</f>
        <v>0</v>
      </c>
      <c r="U588">
        <f>indirect(address(588,20))+indirect(address(586,21))-indirect(address(587,21))</f>
        <v>0</v>
      </c>
      <c r="V588">
        <f>indirect(address(588,21))+indirect(address(586,22))-indirect(address(587,22))</f>
        <v>0</v>
      </c>
      <c r="W588">
        <f>indirect(address(588,22))+indirect(address(586,23))-indirect(address(587,23))</f>
        <v>0</v>
      </c>
      <c r="X588">
        <f>indirect(address(588,23))+indirect(address(586,24))-indirect(address(587,24))</f>
        <v>0</v>
      </c>
      <c r="Y588">
        <f>indirect(address(588,24))+indirect(address(586,25))-indirect(address(587,25))</f>
        <v>0</v>
      </c>
      <c r="Z588">
        <f>indirect(address(588,25))+indirect(address(586,26))-indirect(address(587,26))</f>
        <v>0</v>
      </c>
      <c r="AA588">
        <f>indirect(address(588,26))+indirect(address(586,27))-indirect(address(587,27))</f>
        <v>0</v>
      </c>
      <c r="AB588">
        <f>indirect(address(588,27))+indirect(address(586,28))-indirect(address(587,28))</f>
        <v>0</v>
      </c>
      <c r="AC588">
        <f>indirect(address(588,28))+indirect(address(586,29))-indirect(address(587,29))</f>
        <v>0</v>
      </c>
      <c r="AD588">
        <f>indirect(address(588,29))+indirect(address(586,30))-indirect(address(587,30))</f>
        <v>0</v>
      </c>
      <c r="AE588">
        <f>indirect(address(588,30))+indirect(address(586,31))-indirect(address(587,31))</f>
        <v>0</v>
      </c>
      <c r="AF588">
        <f>indirect(address(588,31))+indirect(address(586,32))-indirect(address(587,32))</f>
        <v>0</v>
      </c>
      <c r="AG588">
        <f>indirect(address(588,32))+indirect(address(586,33))-indirect(address(587,33))</f>
        <v>0</v>
      </c>
      <c r="AH588">
        <f>indirect(address(588,33))+indirect(address(586,34))-indirect(address(587,34))</f>
        <v>0</v>
      </c>
      <c r="AI588">
        <f>indirect(address(588,34))+indirect(address(586,35))-indirect(address(587,35))</f>
        <v>0</v>
      </c>
      <c r="AJ588">
        <f>indirect(address(588,35))+indirect(address(586,36))-indirect(address(587,36))</f>
        <v>0</v>
      </c>
      <c r="AK588">
        <f>indirect(address(588,36))+indirect(address(586,37))-indirect(address(587,37))</f>
        <v>0</v>
      </c>
      <c r="AL588">
        <f>indirect(address(588,37))+indirect(address(586,38))-indirect(address(587,38))</f>
        <v>0</v>
      </c>
      <c r="AM588">
        <f>indirect(address(588,38))+indirect(address(586,39))-indirect(address(587,39))</f>
        <v>0</v>
      </c>
      <c r="AN588">
        <f>indirect(address(588,39))+indirect(address(586,40))-indirect(address(587,40))</f>
        <v>0</v>
      </c>
      <c r="AO588">
        <f>indirect(address(588,40))+indirect(address(586,41))-indirect(address(587,41))</f>
        <v>0</v>
      </c>
    </row>
    <row r="589" spans="1:41">
      <c r="I589" t="s">
        <v>14</v>
      </c>
      <c r="AO589">
        <f>sum(j589:an589)</f>
        <v>0</v>
      </c>
    </row>
    <row r="590" spans="1:41">
      <c r="I590" t="s">
        <v>15</v>
      </c>
      <c r="J590">
        <f>sumif(Plan!B:B,"261-003600-153",Plan!j:j)</f>
        <v>0</v>
      </c>
      <c r="K590">
        <f>sumif(Plan!B:B,"261-003600-153",Plan!k:k)</f>
        <v>0</v>
      </c>
      <c r="L590">
        <f>sumif(Plan!B:B,"261-003600-153",Plan!l:l)</f>
        <v>0</v>
      </c>
      <c r="M590">
        <f>sumif(Plan!B:B,"261-003600-153",Plan!m:m)</f>
        <v>0</v>
      </c>
      <c r="N590">
        <f>sumif(Plan!B:B,"261-003600-153",Plan!n:n)</f>
        <v>0</v>
      </c>
      <c r="O590">
        <f>sumif(Plan!B:B,"261-003600-153",Plan!o:o)</f>
        <v>0</v>
      </c>
      <c r="P590">
        <f>sumif(Plan!B:B,"261-003600-153",Plan!p:p)</f>
        <v>0</v>
      </c>
      <c r="Q590">
        <f>sumif(Plan!B:B,"261-003600-153",Plan!q:q)</f>
        <v>0</v>
      </c>
      <c r="R590">
        <f>sumif(Plan!B:B,"261-003600-153",Plan!r:r)</f>
        <v>0</v>
      </c>
      <c r="S590">
        <f>sumif(Plan!B:B,"261-003600-153",Plan!s:s)</f>
        <v>0</v>
      </c>
      <c r="T590">
        <f>sumif(Plan!B:B,"261-003600-153",Plan!t:t)</f>
        <v>0</v>
      </c>
      <c r="U590">
        <f>sumif(Plan!B:B,"261-003600-153",Plan!u:u)</f>
        <v>0</v>
      </c>
      <c r="V590">
        <f>sumif(Plan!B:B,"261-003600-153",Plan!v:v)</f>
        <v>0</v>
      </c>
      <c r="W590">
        <f>sumif(Plan!B:B,"261-003600-153",Plan!w:w)</f>
        <v>0</v>
      </c>
      <c r="X590">
        <f>sumif(Plan!B:B,"261-003600-153",Plan!x:x)</f>
        <v>0</v>
      </c>
      <c r="Y590">
        <f>sumif(Plan!B:B,"261-003600-153",Plan!y:y)</f>
        <v>0</v>
      </c>
      <c r="Z590">
        <f>sumif(Plan!B:B,"261-003600-153",Plan!z:z)</f>
        <v>0</v>
      </c>
      <c r="AA590">
        <f>sumif(Plan!B:B,"261-003600-153",Plan!aa:aa)</f>
        <v>0</v>
      </c>
      <c r="AB590">
        <f>sumif(Plan!B:B,"261-003600-153",Plan!ab:ab)</f>
        <v>0</v>
      </c>
      <c r="AC590">
        <f>sumif(Plan!B:B,"261-003600-153",Plan!ac:ac)</f>
        <v>0</v>
      </c>
      <c r="AD590">
        <f>sumif(Plan!B:B,"261-003600-153",Plan!ad:ad)</f>
        <v>0</v>
      </c>
      <c r="AE590">
        <f>sumif(Plan!B:B,"261-003600-153",Plan!ae:ae)</f>
        <v>0</v>
      </c>
      <c r="AF590">
        <f>sumif(Plan!B:B,"261-003600-153",Plan!af:af)</f>
        <v>0</v>
      </c>
      <c r="AG590">
        <f>sumif(Plan!B:B,"261-003600-153",Plan!ag:ag)</f>
        <v>0</v>
      </c>
      <c r="AH590">
        <f>sumif(Plan!B:B,"261-003600-153",Plan!ah:ah)</f>
        <v>0</v>
      </c>
      <c r="AI590">
        <f>sumif(Plan!B:B,"261-003600-153",Plan!ai:ai)</f>
        <v>0</v>
      </c>
      <c r="AJ590">
        <f>sumif(Plan!B:B,"261-003600-153",Plan!aj:aj)</f>
        <v>0</v>
      </c>
      <c r="AK590">
        <f>sumif(Plan!B:B,"261-003600-153",Plan!ak:ak)</f>
        <v>0</v>
      </c>
      <c r="AL590">
        <f>sumif(Plan!B:B,"261-003600-153",Plan!al:al)</f>
        <v>0</v>
      </c>
      <c r="AM590">
        <f>sumif(Plan!B:B,"261-003600-153",Plan!am:am)</f>
        <v>0</v>
      </c>
      <c r="AN590">
        <f>sumif(Plan!B:B,"261-003600-153",Plan!an:an)</f>
        <v>0</v>
      </c>
      <c r="AO590">
        <f>sumif(Plan!B:B,"261-003600-153",Plan!ao:ao)</f>
        <v>0</v>
      </c>
    </row>
    <row r="591" spans="1:41">
      <c r="A591" t="s">
        <v>22</v>
      </c>
      <c r="B591" t="s">
        <v>371</v>
      </c>
      <c r="C591" t="s">
        <v>372</v>
      </c>
      <c r="E591">
        <v>2</v>
      </c>
      <c r="F591" t="s">
        <v>13</v>
      </c>
      <c r="H591" t="s">
        <v>16</v>
      </c>
      <c r="J591">
        <f>indirect(address(591,9))+indirect(address(589,10))-indirect(address(590,10))</f>
        <v>0</v>
      </c>
      <c r="K591">
        <f>indirect(address(591,10))+indirect(address(589,11))-indirect(address(590,11))</f>
        <v>0</v>
      </c>
      <c r="L591">
        <f>indirect(address(591,11))+indirect(address(589,12))-indirect(address(590,12))</f>
        <v>0</v>
      </c>
      <c r="M591">
        <f>indirect(address(591,12))+indirect(address(589,13))-indirect(address(590,13))</f>
        <v>0</v>
      </c>
      <c r="N591">
        <f>indirect(address(591,13))+indirect(address(589,14))-indirect(address(590,14))</f>
        <v>0</v>
      </c>
      <c r="O591">
        <f>indirect(address(591,14))+indirect(address(589,15))-indirect(address(590,15))</f>
        <v>0</v>
      </c>
      <c r="P591">
        <f>indirect(address(591,15))+indirect(address(589,16))-indirect(address(590,16))</f>
        <v>0</v>
      </c>
      <c r="Q591">
        <f>indirect(address(591,16))+indirect(address(589,17))-indirect(address(590,17))</f>
        <v>0</v>
      </c>
      <c r="R591">
        <f>indirect(address(591,17))+indirect(address(589,18))-indirect(address(590,18))</f>
        <v>0</v>
      </c>
      <c r="S591">
        <f>indirect(address(591,18))+indirect(address(589,19))-indirect(address(590,19))</f>
        <v>0</v>
      </c>
      <c r="T591">
        <f>indirect(address(591,19))+indirect(address(589,20))-indirect(address(590,20))</f>
        <v>0</v>
      </c>
      <c r="U591">
        <f>indirect(address(591,20))+indirect(address(589,21))-indirect(address(590,21))</f>
        <v>0</v>
      </c>
      <c r="V591">
        <f>indirect(address(591,21))+indirect(address(589,22))-indirect(address(590,22))</f>
        <v>0</v>
      </c>
      <c r="W591">
        <f>indirect(address(591,22))+indirect(address(589,23))-indirect(address(590,23))</f>
        <v>0</v>
      </c>
      <c r="X591">
        <f>indirect(address(591,23))+indirect(address(589,24))-indirect(address(590,24))</f>
        <v>0</v>
      </c>
      <c r="Y591">
        <f>indirect(address(591,24))+indirect(address(589,25))-indirect(address(590,25))</f>
        <v>0</v>
      </c>
      <c r="Z591">
        <f>indirect(address(591,25))+indirect(address(589,26))-indirect(address(590,26))</f>
        <v>0</v>
      </c>
      <c r="AA591">
        <f>indirect(address(591,26))+indirect(address(589,27))-indirect(address(590,27))</f>
        <v>0</v>
      </c>
      <c r="AB591">
        <f>indirect(address(591,27))+indirect(address(589,28))-indirect(address(590,28))</f>
        <v>0</v>
      </c>
      <c r="AC591">
        <f>indirect(address(591,28))+indirect(address(589,29))-indirect(address(590,29))</f>
        <v>0</v>
      </c>
      <c r="AD591">
        <f>indirect(address(591,29))+indirect(address(589,30))-indirect(address(590,30))</f>
        <v>0</v>
      </c>
      <c r="AE591">
        <f>indirect(address(591,30))+indirect(address(589,31))-indirect(address(590,31))</f>
        <v>0</v>
      </c>
      <c r="AF591">
        <f>indirect(address(591,31))+indirect(address(589,32))-indirect(address(590,32))</f>
        <v>0</v>
      </c>
      <c r="AG591">
        <f>indirect(address(591,32))+indirect(address(589,33))-indirect(address(590,33))</f>
        <v>0</v>
      </c>
      <c r="AH591">
        <f>indirect(address(591,33))+indirect(address(589,34))-indirect(address(590,34))</f>
        <v>0</v>
      </c>
      <c r="AI591">
        <f>indirect(address(591,34))+indirect(address(589,35))-indirect(address(590,35))</f>
        <v>0</v>
      </c>
      <c r="AJ591">
        <f>indirect(address(591,35))+indirect(address(589,36))-indirect(address(590,36))</f>
        <v>0</v>
      </c>
      <c r="AK591">
        <f>indirect(address(591,36))+indirect(address(589,37))-indirect(address(590,37))</f>
        <v>0</v>
      </c>
      <c r="AL591">
        <f>indirect(address(591,37))+indirect(address(589,38))-indirect(address(590,38))</f>
        <v>0</v>
      </c>
      <c r="AM591">
        <f>indirect(address(591,38))+indirect(address(589,39))-indirect(address(590,39))</f>
        <v>0</v>
      </c>
      <c r="AN591">
        <f>indirect(address(591,39))+indirect(address(589,40))-indirect(address(590,40))</f>
        <v>0</v>
      </c>
      <c r="AO591">
        <f>indirect(address(591,40))+indirect(address(589,41))-indirect(address(590,41))</f>
        <v>0</v>
      </c>
    </row>
    <row r="592" spans="1:41">
      <c r="I592" t="s">
        <v>14</v>
      </c>
      <c r="AO592">
        <f>sum(j592:an592)</f>
        <v>0</v>
      </c>
    </row>
    <row r="593" spans="1:41">
      <c r="I593" t="s">
        <v>15</v>
      </c>
      <c r="J593">
        <f>sumif(Plan!B:B,"261-023000-055",Plan!j:j)</f>
        <v>0</v>
      </c>
      <c r="K593">
        <f>sumif(Plan!B:B,"261-023000-055",Plan!k:k)</f>
        <v>0</v>
      </c>
      <c r="L593">
        <f>sumif(Plan!B:B,"261-023000-055",Plan!l:l)</f>
        <v>0</v>
      </c>
      <c r="M593">
        <f>sumif(Plan!B:B,"261-023000-055",Plan!m:m)</f>
        <v>0</v>
      </c>
      <c r="N593">
        <f>sumif(Plan!B:B,"261-023000-055",Plan!n:n)</f>
        <v>0</v>
      </c>
      <c r="O593">
        <f>sumif(Plan!B:B,"261-023000-055",Plan!o:o)</f>
        <v>0</v>
      </c>
      <c r="P593">
        <f>sumif(Plan!B:B,"261-023000-055",Plan!p:p)</f>
        <v>0</v>
      </c>
      <c r="Q593">
        <f>sumif(Plan!B:B,"261-023000-055",Plan!q:q)</f>
        <v>0</v>
      </c>
      <c r="R593">
        <f>sumif(Plan!B:B,"261-023000-055",Plan!r:r)</f>
        <v>0</v>
      </c>
      <c r="S593">
        <f>sumif(Plan!B:B,"261-023000-055",Plan!s:s)</f>
        <v>0</v>
      </c>
      <c r="T593">
        <f>sumif(Plan!B:B,"261-023000-055",Plan!t:t)</f>
        <v>0</v>
      </c>
      <c r="U593">
        <f>sumif(Plan!B:B,"261-023000-055",Plan!u:u)</f>
        <v>0</v>
      </c>
      <c r="V593">
        <f>sumif(Plan!B:B,"261-023000-055",Plan!v:v)</f>
        <v>0</v>
      </c>
      <c r="W593">
        <f>sumif(Plan!B:B,"261-023000-055",Plan!w:w)</f>
        <v>0</v>
      </c>
      <c r="X593">
        <f>sumif(Plan!B:B,"261-023000-055",Plan!x:x)</f>
        <v>0</v>
      </c>
      <c r="Y593">
        <f>sumif(Plan!B:B,"261-023000-055",Plan!y:y)</f>
        <v>0</v>
      </c>
      <c r="Z593">
        <f>sumif(Plan!B:B,"261-023000-055",Plan!z:z)</f>
        <v>0</v>
      </c>
      <c r="AA593">
        <f>sumif(Plan!B:B,"261-023000-055",Plan!aa:aa)</f>
        <v>0</v>
      </c>
      <c r="AB593">
        <f>sumif(Plan!B:B,"261-023000-055",Plan!ab:ab)</f>
        <v>0</v>
      </c>
      <c r="AC593">
        <f>sumif(Plan!B:B,"261-023000-055",Plan!ac:ac)</f>
        <v>0</v>
      </c>
      <c r="AD593">
        <f>sumif(Plan!B:B,"261-023000-055",Plan!ad:ad)</f>
        <v>0</v>
      </c>
      <c r="AE593">
        <f>sumif(Plan!B:B,"261-023000-055",Plan!ae:ae)</f>
        <v>0</v>
      </c>
      <c r="AF593">
        <f>sumif(Plan!B:B,"261-023000-055",Plan!af:af)</f>
        <v>0</v>
      </c>
      <c r="AG593">
        <f>sumif(Plan!B:B,"261-023000-055",Plan!ag:ag)</f>
        <v>0</v>
      </c>
      <c r="AH593">
        <f>sumif(Plan!B:B,"261-023000-055",Plan!ah:ah)</f>
        <v>0</v>
      </c>
      <c r="AI593">
        <f>sumif(Plan!B:B,"261-023000-055",Plan!ai:ai)</f>
        <v>0</v>
      </c>
      <c r="AJ593">
        <f>sumif(Plan!B:B,"261-023000-055",Plan!aj:aj)</f>
        <v>0</v>
      </c>
      <c r="AK593">
        <f>sumif(Plan!B:B,"261-023000-055",Plan!ak:ak)</f>
        <v>0</v>
      </c>
      <c r="AL593">
        <f>sumif(Plan!B:B,"261-023000-055",Plan!al:al)</f>
        <v>0</v>
      </c>
      <c r="AM593">
        <f>sumif(Plan!B:B,"261-023000-055",Plan!am:am)</f>
        <v>0</v>
      </c>
      <c r="AN593">
        <f>sumif(Plan!B:B,"261-023000-055",Plan!an:an)</f>
        <v>0</v>
      </c>
      <c r="AO593">
        <f>sumif(Plan!B:B,"261-023000-055",Plan!ao:ao)</f>
        <v>0</v>
      </c>
    </row>
    <row r="594" spans="1:41">
      <c r="A594" t="s">
        <v>22</v>
      </c>
      <c r="B594" t="s">
        <v>373</v>
      </c>
      <c r="C594" t="s">
        <v>374</v>
      </c>
      <c r="E594">
        <v>1</v>
      </c>
      <c r="F594" t="s">
        <v>13</v>
      </c>
      <c r="H594" t="s">
        <v>16</v>
      </c>
      <c r="J594">
        <f>indirect(address(594,9))+indirect(address(592,10))-indirect(address(593,10))</f>
        <v>0</v>
      </c>
      <c r="K594">
        <f>indirect(address(594,10))+indirect(address(592,11))-indirect(address(593,11))</f>
        <v>0</v>
      </c>
      <c r="L594">
        <f>indirect(address(594,11))+indirect(address(592,12))-indirect(address(593,12))</f>
        <v>0</v>
      </c>
      <c r="M594">
        <f>indirect(address(594,12))+indirect(address(592,13))-indirect(address(593,13))</f>
        <v>0</v>
      </c>
      <c r="N594">
        <f>indirect(address(594,13))+indirect(address(592,14))-indirect(address(593,14))</f>
        <v>0</v>
      </c>
      <c r="O594">
        <f>indirect(address(594,14))+indirect(address(592,15))-indirect(address(593,15))</f>
        <v>0</v>
      </c>
      <c r="P594">
        <f>indirect(address(594,15))+indirect(address(592,16))-indirect(address(593,16))</f>
        <v>0</v>
      </c>
      <c r="Q594">
        <f>indirect(address(594,16))+indirect(address(592,17))-indirect(address(593,17))</f>
        <v>0</v>
      </c>
      <c r="R594">
        <f>indirect(address(594,17))+indirect(address(592,18))-indirect(address(593,18))</f>
        <v>0</v>
      </c>
      <c r="S594">
        <f>indirect(address(594,18))+indirect(address(592,19))-indirect(address(593,19))</f>
        <v>0</v>
      </c>
      <c r="T594">
        <f>indirect(address(594,19))+indirect(address(592,20))-indirect(address(593,20))</f>
        <v>0</v>
      </c>
      <c r="U594">
        <f>indirect(address(594,20))+indirect(address(592,21))-indirect(address(593,21))</f>
        <v>0</v>
      </c>
      <c r="V594">
        <f>indirect(address(594,21))+indirect(address(592,22))-indirect(address(593,22))</f>
        <v>0</v>
      </c>
      <c r="W594">
        <f>indirect(address(594,22))+indirect(address(592,23))-indirect(address(593,23))</f>
        <v>0</v>
      </c>
      <c r="X594">
        <f>indirect(address(594,23))+indirect(address(592,24))-indirect(address(593,24))</f>
        <v>0</v>
      </c>
      <c r="Y594">
        <f>indirect(address(594,24))+indirect(address(592,25))-indirect(address(593,25))</f>
        <v>0</v>
      </c>
      <c r="Z594">
        <f>indirect(address(594,25))+indirect(address(592,26))-indirect(address(593,26))</f>
        <v>0</v>
      </c>
      <c r="AA594">
        <f>indirect(address(594,26))+indirect(address(592,27))-indirect(address(593,27))</f>
        <v>0</v>
      </c>
      <c r="AB594">
        <f>indirect(address(594,27))+indirect(address(592,28))-indirect(address(593,28))</f>
        <v>0</v>
      </c>
      <c r="AC594">
        <f>indirect(address(594,28))+indirect(address(592,29))-indirect(address(593,29))</f>
        <v>0</v>
      </c>
      <c r="AD594">
        <f>indirect(address(594,29))+indirect(address(592,30))-indirect(address(593,30))</f>
        <v>0</v>
      </c>
      <c r="AE594">
        <f>indirect(address(594,30))+indirect(address(592,31))-indirect(address(593,31))</f>
        <v>0</v>
      </c>
      <c r="AF594">
        <f>indirect(address(594,31))+indirect(address(592,32))-indirect(address(593,32))</f>
        <v>0</v>
      </c>
      <c r="AG594">
        <f>indirect(address(594,32))+indirect(address(592,33))-indirect(address(593,33))</f>
        <v>0</v>
      </c>
      <c r="AH594">
        <f>indirect(address(594,33))+indirect(address(592,34))-indirect(address(593,34))</f>
        <v>0</v>
      </c>
      <c r="AI594">
        <f>indirect(address(594,34))+indirect(address(592,35))-indirect(address(593,35))</f>
        <v>0</v>
      </c>
      <c r="AJ594">
        <f>indirect(address(594,35))+indirect(address(592,36))-indirect(address(593,36))</f>
        <v>0</v>
      </c>
      <c r="AK594">
        <f>indirect(address(594,36))+indirect(address(592,37))-indirect(address(593,37))</f>
        <v>0</v>
      </c>
      <c r="AL594">
        <f>indirect(address(594,37))+indirect(address(592,38))-indirect(address(593,38))</f>
        <v>0</v>
      </c>
      <c r="AM594">
        <f>indirect(address(594,38))+indirect(address(592,39))-indirect(address(593,39))</f>
        <v>0</v>
      </c>
      <c r="AN594">
        <f>indirect(address(594,39))+indirect(address(592,40))-indirect(address(593,40))</f>
        <v>0</v>
      </c>
      <c r="AO594">
        <f>indirect(address(594,40))+indirect(address(592,41))-indirect(address(593,41))</f>
        <v>0</v>
      </c>
    </row>
    <row r="595" spans="1:41">
      <c r="I595" t="s">
        <v>14</v>
      </c>
      <c r="AO595">
        <f>sum(j595:an595)</f>
        <v>0</v>
      </c>
    </row>
    <row r="596" spans="1:41">
      <c r="I596" t="s">
        <v>15</v>
      </c>
      <c r="J596">
        <f>sumif(Plan!B:B,"262-000000-001",Plan!j:j)</f>
        <v>0</v>
      </c>
      <c r="K596">
        <f>sumif(Plan!B:B,"262-000000-001",Plan!k:k)</f>
        <v>0</v>
      </c>
      <c r="L596">
        <f>sumif(Plan!B:B,"262-000000-001",Plan!l:l)</f>
        <v>0</v>
      </c>
      <c r="M596">
        <f>sumif(Plan!B:B,"262-000000-001",Plan!m:m)</f>
        <v>0</v>
      </c>
      <c r="N596">
        <f>sumif(Plan!B:B,"262-000000-001",Plan!n:n)</f>
        <v>0</v>
      </c>
      <c r="O596">
        <f>sumif(Plan!B:B,"262-000000-001",Plan!o:o)</f>
        <v>0</v>
      </c>
      <c r="P596">
        <f>sumif(Plan!B:B,"262-000000-001",Plan!p:p)</f>
        <v>0</v>
      </c>
      <c r="Q596">
        <f>sumif(Plan!B:B,"262-000000-001",Plan!q:q)</f>
        <v>0</v>
      </c>
      <c r="R596">
        <f>sumif(Plan!B:B,"262-000000-001",Plan!r:r)</f>
        <v>0</v>
      </c>
      <c r="S596">
        <f>sumif(Plan!B:B,"262-000000-001",Plan!s:s)</f>
        <v>0</v>
      </c>
      <c r="T596">
        <f>sumif(Plan!B:B,"262-000000-001",Plan!t:t)</f>
        <v>0</v>
      </c>
      <c r="U596">
        <f>sumif(Plan!B:B,"262-000000-001",Plan!u:u)</f>
        <v>0</v>
      </c>
      <c r="V596">
        <f>sumif(Plan!B:B,"262-000000-001",Plan!v:v)</f>
        <v>0</v>
      </c>
      <c r="W596">
        <f>sumif(Plan!B:B,"262-000000-001",Plan!w:w)</f>
        <v>0</v>
      </c>
      <c r="X596">
        <f>sumif(Plan!B:B,"262-000000-001",Plan!x:x)</f>
        <v>0</v>
      </c>
      <c r="Y596">
        <f>sumif(Plan!B:B,"262-000000-001",Plan!y:y)</f>
        <v>0</v>
      </c>
      <c r="Z596">
        <f>sumif(Plan!B:B,"262-000000-001",Plan!z:z)</f>
        <v>0</v>
      </c>
      <c r="AA596">
        <f>sumif(Plan!B:B,"262-000000-001",Plan!aa:aa)</f>
        <v>0</v>
      </c>
      <c r="AB596">
        <f>sumif(Plan!B:B,"262-000000-001",Plan!ab:ab)</f>
        <v>0</v>
      </c>
      <c r="AC596">
        <f>sumif(Plan!B:B,"262-000000-001",Plan!ac:ac)</f>
        <v>0</v>
      </c>
      <c r="AD596">
        <f>sumif(Plan!B:B,"262-000000-001",Plan!ad:ad)</f>
        <v>0</v>
      </c>
      <c r="AE596">
        <f>sumif(Plan!B:B,"262-000000-001",Plan!ae:ae)</f>
        <v>0</v>
      </c>
      <c r="AF596">
        <f>sumif(Plan!B:B,"262-000000-001",Plan!af:af)</f>
        <v>0</v>
      </c>
      <c r="AG596">
        <f>sumif(Plan!B:B,"262-000000-001",Plan!ag:ag)</f>
        <v>0</v>
      </c>
      <c r="AH596">
        <f>sumif(Plan!B:B,"262-000000-001",Plan!ah:ah)</f>
        <v>0</v>
      </c>
      <c r="AI596">
        <f>sumif(Plan!B:B,"262-000000-001",Plan!ai:ai)</f>
        <v>0</v>
      </c>
      <c r="AJ596">
        <f>sumif(Plan!B:B,"262-000000-001",Plan!aj:aj)</f>
        <v>0</v>
      </c>
      <c r="AK596">
        <f>sumif(Plan!B:B,"262-000000-001",Plan!ak:ak)</f>
        <v>0</v>
      </c>
      <c r="AL596">
        <f>sumif(Plan!B:B,"262-000000-001",Plan!al:al)</f>
        <v>0</v>
      </c>
      <c r="AM596">
        <f>sumif(Plan!B:B,"262-000000-001",Plan!am:am)</f>
        <v>0</v>
      </c>
      <c r="AN596">
        <f>sumif(Plan!B:B,"262-000000-001",Plan!an:an)</f>
        <v>0</v>
      </c>
      <c r="AO596">
        <f>sumif(Plan!B:B,"262-000000-001",Plan!ao:ao)</f>
        <v>0</v>
      </c>
    </row>
    <row r="597" spans="1:41">
      <c r="A597" t="s">
        <v>22</v>
      </c>
      <c r="B597" t="s">
        <v>375</v>
      </c>
      <c r="C597" t="s">
        <v>376</v>
      </c>
      <c r="E597">
        <v>1</v>
      </c>
      <c r="F597" t="s">
        <v>13</v>
      </c>
      <c r="H597" t="s">
        <v>16</v>
      </c>
      <c r="J597">
        <f>indirect(address(597,9))+indirect(address(595,10))-indirect(address(596,10))</f>
        <v>0</v>
      </c>
      <c r="K597">
        <f>indirect(address(597,10))+indirect(address(595,11))-indirect(address(596,11))</f>
        <v>0</v>
      </c>
      <c r="L597">
        <f>indirect(address(597,11))+indirect(address(595,12))-indirect(address(596,12))</f>
        <v>0</v>
      </c>
      <c r="M597">
        <f>indirect(address(597,12))+indirect(address(595,13))-indirect(address(596,13))</f>
        <v>0</v>
      </c>
      <c r="N597">
        <f>indirect(address(597,13))+indirect(address(595,14))-indirect(address(596,14))</f>
        <v>0</v>
      </c>
      <c r="O597">
        <f>indirect(address(597,14))+indirect(address(595,15))-indirect(address(596,15))</f>
        <v>0</v>
      </c>
      <c r="P597">
        <f>indirect(address(597,15))+indirect(address(595,16))-indirect(address(596,16))</f>
        <v>0</v>
      </c>
      <c r="Q597">
        <f>indirect(address(597,16))+indirect(address(595,17))-indirect(address(596,17))</f>
        <v>0</v>
      </c>
      <c r="R597">
        <f>indirect(address(597,17))+indirect(address(595,18))-indirect(address(596,18))</f>
        <v>0</v>
      </c>
      <c r="S597">
        <f>indirect(address(597,18))+indirect(address(595,19))-indirect(address(596,19))</f>
        <v>0</v>
      </c>
      <c r="T597">
        <f>indirect(address(597,19))+indirect(address(595,20))-indirect(address(596,20))</f>
        <v>0</v>
      </c>
      <c r="U597">
        <f>indirect(address(597,20))+indirect(address(595,21))-indirect(address(596,21))</f>
        <v>0</v>
      </c>
      <c r="V597">
        <f>indirect(address(597,21))+indirect(address(595,22))-indirect(address(596,22))</f>
        <v>0</v>
      </c>
      <c r="W597">
        <f>indirect(address(597,22))+indirect(address(595,23))-indirect(address(596,23))</f>
        <v>0</v>
      </c>
      <c r="X597">
        <f>indirect(address(597,23))+indirect(address(595,24))-indirect(address(596,24))</f>
        <v>0</v>
      </c>
      <c r="Y597">
        <f>indirect(address(597,24))+indirect(address(595,25))-indirect(address(596,25))</f>
        <v>0</v>
      </c>
      <c r="Z597">
        <f>indirect(address(597,25))+indirect(address(595,26))-indirect(address(596,26))</f>
        <v>0</v>
      </c>
      <c r="AA597">
        <f>indirect(address(597,26))+indirect(address(595,27))-indirect(address(596,27))</f>
        <v>0</v>
      </c>
      <c r="AB597">
        <f>indirect(address(597,27))+indirect(address(595,28))-indirect(address(596,28))</f>
        <v>0</v>
      </c>
      <c r="AC597">
        <f>indirect(address(597,28))+indirect(address(595,29))-indirect(address(596,29))</f>
        <v>0</v>
      </c>
      <c r="AD597">
        <f>indirect(address(597,29))+indirect(address(595,30))-indirect(address(596,30))</f>
        <v>0</v>
      </c>
      <c r="AE597">
        <f>indirect(address(597,30))+indirect(address(595,31))-indirect(address(596,31))</f>
        <v>0</v>
      </c>
      <c r="AF597">
        <f>indirect(address(597,31))+indirect(address(595,32))-indirect(address(596,32))</f>
        <v>0</v>
      </c>
      <c r="AG597">
        <f>indirect(address(597,32))+indirect(address(595,33))-indirect(address(596,33))</f>
        <v>0</v>
      </c>
      <c r="AH597">
        <f>indirect(address(597,33))+indirect(address(595,34))-indirect(address(596,34))</f>
        <v>0</v>
      </c>
      <c r="AI597">
        <f>indirect(address(597,34))+indirect(address(595,35))-indirect(address(596,35))</f>
        <v>0</v>
      </c>
      <c r="AJ597">
        <f>indirect(address(597,35))+indirect(address(595,36))-indirect(address(596,36))</f>
        <v>0</v>
      </c>
      <c r="AK597">
        <f>indirect(address(597,36))+indirect(address(595,37))-indirect(address(596,37))</f>
        <v>0</v>
      </c>
      <c r="AL597">
        <f>indirect(address(597,37))+indirect(address(595,38))-indirect(address(596,38))</f>
        <v>0</v>
      </c>
      <c r="AM597">
        <f>indirect(address(597,38))+indirect(address(595,39))-indirect(address(596,39))</f>
        <v>0</v>
      </c>
      <c r="AN597">
        <f>indirect(address(597,39))+indirect(address(595,40))-indirect(address(596,40))</f>
        <v>0</v>
      </c>
      <c r="AO597">
        <f>indirect(address(597,40))+indirect(address(595,41))-indirect(address(596,41))</f>
        <v>0</v>
      </c>
    </row>
    <row r="598" spans="1:41">
      <c r="I598" t="s">
        <v>14</v>
      </c>
      <c r="AO598">
        <f>sum(j598:an598)</f>
        <v>0</v>
      </c>
    </row>
    <row r="599" spans="1:41">
      <c r="I599" t="s">
        <v>15</v>
      </c>
      <c r="J599">
        <f>sumif(Plan!B:B,"262-000000-002",Plan!j:j)</f>
        <v>0</v>
      </c>
      <c r="K599">
        <f>sumif(Plan!B:B,"262-000000-002",Plan!k:k)</f>
        <v>0</v>
      </c>
      <c r="L599">
        <f>sumif(Plan!B:B,"262-000000-002",Plan!l:l)</f>
        <v>0</v>
      </c>
      <c r="M599">
        <f>sumif(Plan!B:B,"262-000000-002",Plan!m:m)</f>
        <v>0</v>
      </c>
      <c r="N599">
        <f>sumif(Plan!B:B,"262-000000-002",Plan!n:n)</f>
        <v>0</v>
      </c>
      <c r="O599">
        <f>sumif(Plan!B:B,"262-000000-002",Plan!o:o)</f>
        <v>0</v>
      </c>
      <c r="P599">
        <f>sumif(Plan!B:B,"262-000000-002",Plan!p:p)</f>
        <v>0</v>
      </c>
      <c r="Q599">
        <f>sumif(Plan!B:B,"262-000000-002",Plan!q:q)</f>
        <v>0</v>
      </c>
      <c r="R599">
        <f>sumif(Plan!B:B,"262-000000-002",Plan!r:r)</f>
        <v>0</v>
      </c>
      <c r="S599">
        <f>sumif(Plan!B:B,"262-000000-002",Plan!s:s)</f>
        <v>0</v>
      </c>
      <c r="T599">
        <f>sumif(Plan!B:B,"262-000000-002",Plan!t:t)</f>
        <v>0</v>
      </c>
      <c r="U599">
        <f>sumif(Plan!B:B,"262-000000-002",Plan!u:u)</f>
        <v>0</v>
      </c>
      <c r="V599">
        <f>sumif(Plan!B:B,"262-000000-002",Plan!v:v)</f>
        <v>0</v>
      </c>
      <c r="W599">
        <f>sumif(Plan!B:B,"262-000000-002",Plan!w:w)</f>
        <v>0</v>
      </c>
      <c r="X599">
        <f>sumif(Plan!B:B,"262-000000-002",Plan!x:x)</f>
        <v>0</v>
      </c>
      <c r="Y599">
        <f>sumif(Plan!B:B,"262-000000-002",Plan!y:y)</f>
        <v>0</v>
      </c>
      <c r="Z599">
        <f>sumif(Plan!B:B,"262-000000-002",Plan!z:z)</f>
        <v>0</v>
      </c>
      <c r="AA599">
        <f>sumif(Plan!B:B,"262-000000-002",Plan!aa:aa)</f>
        <v>0</v>
      </c>
      <c r="AB599">
        <f>sumif(Plan!B:B,"262-000000-002",Plan!ab:ab)</f>
        <v>0</v>
      </c>
      <c r="AC599">
        <f>sumif(Plan!B:B,"262-000000-002",Plan!ac:ac)</f>
        <v>0</v>
      </c>
      <c r="AD599">
        <f>sumif(Plan!B:B,"262-000000-002",Plan!ad:ad)</f>
        <v>0</v>
      </c>
      <c r="AE599">
        <f>sumif(Plan!B:B,"262-000000-002",Plan!ae:ae)</f>
        <v>0</v>
      </c>
      <c r="AF599">
        <f>sumif(Plan!B:B,"262-000000-002",Plan!af:af)</f>
        <v>0</v>
      </c>
      <c r="AG599">
        <f>sumif(Plan!B:B,"262-000000-002",Plan!ag:ag)</f>
        <v>0</v>
      </c>
      <c r="AH599">
        <f>sumif(Plan!B:B,"262-000000-002",Plan!ah:ah)</f>
        <v>0</v>
      </c>
      <c r="AI599">
        <f>sumif(Plan!B:B,"262-000000-002",Plan!ai:ai)</f>
        <v>0</v>
      </c>
      <c r="AJ599">
        <f>sumif(Plan!B:B,"262-000000-002",Plan!aj:aj)</f>
        <v>0</v>
      </c>
      <c r="AK599">
        <f>sumif(Plan!B:B,"262-000000-002",Plan!ak:ak)</f>
        <v>0</v>
      </c>
      <c r="AL599">
        <f>sumif(Plan!B:B,"262-000000-002",Plan!al:al)</f>
        <v>0</v>
      </c>
      <c r="AM599">
        <f>sumif(Plan!B:B,"262-000000-002",Plan!am:am)</f>
        <v>0</v>
      </c>
      <c r="AN599">
        <f>sumif(Plan!B:B,"262-000000-002",Plan!an:an)</f>
        <v>0</v>
      </c>
      <c r="AO599">
        <f>sumif(Plan!B:B,"262-000000-002",Plan!ao:ao)</f>
        <v>0</v>
      </c>
    </row>
    <row r="600" spans="1:41">
      <c r="A600" t="s">
        <v>22</v>
      </c>
      <c r="B600" t="s">
        <v>377</v>
      </c>
      <c r="C600" t="s">
        <v>378</v>
      </c>
      <c r="E600">
        <v>1</v>
      </c>
      <c r="F600" t="s">
        <v>13</v>
      </c>
      <c r="H600" t="s">
        <v>16</v>
      </c>
      <c r="J600">
        <f>indirect(address(600,9))+indirect(address(598,10))-indirect(address(599,10))</f>
        <v>0</v>
      </c>
      <c r="K600">
        <f>indirect(address(600,10))+indirect(address(598,11))-indirect(address(599,11))</f>
        <v>0</v>
      </c>
      <c r="L600">
        <f>indirect(address(600,11))+indirect(address(598,12))-indirect(address(599,12))</f>
        <v>0</v>
      </c>
      <c r="M600">
        <f>indirect(address(600,12))+indirect(address(598,13))-indirect(address(599,13))</f>
        <v>0</v>
      </c>
      <c r="N600">
        <f>indirect(address(600,13))+indirect(address(598,14))-indirect(address(599,14))</f>
        <v>0</v>
      </c>
      <c r="O600">
        <f>indirect(address(600,14))+indirect(address(598,15))-indirect(address(599,15))</f>
        <v>0</v>
      </c>
      <c r="P600">
        <f>indirect(address(600,15))+indirect(address(598,16))-indirect(address(599,16))</f>
        <v>0</v>
      </c>
      <c r="Q600">
        <f>indirect(address(600,16))+indirect(address(598,17))-indirect(address(599,17))</f>
        <v>0</v>
      </c>
      <c r="R600">
        <f>indirect(address(600,17))+indirect(address(598,18))-indirect(address(599,18))</f>
        <v>0</v>
      </c>
      <c r="S600">
        <f>indirect(address(600,18))+indirect(address(598,19))-indirect(address(599,19))</f>
        <v>0</v>
      </c>
      <c r="T600">
        <f>indirect(address(600,19))+indirect(address(598,20))-indirect(address(599,20))</f>
        <v>0</v>
      </c>
      <c r="U600">
        <f>indirect(address(600,20))+indirect(address(598,21))-indirect(address(599,21))</f>
        <v>0</v>
      </c>
      <c r="V600">
        <f>indirect(address(600,21))+indirect(address(598,22))-indirect(address(599,22))</f>
        <v>0</v>
      </c>
      <c r="W600">
        <f>indirect(address(600,22))+indirect(address(598,23))-indirect(address(599,23))</f>
        <v>0</v>
      </c>
      <c r="X600">
        <f>indirect(address(600,23))+indirect(address(598,24))-indirect(address(599,24))</f>
        <v>0</v>
      </c>
      <c r="Y600">
        <f>indirect(address(600,24))+indirect(address(598,25))-indirect(address(599,25))</f>
        <v>0</v>
      </c>
      <c r="Z600">
        <f>indirect(address(600,25))+indirect(address(598,26))-indirect(address(599,26))</f>
        <v>0</v>
      </c>
      <c r="AA600">
        <f>indirect(address(600,26))+indirect(address(598,27))-indirect(address(599,27))</f>
        <v>0</v>
      </c>
      <c r="AB600">
        <f>indirect(address(600,27))+indirect(address(598,28))-indirect(address(599,28))</f>
        <v>0</v>
      </c>
      <c r="AC600">
        <f>indirect(address(600,28))+indirect(address(598,29))-indirect(address(599,29))</f>
        <v>0</v>
      </c>
      <c r="AD600">
        <f>indirect(address(600,29))+indirect(address(598,30))-indirect(address(599,30))</f>
        <v>0</v>
      </c>
      <c r="AE600">
        <f>indirect(address(600,30))+indirect(address(598,31))-indirect(address(599,31))</f>
        <v>0</v>
      </c>
      <c r="AF600">
        <f>indirect(address(600,31))+indirect(address(598,32))-indirect(address(599,32))</f>
        <v>0</v>
      </c>
      <c r="AG600">
        <f>indirect(address(600,32))+indirect(address(598,33))-indirect(address(599,33))</f>
        <v>0</v>
      </c>
      <c r="AH600">
        <f>indirect(address(600,33))+indirect(address(598,34))-indirect(address(599,34))</f>
        <v>0</v>
      </c>
      <c r="AI600">
        <f>indirect(address(600,34))+indirect(address(598,35))-indirect(address(599,35))</f>
        <v>0</v>
      </c>
      <c r="AJ600">
        <f>indirect(address(600,35))+indirect(address(598,36))-indirect(address(599,36))</f>
        <v>0</v>
      </c>
      <c r="AK600">
        <f>indirect(address(600,36))+indirect(address(598,37))-indirect(address(599,37))</f>
        <v>0</v>
      </c>
      <c r="AL600">
        <f>indirect(address(600,37))+indirect(address(598,38))-indirect(address(599,38))</f>
        <v>0</v>
      </c>
      <c r="AM600">
        <f>indirect(address(600,38))+indirect(address(598,39))-indirect(address(599,39))</f>
        <v>0</v>
      </c>
      <c r="AN600">
        <f>indirect(address(600,39))+indirect(address(598,40))-indirect(address(599,40))</f>
        <v>0</v>
      </c>
      <c r="AO600">
        <f>indirect(address(600,40))+indirect(address(598,41))-indirect(address(599,41))</f>
        <v>0</v>
      </c>
    </row>
    <row r="601" spans="1:41">
      <c r="I601" t="s">
        <v>14</v>
      </c>
      <c r="AO601">
        <f>sum(j601:an601)</f>
        <v>0</v>
      </c>
    </row>
    <row r="602" spans="1:41">
      <c r="I602" t="s">
        <v>15</v>
      </c>
      <c r="J602">
        <f>sumif(Plan!B:B,"262-000000-003",Plan!j:j)</f>
        <v>0</v>
      </c>
      <c r="K602">
        <f>sumif(Plan!B:B,"262-000000-003",Plan!k:k)</f>
        <v>0</v>
      </c>
      <c r="L602">
        <f>sumif(Plan!B:B,"262-000000-003",Plan!l:l)</f>
        <v>0</v>
      </c>
      <c r="M602">
        <f>sumif(Plan!B:B,"262-000000-003",Plan!m:m)</f>
        <v>0</v>
      </c>
      <c r="N602">
        <f>sumif(Plan!B:B,"262-000000-003",Plan!n:n)</f>
        <v>0</v>
      </c>
      <c r="O602">
        <f>sumif(Plan!B:B,"262-000000-003",Plan!o:o)</f>
        <v>0</v>
      </c>
      <c r="P602">
        <f>sumif(Plan!B:B,"262-000000-003",Plan!p:p)</f>
        <v>0</v>
      </c>
      <c r="Q602">
        <f>sumif(Plan!B:B,"262-000000-003",Plan!q:q)</f>
        <v>0</v>
      </c>
      <c r="R602">
        <f>sumif(Plan!B:B,"262-000000-003",Plan!r:r)</f>
        <v>0</v>
      </c>
      <c r="S602">
        <f>sumif(Plan!B:B,"262-000000-003",Plan!s:s)</f>
        <v>0</v>
      </c>
      <c r="T602">
        <f>sumif(Plan!B:B,"262-000000-003",Plan!t:t)</f>
        <v>0</v>
      </c>
      <c r="U602">
        <f>sumif(Plan!B:B,"262-000000-003",Plan!u:u)</f>
        <v>0</v>
      </c>
      <c r="V602">
        <f>sumif(Plan!B:B,"262-000000-003",Plan!v:v)</f>
        <v>0</v>
      </c>
      <c r="W602">
        <f>sumif(Plan!B:B,"262-000000-003",Plan!w:w)</f>
        <v>0</v>
      </c>
      <c r="X602">
        <f>sumif(Plan!B:B,"262-000000-003",Plan!x:x)</f>
        <v>0</v>
      </c>
      <c r="Y602">
        <f>sumif(Plan!B:B,"262-000000-003",Plan!y:y)</f>
        <v>0</v>
      </c>
      <c r="Z602">
        <f>sumif(Plan!B:B,"262-000000-003",Plan!z:z)</f>
        <v>0</v>
      </c>
      <c r="AA602">
        <f>sumif(Plan!B:B,"262-000000-003",Plan!aa:aa)</f>
        <v>0</v>
      </c>
      <c r="AB602">
        <f>sumif(Plan!B:B,"262-000000-003",Plan!ab:ab)</f>
        <v>0</v>
      </c>
      <c r="AC602">
        <f>sumif(Plan!B:B,"262-000000-003",Plan!ac:ac)</f>
        <v>0</v>
      </c>
      <c r="AD602">
        <f>sumif(Plan!B:B,"262-000000-003",Plan!ad:ad)</f>
        <v>0</v>
      </c>
      <c r="AE602">
        <f>sumif(Plan!B:B,"262-000000-003",Plan!ae:ae)</f>
        <v>0</v>
      </c>
      <c r="AF602">
        <f>sumif(Plan!B:B,"262-000000-003",Plan!af:af)</f>
        <v>0</v>
      </c>
      <c r="AG602">
        <f>sumif(Plan!B:B,"262-000000-003",Plan!ag:ag)</f>
        <v>0</v>
      </c>
      <c r="AH602">
        <f>sumif(Plan!B:B,"262-000000-003",Plan!ah:ah)</f>
        <v>0</v>
      </c>
      <c r="AI602">
        <f>sumif(Plan!B:B,"262-000000-003",Plan!ai:ai)</f>
        <v>0</v>
      </c>
      <c r="AJ602">
        <f>sumif(Plan!B:B,"262-000000-003",Plan!aj:aj)</f>
        <v>0</v>
      </c>
      <c r="AK602">
        <f>sumif(Plan!B:B,"262-000000-003",Plan!ak:ak)</f>
        <v>0</v>
      </c>
      <c r="AL602">
        <f>sumif(Plan!B:B,"262-000000-003",Plan!al:al)</f>
        <v>0</v>
      </c>
      <c r="AM602">
        <f>sumif(Plan!B:B,"262-000000-003",Plan!am:am)</f>
        <v>0</v>
      </c>
      <c r="AN602">
        <f>sumif(Plan!B:B,"262-000000-003",Plan!an:an)</f>
        <v>0</v>
      </c>
      <c r="AO602">
        <f>sumif(Plan!B:B,"262-000000-003",Plan!ao:ao)</f>
        <v>0</v>
      </c>
    </row>
    <row r="603" spans="1:41">
      <c r="A603" t="s">
        <v>22</v>
      </c>
      <c r="B603" t="s">
        <v>379</v>
      </c>
      <c r="C603" t="s">
        <v>380</v>
      </c>
      <c r="E603">
        <v>1</v>
      </c>
      <c r="F603" t="s">
        <v>13</v>
      </c>
      <c r="H603" t="s">
        <v>16</v>
      </c>
      <c r="J603">
        <f>indirect(address(603,9))+indirect(address(601,10))-indirect(address(602,10))</f>
        <v>0</v>
      </c>
      <c r="K603">
        <f>indirect(address(603,10))+indirect(address(601,11))-indirect(address(602,11))</f>
        <v>0</v>
      </c>
      <c r="L603">
        <f>indirect(address(603,11))+indirect(address(601,12))-indirect(address(602,12))</f>
        <v>0</v>
      </c>
      <c r="M603">
        <f>indirect(address(603,12))+indirect(address(601,13))-indirect(address(602,13))</f>
        <v>0</v>
      </c>
      <c r="N603">
        <f>indirect(address(603,13))+indirect(address(601,14))-indirect(address(602,14))</f>
        <v>0</v>
      </c>
      <c r="O603">
        <f>indirect(address(603,14))+indirect(address(601,15))-indirect(address(602,15))</f>
        <v>0</v>
      </c>
      <c r="P603">
        <f>indirect(address(603,15))+indirect(address(601,16))-indirect(address(602,16))</f>
        <v>0</v>
      </c>
      <c r="Q603">
        <f>indirect(address(603,16))+indirect(address(601,17))-indirect(address(602,17))</f>
        <v>0</v>
      </c>
      <c r="R603">
        <f>indirect(address(603,17))+indirect(address(601,18))-indirect(address(602,18))</f>
        <v>0</v>
      </c>
      <c r="S603">
        <f>indirect(address(603,18))+indirect(address(601,19))-indirect(address(602,19))</f>
        <v>0</v>
      </c>
      <c r="T603">
        <f>indirect(address(603,19))+indirect(address(601,20))-indirect(address(602,20))</f>
        <v>0</v>
      </c>
      <c r="U603">
        <f>indirect(address(603,20))+indirect(address(601,21))-indirect(address(602,21))</f>
        <v>0</v>
      </c>
      <c r="V603">
        <f>indirect(address(603,21))+indirect(address(601,22))-indirect(address(602,22))</f>
        <v>0</v>
      </c>
      <c r="W603">
        <f>indirect(address(603,22))+indirect(address(601,23))-indirect(address(602,23))</f>
        <v>0</v>
      </c>
      <c r="X603">
        <f>indirect(address(603,23))+indirect(address(601,24))-indirect(address(602,24))</f>
        <v>0</v>
      </c>
      <c r="Y603">
        <f>indirect(address(603,24))+indirect(address(601,25))-indirect(address(602,25))</f>
        <v>0</v>
      </c>
      <c r="Z603">
        <f>indirect(address(603,25))+indirect(address(601,26))-indirect(address(602,26))</f>
        <v>0</v>
      </c>
      <c r="AA603">
        <f>indirect(address(603,26))+indirect(address(601,27))-indirect(address(602,27))</f>
        <v>0</v>
      </c>
      <c r="AB603">
        <f>indirect(address(603,27))+indirect(address(601,28))-indirect(address(602,28))</f>
        <v>0</v>
      </c>
      <c r="AC603">
        <f>indirect(address(603,28))+indirect(address(601,29))-indirect(address(602,29))</f>
        <v>0</v>
      </c>
      <c r="AD603">
        <f>indirect(address(603,29))+indirect(address(601,30))-indirect(address(602,30))</f>
        <v>0</v>
      </c>
      <c r="AE603">
        <f>indirect(address(603,30))+indirect(address(601,31))-indirect(address(602,31))</f>
        <v>0</v>
      </c>
      <c r="AF603">
        <f>indirect(address(603,31))+indirect(address(601,32))-indirect(address(602,32))</f>
        <v>0</v>
      </c>
      <c r="AG603">
        <f>indirect(address(603,32))+indirect(address(601,33))-indirect(address(602,33))</f>
        <v>0</v>
      </c>
      <c r="AH603">
        <f>indirect(address(603,33))+indirect(address(601,34))-indirect(address(602,34))</f>
        <v>0</v>
      </c>
      <c r="AI603">
        <f>indirect(address(603,34))+indirect(address(601,35))-indirect(address(602,35))</f>
        <v>0</v>
      </c>
      <c r="AJ603">
        <f>indirect(address(603,35))+indirect(address(601,36))-indirect(address(602,36))</f>
        <v>0</v>
      </c>
      <c r="AK603">
        <f>indirect(address(603,36))+indirect(address(601,37))-indirect(address(602,37))</f>
        <v>0</v>
      </c>
      <c r="AL603">
        <f>indirect(address(603,37))+indirect(address(601,38))-indirect(address(602,38))</f>
        <v>0</v>
      </c>
      <c r="AM603">
        <f>indirect(address(603,38))+indirect(address(601,39))-indirect(address(602,39))</f>
        <v>0</v>
      </c>
      <c r="AN603">
        <f>indirect(address(603,39))+indirect(address(601,40))-indirect(address(602,40))</f>
        <v>0</v>
      </c>
      <c r="AO603">
        <f>indirect(address(603,40))+indirect(address(601,41))-indirect(address(602,41))</f>
        <v>0</v>
      </c>
    </row>
    <row r="604" spans="1:41">
      <c r="I604" t="s">
        <v>14</v>
      </c>
      <c r="AO604">
        <f>sum(j604:an604)</f>
        <v>0</v>
      </c>
    </row>
    <row r="605" spans="1:41">
      <c r="I605" t="s">
        <v>15</v>
      </c>
      <c r="J605">
        <f>sumif(Plan!B:B,"262-000000-014",Plan!j:j)</f>
        <v>0</v>
      </c>
      <c r="K605">
        <f>sumif(Plan!B:B,"262-000000-014",Plan!k:k)</f>
        <v>0</v>
      </c>
      <c r="L605">
        <f>sumif(Plan!B:B,"262-000000-014",Plan!l:l)</f>
        <v>0</v>
      </c>
      <c r="M605">
        <f>sumif(Plan!B:B,"262-000000-014",Plan!m:m)</f>
        <v>0</v>
      </c>
      <c r="N605">
        <f>sumif(Plan!B:B,"262-000000-014",Plan!n:n)</f>
        <v>0</v>
      </c>
      <c r="O605">
        <f>sumif(Plan!B:B,"262-000000-014",Plan!o:o)</f>
        <v>0</v>
      </c>
      <c r="P605">
        <f>sumif(Plan!B:B,"262-000000-014",Plan!p:p)</f>
        <v>0</v>
      </c>
      <c r="Q605">
        <f>sumif(Plan!B:B,"262-000000-014",Plan!q:q)</f>
        <v>0</v>
      </c>
      <c r="R605">
        <f>sumif(Plan!B:B,"262-000000-014",Plan!r:r)</f>
        <v>0</v>
      </c>
      <c r="S605">
        <f>sumif(Plan!B:B,"262-000000-014",Plan!s:s)</f>
        <v>0</v>
      </c>
      <c r="T605">
        <f>sumif(Plan!B:B,"262-000000-014",Plan!t:t)</f>
        <v>0</v>
      </c>
      <c r="U605">
        <f>sumif(Plan!B:B,"262-000000-014",Plan!u:u)</f>
        <v>0</v>
      </c>
      <c r="V605">
        <f>sumif(Plan!B:B,"262-000000-014",Plan!v:v)</f>
        <v>0</v>
      </c>
      <c r="W605">
        <f>sumif(Plan!B:B,"262-000000-014",Plan!w:w)</f>
        <v>0</v>
      </c>
      <c r="X605">
        <f>sumif(Plan!B:B,"262-000000-014",Plan!x:x)</f>
        <v>0</v>
      </c>
      <c r="Y605">
        <f>sumif(Plan!B:B,"262-000000-014",Plan!y:y)</f>
        <v>0</v>
      </c>
      <c r="Z605">
        <f>sumif(Plan!B:B,"262-000000-014",Plan!z:z)</f>
        <v>0</v>
      </c>
      <c r="AA605">
        <f>sumif(Plan!B:B,"262-000000-014",Plan!aa:aa)</f>
        <v>0</v>
      </c>
      <c r="AB605">
        <f>sumif(Plan!B:B,"262-000000-014",Plan!ab:ab)</f>
        <v>0</v>
      </c>
      <c r="AC605">
        <f>sumif(Plan!B:B,"262-000000-014",Plan!ac:ac)</f>
        <v>0</v>
      </c>
      <c r="AD605">
        <f>sumif(Plan!B:B,"262-000000-014",Plan!ad:ad)</f>
        <v>0</v>
      </c>
      <c r="AE605">
        <f>sumif(Plan!B:B,"262-000000-014",Plan!ae:ae)</f>
        <v>0</v>
      </c>
      <c r="AF605">
        <f>sumif(Plan!B:B,"262-000000-014",Plan!af:af)</f>
        <v>0</v>
      </c>
      <c r="AG605">
        <f>sumif(Plan!B:B,"262-000000-014",Plan!ag:ag)</f>
        <v>0</v>
      </c>
      <c r="AH605">
        <f>sumif(Plan!B:B,"262-000000-014",Plan!ah:ah)</f>
        <v>0</v>
      </c>
      <c r="AI605">
        <f>sumif(Plan!B:B,"262-000000-014",Plan!ai:ai)</f>
        <v>0</v>
      </c>
      <c r="AJ605">
        <f>sumif(Plan!B:B,"262-000000-014",Plan!aj:aj)</f>
        <v>0</v>
      </c>
      <c r="AK605">
        <f>sumif(Plan!B:B,"262-000000-014",Plan!ak:ak)</f>
        <v>0</v>
      </c>
      <c r="AL605">
        <f>sumif(Plan!B:B,"262-000000-014",Plan!al:al)</f>
        <v>0</v>
      </c>
      <c r="AM605">
        <f>sumif(Plan!B:B,"262-000000-014",Plan!am:am)</f>
        <v>0</v>
      </c>
      <c r="AN605">
        <f>sumif(Plan!B:B,"262-000000-014",Plan!an:an)</f>
        <v>0</v>
      </c>
      <c r="AO605">
        <f>sumif(Plan!B:B,"262-000000-014",Plan!ao:ao)</f>
        <v>0</v>
      </c>
    </row>
    <row r="606" spans="1:41">
      <c r="A606" t="s">
        <v>22</v>
      </c>
      <c r="B606" t="s">
        <v>381</v>
      </c>
      <c r="C606" t="s">
        <v>382</v>
      </c>
      <c r="E606">
        <v>1</v>
      </c>
      <c r="F606" t="s">
        <v>13</v>
      </c>
      <c r="H606" t="s">
        <v>16</v>
      </c>
      <c r="J606">
        <f>indirect(address(606,9))+indirect(address(604,10))-indirect(address(605,10))</f>
        <v>0</v>
      </c>
      <c r="K606">
        <f>indirect(address(606,10))+indirect(address(604,11))-indirect(address(605,11))</f>
        <v>0</v>
      </c>
      <c r="L606">
        <f>indirect(address(606,11))+indirect(address(604,12))-indirect(address(605,12))</f>
        <v>0</v>
      </c>
      <c r="M606">
        <f>indirect(address(606,12))+indirect(address(604,13))-indirect(address(605,13))</f>
        <v>0</v>
      </c>
      <c r="N606">
        <f>indirect(address(606,13))+indirect(address(604,14))-indirect(address(605,14))</f>
        <v>0</v>
      </c>
      <c r="O606">
        <f>indirect(address(606,14))+indirect(address(604,15))-indirect(address(605,15))</f>
        <v>0</v>
      </c>
      <c r="P606">
        <f>indirect(address(606,15))+indirect(address(604,16))-indirect(address(605,16))</f>
        <v>0</v>
      </c>
      <c r="Q606">
        <f>indirect(address(606,16))+indirect(address(604,17))-indirect(address(605,17))</f>
        <v>0</v>
      </c>
      <c r="R606">
        <f>indirect(address(606,17))+indirect(address(604,18))-indirect(address(605,18))</f>
        <v>0</v>
      </c>
      <c r="S606">
        <f>indirect(address(606,18))+indirect(address(604,19))-indirect(address(605,19))</f>
        <v>0</v>
      </c>
      <c r="T606">
        <f>indirect(address(606,19))+indirect(address(604,20))-indirect(address(605,20))</f>
        <v>0</v>
      </c>
      <c r="U606">
        <f>indirect(address(606,20))+indirect(address(604,21))-indirect(address(605,21))</f>
        <v>0</v>
      </c>
      <c r="V606">
        <f>indirect(address(606,21))+indirect(address(604,22))-indirect(address(605,22))</f>
        <v>0</v>
      </c>
      <c r="W606">
        <f>indirect(address(606,22))+indirect(address(604,23))-indirect(address(605,23))</f>
        <v>0</v>
      </c>
      <c r="X606">
        <f>indirect(address(606,23))+indirect(address(604,24))-indirect(address(605,24))</f>
        <v>0</v>
      </c>
      <c r="Y606">
        <f>indirect(address(606,24))+indirect(address(604,25))-indirect(address(605,25))</f>
        <v>0</v>
      </c>
      <c r="Z606">
        <f>indirect(address(606,25))+indirect(address(604,26))-indirect(address(605,26))</f>
        <v>0</v>
      </c>
      <c r="AA606">
        <f>indirect(address(606,26))+indirect(address(604,27))-indirect(address(605,27))</f>
        <v>0</v>
      </c>
      <c r="AB606">
        <f>indirect(address(606,27))+indirect(address(604,28))-indirect(address(605,28))</f>
        <v>0</v>
      </c>
      <c r="AC606">
        <f>indirect(address(606,28))+indirect(address(604,29))-indirect(address(605,29))</f>
        <v>0</v>
      </c>
      <c r="AD606">
        <f>indirect(address(606,29))+indirect(address(604,30))-indirect(address(605,30))</f>
        <v>0</v>
      </c>
      <c r="AE606">
        <f>indirect(address(606,30))+indirect(address(604,31))-indirect(address(605,31))</f>
        <v>0</v>
      </c>
      <c r="AF606">
        <f>indirect(address(606,31))+indirect(address(604,32))-indirect(address(605,32))</f>
        <v>0</v>
      </c>
      <c r="AG606">
        <f>indirect(address(606,32))+indirect(address(604,33))-indirect(address(605,33))</f>
        <v>0</v>
      </c>
      <c r="AH606">
        <f>indirect(address(606,33))+indirect(address(604,34))-indirect(address(605,34))</f>
        <v>0</v>
      </c>
      <c r="AI606">
        <f>indirect(address(606,34))+indirect(address(604,35))-indirect(address(605,35))</f>
        <v>0</v>
      </c>
      <c r="AJ606">
        <f>indirect(address(606,35))+indirect(address(604,36))-indirect(address(605,36))</f>
        <v>0</v>
      </c>
      <c r="AK606">
        <f>indirect(address(606,36))+indirect(address(604,37))-indirect(address(605,37))</f>
        <v>0</v>
      </c>
      <c r="AL606">
        <f>indirect(address(606,37))+indirect(address(604,38))-indirect(address(605,38))</f>
        <v>0</v>
      </c>
      <c r="AM606">
        <f>indirect(address(606,38))+indirect(address(604,39))-indirect(address(605,39))</f>
        <v>0</v>
      </c>
      <c r="AN606">
        <f>indirect(address(606,39))+indirect(address(604,40))-indirect(address(605,40))</f>
        <v>0</v>
      </c>
      <c r="AO606">
        <f>indirect(address(606,40))+indirect(address(604,41))-indirect(address(605,41))</f>
        <v>0</v>
      </c>
    </row>
    <row r="607" spans="1:41">
      <c r="I607" t="s">
        <v>14</v>
      </c>
      <c r="AO607">
        <f>sum(j607:an607)</f>
        <v>0</v>
      </c>
    </row>
    <row r="608" spans="1:41">
      <c r="I608" t="s">
        <v>15</v>
      </c>
      <c r="J608">
        <f>sumif(Plan!B:B,"262-000000-005",Plan!j:j)</f>
        <v>0</v>
      </c>
      <c r="K608">
        <f>sumif(Plan!B:B,"262-000000-005",Plan!k:k)</f>
        <v>0</v>
      </c>
      <c r="L608">
        <f>sumif(Plan!B:B,"262-000000-005",Plan!l:l)</f>
        <v>0</v>
      </c>
      <c r="M608">
        <f>sumif(Plan!B:B,"262-000000-005",Plan!m:m)</f>
        <v>0</v>
      </c>
      <c r="N608">
        <f>sumif(Plan!B:B,"262-000000-005",Plan!n:n)</f>
        <v>0</v>
      </c>
      <c r="O608">
        <f>sumif(Plan!B:B,"262-000000-005",Plan!o:o)</f>
        <v>0</v>
      </c>
      <c r="P608">
        <f>sumif(Plan!B:B,"262-000000-005",Plan!p:p)</f>
        <v>0</v>
      </c>
      <c r="Q608">
        <f>sumif(Plan!B:B,"262-000000-005",Plan!q:q)</f>
        <v>0</v>
      </c>
      <c r="R608">
        <f>sumif(Plan!B:B,"262-000000-005",Plan!r:r)</f>
        <v>0</v>
      </c>
      <c r="S608">
        <f>sumif(Plan!B:B,"262-000000-005",Plan!s:s)</f>
        <v>0</v>
      </c>
      <c r="T608">
        <f>sumif(Plan!B:B,"262-000000-005",Plan!t:t)</f>
        <v>0</v>
      </c>
      <c r="U608">
        <f>sumif(Plan!B:B,"262-000000-005",Plan!u:u)</f>
        <v>0</v>
      </c>
      <c r="V608">
        <f>sumif(Plan!B:B,"262-000000-005",Plan!v:v)</f>
        <v>0</v>
      </c>
      <c r="W608">
        <f>sumif(Plan!B:B,"262-000000-005",Plan!w:w)</f>
        <v>0</v>
      </c>
      <c r="X608">
        <f>sumif(Plan!B:B,"262-000000-005",Plan!x:x)</f>
        <v>0</v>
      </c>
      <c r="Y608">
        <f>sumif(Plan!B:B,"262-000000-005",Plan!y:y)</f>
        <v>0</v>
      </c>
      <c r="Z608">
        <f>sumif(Plan!B:B,"262-000000-005",Plan!z:z)</f>
        <v>0</v>
      </c>
      <c r="AA608">
        <f>sumif(Plan!B:B,"262-000000-005",Plan!aa:aa)</f>
        <v>0</v>
      </c>
      <c r="AB608">
        <f>sumif(Plan!B:B,"262-000000-005",Plan!ab:ab)</f>
        <v>0</v>
      </c>
      <c r="AC608">
        <f>sumif(Plan!B:B,"262-000000-005",Plan!ac:ac)</f>
        <v>0</v>
      </c>
      <c r="AD608">
        <f>sumif(Plan!B:B,"262-000000-005",Plan!ad:ad)</f>
        <v>0</v>
      </c>
      <c r="AE608">
        <f>sumif(Plan!B:B,"262-000000-005",Plan!ae:ae)</f>
        <v>0</v>
      </c>
      <c r="AF608">
        <f>sumif(Plan!B:B,"262-000000-005",Plan!af:af)</f>
        <v>0</v>
      </c>
      <c r="AG608">
        <f>sumif(Plan!B:B,"262-000000-005",Plan!ag:ag)</f>
        <v>0</v>
      </c>
      <c r="AH608">
        <f>sumif(Plan!B:B,"262-000000-005",Plan!ah:ah)</f>
        <v>0</v>
      </c>
      <c r="AI608">
        <f>sumif(Plan!B:B,"262-000000-005",Plan!ai:ai)</f>
        <v>0</v>
      </c>
      <c r="AJ608">
        <f>sumif(Plan!B:B,"262-000000-005",Plan!aj:aj)</f>
        <v>0</v>
      </c>
      <c r="AK608">
        <f>sumif(Plan!B:B,"262-000000-005",Plan!ak:ak)</f>
        <v>0</v>
      </c>
      <c r="AL608">
        <f>sumif(Plan!B:B,"262-000000-005",Plan!al:al)</f>
        <v>0</v>
      </c>
      <c r="AM608">
        <f>sumif(Plan!B:B,"262-000000-005",Plan!am:am)</f>
        <v>0</v>
      </c>
      <c r="AN608">
        <f>sumif(Plan!B:B,"262-000000-005",Plan!an:an)</f>
        <v>0</v>
      </c>
      <c r="AO608">
        <f>sumif(Plan!B:B,"262-000000-005",Plan!ao:ao)</f>
        <v>0</v>
      </c>
    </row>
    <row r="609" spans="1:41">
      <c r="A609" t="s">
        <v>22</v>
      </c>
      <c r="B609" t="s">
        <v>383</v>
      </c>
      <c r="C609" t="s">
        <v>384</v>
      </c>
      <c r="E609">
        <v>5</v>
      </c>
      <c r="F609" t="s">
        <v>13</v>
      </c>
      <c r="H609" t="s">
        <v>16</v>
      </c>
      <c r="J609">
        <f>indirect(address(609,9))+indirect(address(607,10))-indirect(address(608,10))</f>
        <v>0</v>
      </c>
      <c r="K609">
        <f>indirect(address(609,10))+indirect(address(607,11))-indirect(address(608,11))</f>
        <v>0</v>
      </c>
      <c r="L609">
        <f>indirect(address(609,11))+indirect(address(607,12))-indirect(address(608,12))</f>
        <v>0</v>
      </c>
      <c r="M609">
        <f>indirect(address(609,12))+indirect(address(607,13))-indirect(address(608,13))</f>
        <v>0</v>
      </c>
      <c r="N609">
        <f>indirect(address(609,13))+indirect(address(607,14))-indirect(address(608,14))</f>
        <v>0</v>
      </c>
      <c r="O609">
        <f>indirect(address(609,14))+indirect(address(607,15))-indirect(address(608,15))</f>
        <v>0</v>
      </c>
      <c r="P609">
        <f>indirect(address(609,15))+indirect(address(607,16))-indirect(address(608,16))</f>
        <v>0</v>
      </c>
      <c r="Q609">
        <f>indirect(address(609,16))+indirect(address(607,17))-indirect(address(608,17))</f>
        <v>0</v>
      </c>
      <c r="R609">
        <f>indirect(address(609,17))+indirect(address(607,18))-indirect(address(608,18))</f>
        <v>0</v>
      </c>
      <c r="S609">
        <f>indirect(address(609,18))+indirect(address(607,19))-indirect(address(608,19))</f>
        <v>0</v>
      </c>
      <c r="T609">
        <f>indirect(address(609,19))+indirect(address(607,20))-indirect(address(608,20))</f>
        <v>0</v>
      </c>
      <c r="U609">
        <f>indirect(address(609,20))+indirect(address(607,21))-indirect(address(608,21))</f>
        <v>0</v>
      </c>
      <c r="V609">
        <f>indirect(address(609,21))+indirect(address(607,22))-indirect(address(608,22))</f>
        <v>0</v>
      </c>
      <c r="W609">
        <f>indirect(address(609,22))+indirect(address(607,23))-indirect(address(608,23))</f>
        <v>0</v>
      </c>
      <c r="X609">
        <f>indirect(address(609,23))+indirect(address(607,24))-indirect(address(608,24))</f>
        <v>0</v>
      </c>
      <c r="Y609">
        <f>indirect(address(609,24))+indirect(address(607,25))-indirect(address(608,25))</f>
        <v>0</v>
      </c>
      <c r="Z609">
        <f>indirect(address(609,25))+indirect(address(607,26))-indirect(address(608,26))</f>
        <v>0</v>
      </c>
      <c r="AA609">
        <f>indirect(address(609,26))+indirect(address(607,27))-indirect(address(608,27))</f>
        <v>0</v>
      </c>
      <c r="AB609">
        <f>indirect(address(609,27))+indirect(address(607,28))-indirect(address(608,28))</f>
        <v>0</v>
      </c>
      <c r="AC609">
        <f>indirect(address(609,28))+indirect(address(607,29))-indirect(address(608,29))</f>
        <v>0</v>
      </c>
      <c r="AD609">
        <f>indirect(address(609,29))+indirect(address(607,30))-indirect(address(608,30))</f>
        <v>0</v>
      </c>
      <c r="AE609">
        <f>indirect(address(609,30))+indirect(address(607,31))-indirect(address(608,31))</f>
        <v>0</v>
      </c>
      <c r="AF609">
        <f>indirect(address(609,31))+indirect(address(607,32))-indirect(address(608,32))</f>
        <v>0</v>
      </c>
      <c r="AG609">
        <f>indirect(address(609,32))+indirect(address(607,33))-indirect(address(608,33))</f>
        <v>0</v>
      </c>
      <c r="AH609">
        <f>indirect(address(609,33))+indirect(address(607,34))-indirect(address(608,34))</f>
        <v>0</v>
      </c>
      <c r="AI609">
        <f>indirect(address(609,34))+indirect(address(607,35))-indirect(address(608,35))</f>
        <v>0</v>
      </c>
      <c r="AJ609">
        <f>indirect(address(609,35))+indirect(address(607,36))-indirect(address(608,36))</f>
        <v>0</v>
      </c>
      <c r="AK609">
        <f>indirect(address(609,36))+indirect(address(607,37))-indirect(address(608,37))</f>
        <v>0</v>
      </c>
      <c r="AL609">
        <f>indirect(address(609,37))+indirect(address(607,38))-indirect(address(608,38))</f>
        <v>0</v>
      </c>
      <c r="AM609">
        <f>indirect(address(609,38))+indirect(address(607,39))-indirect(address(608,39))</f>
        <v>0</v>
      </c>
      <c r="AN609">
        <f>indirect(address(609,39))+indirect(address(607,40))-indirect(address(608,40))</f>
        <v>0</v>
      </c>
      <c r="AO609">
        <f>indirect(address(609,40))+indirect(address(607,41))-indirect(address(608,41))</f>
        <v>0</v>
      </c>
    </row>
    <row r="610" spans="1:41">
      <c r="I610" t="s">
        <v>14</v>
      </c>
      <c r="AO610">
        <f>sum(j610:an610)</f>
        <v>0</v>
      </c>
    </row>
    <row r="611" spans="1:41">
      <c r="I611" t="s">
        <v>15</v>
      </c>
      <c r="J611">
        <f>sumif(Plan!B:B,"261-138001-010",Plan!j:j)</f>
        <v>0</v>
      </c>
      <c r="K611">
        <f>sumif(Plan!B:B,"261-138001-010",Plan!k:k)</f>
        <v>0</v>
      </c>
      <c r="L611">
        <f>sumif(Plan!B:B,"261-138001-010",Plan!l:l)</f>
        <v>0</v>
      </c>
      <c r="M611">
        <f>sumif(Plan!B:B,"261-138001-010",Plan!m:m)</f>
        <v>0</v>
      </c>
      <c r="N611">
        <f>sumif(Plan!B:B,"261-138001-010",Plan!n:n)</f>
        <v>0</v>
      </c>
      <c r="O611">
        <f>sumif(Plan!B:B,"261-138001-010",Plan!o:o)</f>
        <v>0</v>
      </c>
      <c r="P611">
        <f>sumif(Plan!B:B,"261-138001-010",Plan!p:p)</f>
        <v>0</v>
      </c>
      <c r="Q611">
        <f>sumif(Plan!B:B,"261-138001-010",Plan!q:q)</f>
        <v>0</v>
      </c>
      <c r="R611">
        <f>sumif(Plan!B:B,"261-138001-010",Plan!r:r)</f>
        <v>0</v>
      </c>
      <c r="S611">
        <f>sumif(Plan!B:B,"261-138001-010",Plan!s:s)</f>
        <v>0</v>
      </c>
      <c r="T611">
        <f>sumif(Plan!B:B,"261-138001-010",Plan!t:t)</f>
        <v>0</v>
      </c>
      <c r="U611">
        <f>sumif(Plan!B:B,"261-138001-010",Plan!u:u)</f>
        <v>0</v>
      </c>
      <c r="V611">
        <f>sumif(Plan!B:B,"261-138001-010",Plan!v:v)</f>
        <v>0</v>
      </c>
      <c r="W611">
        <f>sumif(Plan!B:B,"261-138001-010",Plan!w:w)</f>
        <v>0</v>
      </c>
      <c r="X611">
        <f>sumif(Plan!B:B,"261-138001-010",Plan!x:x)</f>
        <v>0</v>
      </c>
      <c r="Y611">
        <f>sumif(Plan!B:B,"261-138001-010",Plan!y:y)</f>
        <v>0</v>
      </c>
      <c r="Z611">
        <f>sumif(Plan!B:B,"261-138001-010",Plan!z:z)</f>
        <v>0</v>
      </c>
      <c r="AA611">
        <f>sumif(Plan!B:B,"261-138001-010",Plan!aa:aa)</f>
        <v>0</v>
      </c>
      <c r="AB611">
        <f>sumif(Plan!B:B,"261-138001-010",Plan!ab:ab)</f>
        <v>0</v>
      </c>
      <c r="AC611">
        <f>sumif(Plan!B:B,"261-138001-010",Plan!ac:ac)</f>
        <v>0</v>
      </c>
      <c r="AD611">
        <f>sumif(Plan!B:B,"261-138001-010",Plan!ad:ad)</f>
        <v>0</v>
      </c>
      <c r="AE611">
        <f>sumif(Plan!B:B,"261-138001-010",Plan!ae:ae)</f>
        <v>0</v>
      </c>
      <c r="AF611">
        <f>sumif(Plan!B:B,"261-138001-010",Plan!af:af)</f>
        <v>0</v>
      </c>
      <c r="AG611">
        <f>sumif(Plan!B:B,"261-138001-010",Plan!ag:ag)</f>
        <v>0</v>
      </c>
      <c r="AH611">
        <f>sumif(Plan!B:B,"261-138001-010",Plan!ah:ah)</f>
        <v>0</v>
      </c>
      <c r="AI611">
        <f>sumif(Plan!B:B,"261-138001-010",Plan!ai:ai)</f>
        <v>0</v>
      </c>
      <c r="AJ611">
        <f>sumif(Plan!B:B,"261-138001-010",Plan!aj:aj)</f>
        <v>0</v>
      </c>
      <c r="AK611">
        <f>sumif(Plan!B:B,"261-138001-010",Plan!ak:ak)</f>
        <v>0</v>
      </c>
      <c r="AL611">
        <f>sumif(Plan!B:B,"261-138001-010",Plan!al:al)</f>
        <v>0</v>
      </c>
      <c r="AM611">
        <f>sumif(Plan!B:B,"261-138001-010",Plan!am:am)</f>
        <v>0</v>
      </c>
      <c r="AN611">
        <f>sumif(Plan!B:B,"261-138001-010",Plan!an:an)</f>
        <v>0</v>
      </c>
      <c r="AO611">
        <f>sumif(Plan!B:B,"261-138001-010",Plan!ao:ao)</f>
        <v>0</v>
      </c>
    </row>
    <row r="612" spans="1:41">
      <c r="A612" t="s">
        <v>22</v>
      </c>
      <c r="B612" t="s">
        <v>385</v>
      </c>
      <c r="C612" t="s">
        <v>386</v>
      </c>
      <c r="E612">
        <v>1</v>
      </c>
      <c r="F612" t="s">
        <v>13</v>
      </c>
      <c r="H612" t="s">
        <v>16</v>
      </c>
      <c r="J612">
        <f>indirect(address(612,9))+indirect(address(610,10))-indirect(address(611,10))</f>
        <v>0</v>
      </c>
      <c r="K612">
        <f>indirect(address(612,10))+indirect(address(610,11))-indirect(address(611,11))</f>
        <v>0</v>
      </c>
      <c r="L612">
        <f>indirect(address(612,11))+indirect(address(610,12))-indirect(address(611,12))</f>
        <v>0</v>
      </c>
      <c r="M612">
        <f>indirect(address(612,12))+indirect(address(610,13))-indirect(address(611,13))</f>
        <v>0</v>
      </c>
      <c r="N612">
        <f>indirect(address(612,13))+indirect(address(610,14))-indirect(address(611,14))</f>
        <v>0</v>
      </c>
      <c r="O612">
        <f>indirect(address(612,14))+indirect(address(610,15))-indirect(address(611,15))</f>
        <v>0</v>
      </c>
      <c r="P612">
        <f>indirect(address(612,15))+indirect(address(610,16))-indirect(address(611,16))</f>
        <v>0</v>
      </c>
      <c r="Q612">
        <f>indirect(address(612,16))+indirect(address(610,17))-indirect(address(611,17))</f>
        <v>0</v>
      </c>
      <c r="R612">
        <f>indirect(address(612,17))+indirect(address(610,18))-indirect(address(611,18))</f>
        <v>0</v>
      </c>
      <c r="S612">
        <f>indirect(address(612,18))+indirect(address(610,19))-indirect(address(611,19))</f>
        <v>0</v>
      </c>
      <c r="T612">
        <f>indirect(address(612,19))+indirect(address(610,20))-indirect(address(611,20))</f>
        <v>0</v>
      </c>
      <c r="U612">
        <f>indirect(address(612,20))+indirect(address(610,21))-indirect(address(611,21))</f>
        <v>0</v>
      </c>
      <c r="V612">
        <f>indirect(address(612,21))+indirect(address(610,22))-indirect(address(611,22))</f>
        <v>0</v>
      </c>
      <c r="W612">
        <f>indirect(address(612,22))+indirect(address(610,23))-indirect(address(611,23))</f>
        <v>0</v>
      </c>
      <c r="X612">
        <f>indirect(address(612,23))+indirect(address(610,24))-indirect(address(611,24))</f>
        <v>0</v>
      </c>
      <c r="Y612">
        <f>indirect(address(612,24))+indirect(address(610,25))-indirect(address(611,25))</f>
        <v>0</v>
      </c>
      <c r="Z612">
        <f>indirect(address(612,25))+indirect(address(610,26))-indirect(address(611,26))</f>
        <v>0</v>
      </c>
      <c r="AA612">
        <f>indirect(address(612,26))+indirect(address(610,27))-indirect(address(611,27))</f>
        <v>0</v>
      </c>
      <c r="AB612">
        <f>indirect(address(612,27))+indirect(address(610,28))-indirect(address(611,28))</f>
        <v>0</v>
      </c>
      <c r="AC612">
        <f>indirect(address(612,28))+indirect(address(610,29))-indirect(address(611,29))</f>
        <v>0</v>
      </c>
      <c r="AD612">
        <f>indirect(address(612,29))+indirect(address(610,30))-indirect(address(611,30))</f>
        <v>0</v>
      </c>
      <c r="AE612">
        <f>indirect(address(612,30))+indirect(address(610,31))-indirect(address(611,31))</f>
        <v>0</v>
      </c>
      <c r="AF612">
        <f>indirect(address(612,31))+indirect(address(610,32))-indirect(address(611,32))</f>
        <v>0</v>
      </c>
      <c r="AG612">
        <f>indirect(address(612,32))+indirect(address(610,33))-indirect(address(611,33))</f>
        <v>0</v>
      </c>
      <c r="AH612">
        <f>indirect(address(612,33))+indirect(address(610,34))-indirect(address(611,34))</f>
        <v>0</v>
      </c>
      <c r="AI612">
        <f>indirect(address(612,34))+indirect(address(610,35))-indirect(address(611,35))</f>
        <v>0</v>
      </c>
      <c r="AJ612">
        <f>indirect(address(612,35))+indirect(address(610,36))-indirect(address(611,36))</f>
        <v>0</v>
      </c>
      <c r="AK612">
        <f>indirect(address(612,36))+indirect(address(610,37))-indirect(address(611,37))</f>
        <v>0</v>
      </c>
      <c r="AL612">
        <f>indirect(address(612,37))+indirect(address(610,38))-indirect(address(611,38))</f>
        <v>0</v>
      </c>
      <c r="AM612">
        <f>indirect(address(612,38))+indirect(address(610,39))-indirect(address(611,39))</f>
        <v>0</v>
      </c>
      <c r="AN612">
        <f>indirect(address(612,39))+indirect(address(610,40))-indirect(address(611,40))</f>
        <v>0</v>
      </c>
      <c r="AO612">
        <f>indirect(address(612,40))+indirect(address(610,41))-indirect(address(611,41))</f>
        <v>0</v>
      </c>
    </row>
    <row r="613" spans="1:41">
      <c r="I613" t="s">
        <v>14</v>
      </c>
      <c r="AO613">
        <f>sum(j613:an613)</f>
        <v>0</v>
      </c>
    </row>
    <row r="614" spans="1:41">
      <c r="I614" t="s">
        <v>15</v>
      </c>
      <c r="J614">
        <f>sumif(Plan!B:B,"261-111000-088",Plan!j:j)</f>
        <v>0</v>
      </c>
      <c r="K614">
        <f>sumif(Plan!B:B,"261-111000-088",Plan!k:k)</f>
        <v>0</v>
      </c>
      <c r="L614">
        <f>sumif(Plan!B:B,"261-111000-088",Plan!l:l)</f>
        <v>0</v>
      </c>
      <c r="M614">
        <f>sumif(Plan!B:B,"261-111000-088",Plan!m:m)</f>
        <v>0</v>
      </c>
      <c r="N614">
        <f>sumif(Plan!B:B,"261-111000-088",Plan!n:n)</f>
        <v>0</v>
      </c>
      <c r="O614">
        <f>sumif(Plan!B:B,"261-111000-088",Plan!o:o)</f>
        <v>0</v>
      </c>
      <c r="P614">
        <f>sumif(Plan!B:B,"261-111000-088",Plan!p:p)</f>
        <v>0</v>
      </c>
      <c r="Q614">
        <f>sumif(Plan!B:B,"261-111000-088",Plan!q:q)</f>
        <v>0</v>
      </c>
      <c r="R614">
        <f>sumif(Plan!B:B,"261-111000-088",Plan!r:r)</f>
        <v>0</v>
      </c>
      <c r="S614">
        <f>sumif(Plan!B:B,"261-111000-088",Plan!s:s)</f>
        <v>0</v>
      </c>
      <c r="T614">
        <f>sumif(Plan!B:B,"261-111000-088",Plan!t:t)</f>
        <v>0</v>
      </c>
      <c r="U614">
        <f>sumif(Plan!B:B,"261-111000-088",Plan!u:u)</f>
        <v>0</v>
      </c>
      <c r="V614">
        <f>sumif(Plan!B:B,"261-111000-088",Plan!v:v)</f>
        <v>0</v>
      </c>
      <c r="W614">
        <f>sumif(Plan!B:B,"261-111000-088",Plan!w:w)</f>
        <v>0</v>
      </c>
      <c r="X614">
        <f>sumif(Plan!B:B,"261-111000-088",Plan!x:x)</f>
        <v>0</v>
      </c>
      <c r="Y614">
        <f>sumif(Plan!B:B,"261-111000-088",Plan!y:y)</f>
        <v>0</v>
      </c>
      <c r="Z614">
        <f>sumif(Plan!B:B,"261-111000-088",Plan!z:z)</f>
        <v>0</v>
      </c>
      <c r="AA614">
        <f>sumif(Plan!B:B,"261-111000-088",Plan!aa:aa)</f>
        <v>0</v>
      </c>
      <c r="AB614">
        <f>sumif(Plan!B:B,"261-111000-088",Plan!ab:ab)</f>
        <v>0</v>
      </c>
      <c r="AC614">
        <f>sumif(Plan!B:B,"261-111000-088",Plan!ac:ac)</f>
        <v>0</v>
      </c>
      <c r="AD614">
        <f>sumif(Plan!B:B,"261-111000-088",Plan!ad:ad)</f>
        <v>0</v>
      </c>
      <c r="AE614">
        <f>sumif(Plan!B:B,"261-111000-088",Plan!ae:ae)</f>
        <v>0</v>
      </c>
      <c r="AF614">
        <f>sumif(Plan!B:B,"261-111000-088",Plan!af:af)</f>
        <v>0</v>
      </c>
      <c r="AG614">
        <f>sumif(Plan!B:B,"261-111000-088",Plan!ag:ag)</f>
        <v>0</v>
      </c>
      <c r="AH614">
        <f>sumif(Plan!B:B,"261-111000-088",Plan!ah:ah)</f>
        <v>0</v>
      </c>
      <c r="AI614">
        <f>sumif(Plan!B:B,"261-111000-088",Plan!ai:ai)</f>
        <v>0</v>
      </c>
      <c r="AJ614">
        <f>sumif(Plan!B:B,"261-111000-088",Plan!aj:aj)</f>
        <v>0</v>
      </c>
      <c r="AK614">
        <f>sumif(Plan!B:B,"261-111000-088",Plan!ak:ak)</f>
        <v>0</v>
      </c>
      <c r="AL614">
        <f>sumif(Plan!B:B,"261-111000-088",Plan!al:al)</f>
        <v>0</v>
      </c>
      <c r="AM614">
        <f>sumif(Plan!B:B,"261-111000-088",Plan!am:am)</f>
        <v>0</v>
      </c>
      <c r="AN614">
        <f>sumif(Plan!B:B,"261-111000-088",Plan!an:an)</f>
        <v>0</v>
      </c>
      <c r="AO614">
        <f>sumif(Plan!B:B,"261-111000-088",Plan!ao:ao)</f>
        <v>0</v>
      </c>
    </row>
    <row r="615" spans="1:41">
      <c r="A615" t="s">
        <v>22</v>
      </c>
      <c r="B615" t="s">
        <v>387</v>
      </c>
      <c r="C615" t="s">
        <v>388</v>
      </c>
      <c r="E615">
        <v>1</v>
      </c>
      <c r="F615" t="s">
        <v>13</v>
      </c>
      <c r="H615" t="s">
        <v>16</v>
      </c>
      <c r="J615">
        <f>indirect(address(615,9))+indirect(address(613,10))-indirect(address(614,10))</f>
        <v>0</v>
      </c>
      <c r="K615">
        <f>indirect(address(615,10))+indirect(address(613,11))-indirect(address(614,11))</f>
        <v>0</v>
      </c>
      <c r="L615">
        <f>indirect(address(615,11))+indirect(address(613,12))-indirect(address(614,12))</f>
        <v>0</v>
      </c>
      <c r="M615">
        <f>indirect(address(615,12))+indirect(address(613,13))-indirect(address(614,13))</f>
        <v>0</v>
      </c>
      <c r="N615">
        <f>indirect(address(615,13))+indirect(address(613,14))-indirect(address(614,14))</f>
        <v>0</v>
      </c>
      <c r="O615">
        <f>indirect(address(615,14))+indirect(address(613,15))-indirect(address(614,15))</f>
        <v>0</v>
      </c>
      <c r="P615">
        <f>indirect(address(615,15))+indirect(address(613,16))-indirect(address(614,16))</f>
        <v>0</v>
      </c>
      <c r="Q615">
        <f>indirect(address(615,16))+indirect(address(613,17))-indirect(address(614,17))</f>
        <v>0</v>
      </c>
      <c r="R615">
        <f>indirect(address(615,17))+indirect(address(613,18))-indirect(address(614,18))</f>
        <v>0</v>
      </c>
      <c r="S615">
        <f>indirect(address(615,18))+indirect(address(613,19))-indirect(address(614,19))</f>
        <v>0</v>
      </c>
      <c r="T615">
        <f>indirect(address(615,19))+indirect(address(613,20))-indirect(address(614,20))</f>
        <v>0</v>
      </c>
      <c r="U615">
        <f>indirect(address(615,20))+indirect(address(613,21))-indirect(address(614,21))</f>
        <v>0</v>
      </c>
      <c r="V615">
        <f>indirect(address(615,21))+indirect(address(613,22))-indirect(address(614,22))</f>
        <v>0</v>
      </c>
      <c r="W615">
        <f>indirect(address(615,22))+indirect(address(613,23))-indirect(address(614,23))</f>
        <v>0</v>
      </c>
      <c r="X615">
        <f>indirect(address(615,23))+indirect(address(613,24))-indirect(address(614,24))</f>
        <v>0</v>
      </c>
      <c r="Y615">
        <f>indirect(address(615,24))+indirect(address(613,25))-indirect(address(614,25))</f>
        <v>0</v>
      </c>
      <c r="Z615">
        <f>indirect(address(615,25))+indirect(address(613,26))-indirect(address(614,26))</f>
        <v>0</v>
      </c>
      <c r="AA615">
        <f>indirect(address(615,26))+indirect(address(613,27))-indirect(address(614,27))</f>
        <v>0</v>
      </c>
      <c r="AB615">
        <f>indirect(address(615,27))+indirect(address(613,28))-indirect(address(614,28))</f>
        <v>0</v>
      </c>
      <c r="AC615">
        <f>indirect(address(615,28))+indirect(address(613,29))-indirect(address(614,29))</f>
        <v>0</v>
      </c>
      <c r="AD615">
        <f>indirect(address(615,29))+indirect(address(613,30))-indirect(address(614,30))</f>
        <v>0</v>
      </c>
      <c r="AE615">
        <f>indirect(address(615,30))+indirect(address(613,31))-indirect(address(614,31))</f>
        <v>0</v>
      </c>
      <c r="AF615">
        <f>indirect(address(615,31))+indirect(address(613,32))-indirect(address(614,32))</f>
        <v>0</v>
      </c>
      <c r="AG615">
        <f>indirect(address(615,32))+indirect(address(613,33))-indirect(address(614,33))</f>
        <v>0</v>
      </c>
      <c r="AH615">
        <f>indirect(address(615,33))+indirect(address(613,34))-indirect(address(614,34))</f>
        <v>0</v>
      </c>
      <c r="AI615">
        <f>indirect(address(615,34))+indirect(address(613,35))-indirect(address(614,35))</f>
        <v>0</v>
      </c>
      <c r="AJ615">
        <f>indirect(address(615,35))+indirect(address(613,36))-indirect(address(614,36))</f>
        <v>0</v>
      </c>
      <c r="AK615">
        <f>indirect(address(615,36))+indirect(address(613,37))-indirect(address(614,37))</f>
        <v>0</v>
      </c>
      <c r="AL615">
        <f>indirect(address(615,37))+indirect(address(613,38))-indirect(address(614,38))</f>
        <v>0</v>
      </c>
      <c r="AM615">
        <f>indirect(address(615,38))+indirect(address(613,39))-indirect(address(614,39))</f>
        <v>0</v>
      </c>
      <c r="AN615">
        <f>indirect(address(615,39))+indirect(address(613,40))-indirect(address(614,40))</f>
        <v>0</v>
      </c>
      <c r="AO615">
        <f>indirect(address(615,40))+indirect(address(613,41))-indirect(address(614,41))</f>
        <v>0</v>
      </c>
    </row>
    <row r="616" spans="1:41">
      <c r="I616" t="s">
        <v>14</v>
      </c>
      <c r="AO616">
        <f>sum(j616:an616)</f>
        <v>0</v>
      </c>
    </row>
    <row r="617" spans="1:41">
      <c r="I617" t="s">
        <v>15</v>
      </c>
      <c r="J617">
        <f>sumif(Plan!B:B,"261-013001-010",Plan!j:j)</f>
        <v>0</v>
      </c>
      <c r="K617">
        <f>sumif(Plan!B:B,"261-013001-010",Plan!k:k)</f>
        <v>0</v>
      </c>
      <c r="L617">
        <f>sumif(Plan!B:B,"261-013001-010",Plan!l:l)</f>
        <v>0</v>
      </c>
      <c r="M617">
        <f>sumif(Plan!B:B,"261-013001-010",Plan!m:m)</f>
        <v>0</v>
      </c>
      <c r="N617">
        <f>sumif(Plan!B:B,"261-013001-010",Plan!n:n)</f>
        <v>0</v>
      </c>
      <c r="O617">
        <f>sumif(Plan!B:B,"261-013001-010",Plan!o:o)</f>
        <v>0</v>
      </c>
      <c r="P617">
        <f>sumif(Plan!B:B,"261-013001-010",Plan!p:p)</f>
        <v>0</v>
      </c>
      <c r="Q617">
        <f>sumif(Plan!B:B,"261-013001-010",Plan!q:q)</f>
        <v>0</v>
      </c>
      <c r="R617">
        <f>sumif(Plan!B:B,"261-013001-010",Plan!r:r)</f>
        <v>0</v>
      </c>
      <c r="S617">
        <f>sumif(Plan!B:B,"261-013001-010",Plan!s:s)</f>
        <v>0</v>
      </c>
      <c r="T617">
        <f>sumif(Plan!B:B,"261-013001-010",Plan!t:t)</f>
        <v>0</v>
      </c>
      <c r="U617">
        <f>sumif(Plan!B:B,"261-013001-010",Plan!u:u)</f>
        <v>0</v>
      </c>
      <c r="V617">
        <f>sumif(Plan!B:B,"261-013001-010",Plan!v:v)</f>
        <v>0</v>
      </c>
      <c r="W617">
        <f>sumif(Plan!B:B,"261-013001-010",Plan!w:w)</f>
        <v>0</v>
      </c>
      <c r="X617">
        <f>sumif(Plan!B:B,"261-013001-010",Plan!x:x)</f>
        <v>0</v>
      </c>
      <c r="Y617">
        <f>sumif(Plan!B:B,"261-013001-010",Plan!y:y)</f>
        <v>0</v>
      </c>
      <c r="Z617">
        <f>sumif(Plan!B:B,"261-013001-010",Plan!z:z)</f>
        <v>0</v>
      </c>
      <c r="AA617">
        <f>sumif(Plan!B:B,"261-013001-010",Plan!aa:aa)</f>
        <v>0</v>
      </c>
      <c r="AB617">
        <f>sumif(Plan!B:B,"261-013001-010",Plan!ab:ab)</f>
        <v>0</v>
      </c>
      <c r="AC617">
        <f>sumif(Plan!B:B,"261-013001-010",Plan!ac:ac)</f>
        <v>0</v>
      </c>
      <c r="AD617">
        <f>sumif(Plan!B:B,"261-013001-010",Plan!ad:ad)</f>
        <v>0</v>
      </c>
      <c r="AE617">
        <f>sumif(Plan!B:B,"261-013001-010",Plan!ae:ae)</f>
        <v>0</v>
      </c>
      <c r="AF617">
        <f>sumif(Plan!B:B,"261-013001-010",Plan!af:af)</f>
        <v>0</v>
      </c>
      <c r="AG617">
        <f>sumif(Plan!B:B,"261-013001-010",Plan!ag:ag)</f>
        <v>0</v>
      </c>
      <c r="AH617">
        <f>sumif(Plan!B:B,"261-013001-010",Plan!ah:ah)</f>
        <v>0</v>
      </c>
      <c r="AI617">
        <f>sumif(Plan!B:B,"261-013001-010",Plan!ai:ai)</f>
        <v>0</v>
      </c>
      <c r="AJ617">
        <f>sumif(Plan!B:B,"261-013001-010",Plan!aj:aj)</f>
        <v>0</v>
      </c>
      <c r="AK617">
        <f>sumif(Plan!B:B,"261-013001-010",Plan!ak:ak)</f>
        <v>0</v>
      </c>
      <c r="AL617">
        <f>sumif(Plan!B:B,"261-013001-010",Plan!al:al)</f>
        <v>0</v>
      </c>
      <c r="AM617">
        <f>sumif(Plan!B:B,"261-013001-010",Plan!am:am)</f>
        <v>0</v>
      </c>
      <c r="AN617">
        <f>sumif(Plan!B:B,"261-013001-010",Plan!an:an)</f>
        <v>0</v>
      </c>
      <c r="AO617">
        <f>sumif(Plan!B:B,"261-013001-010",Plan!ao:ao)</f>
        <v>0</v>
      </c>
    </row>
    <row r="618" spans="1:41">
      <c r="A618" t="s">
        <v>22</v>
      </c>
      <c r="B618" t="s">
        <v>389</v>
      </c>
      <c r="C618" t="s">
        <v>390</v>
      </c>
      <c r="E618">
        <v>1</v>
      </c>
      <c r="F618" t="s">
        <v>13</v>
      </c>
      <c r="H618" t="s">
        <v>16</v>
      </c>
      <c r="J618">
        <f>indirect(address(618,9))+indirect(address(616,10))-indirect(address(617,10))</f>
        <v>0</v>
      </c>
      <c r="K618">
        <f>indirect(address(618,10))+indirect(address(616,11))-indirect(address(617,11))</f>
        <v>0</v>
      </c>
      <c r="L618">
        <f>indirect(address(618,11))+indirect(address(616,12))-indirect(address(617,12))</f>
        <v>0</v>
      </c>
      <c r="M618">
        <f>indirect(address(618,12))+indirect(address(616,13))-indirect(address(617,13))</f>
        <v>0</v>
      </c>
      <c r="N618">
        <f>indirect(address(618,13))+indirect(address(616,14))-indirect(address(617,14))</f>
        <v>0</v>
      </c>
      <c r="O618">
        <f>indirect(address(618,14))+indirect(address(616,15))-indirect(address(617,15))</f>
        <v>0</v>
      </c>
      <c r="P618">
        <f>indirect(address(618,15))+indirect(address(616,16))-indirect(address(617,16))</f>
        <v>0</v>
      </c>
      <c r="Q618">
        <f>indirect(address(618,16))+indirect(address(616,17))-indirect(address(617,17))</f>
        <v>0</v>
      </c>
      <c r="R618">
        <f>indirect(address(618,17))+indirect(address(616,18))-indirect(address(617,18))</f>
        <v>0</v>
      </c>
      <c r="S618">
        <f>indirect(address(618,18))+indirect(address(616,19))-indirect(address(617,19))</f>
        <v>0</v>
      </c>
      <c r="T618">
        <f>indirect(address(618,19))+indirect(address(616,20))-indirect(address(617,20))</f>
        <v>0</v>
      </c>
      <c r="U618">
        <f>indirect(address(618,20))+indirect(address(616,21))-indirect(address(617,21))</f>
        <v>0</v>
      </c>
      <c r="V618">
        <f>indirect(address(618,21))+indirect(address(616,22))-indirect(address(617,22))</f>
        <v>0</v>
      </c>
      <c r="W618">
        <f>indirect(address(618,22))+indirect(address(616,23))-indirect(address(617,23))</f>
        <v>0</v>
      </c>
      <c r="X618">
        <f>indirect(address(618,23))+indirect(address(616,24))-indirect(address(617,24))</f>
        <v>0</v>
      </c>
      <c r="Y618">
        <f>indirect(address(618,24))+indirect(address(616,25))-indirect(address(617,25))</f>
        <v>0</v>
      </c>
      <c r="Z618">
        <f>indirect(address(618,25))+indirect(address(616,26))-indirect(address(617,26))</f>
        <v>0</v>
      </c>
      <c r="AA618">
        <f>indirect(address(618,26))+indirect(address(616,27))-indirect(address(617,27))</f>
        <v>0</v>
      </c>
      <c r="AB618">
        <f>indirect(address(618,27))+indirect(address(616,28))-indirect(address(617,28))</f>
        <v>0</v>
      </c>
      <c r="AC618">
        <f>indirect(address(618,28))+indirect(address(616,29))-indirect(address(617,29))</f>
        <v>0</v>
      </c>
      <c r="AD618">
        <f>indirect(address(618,29))+indirect(address(616,30))-indirect(address(617,30))</f>
        <v>0</v>
      </c>
      <c r="AE618">
        <f>indirect(address(618,30))+indirect(address(616,31))-indirect(address(617,31))</f>
        <v>0</v>
      </c>
      <c r="AF618">
        <f>indirect(address(618,31))+indirect(address(616,32))-indirect(address(617,32))</f>
        <v>0</v>
      </c>
      <c r="AG618">
        <f>indirect(address(618,32))+indirect(address(616,33))-indirect(address(617,33))</f>
        <v>0</v>
      </c>
      <c r="AH618">
        <f>indirect(address(618,33))+indirect(address(616,34))-indirect(address(617,34))</f>
        <v>0</v>
      </c>
      <c r="AI618">
        <f>indirect(address(618,34))+indirect(address(616,35))-indirect(address(617,35))</f>
        <v>0</v>
      </c>
      <c r="AJ618">
        <f>indirect(address(618,35))+indirect(address(616,36))-indirect(address(617,36))</f>
        <v>0</v>
      </c>
      <c r="AK618">
        <f>indirect(address(618,36))+indirect(address(616,37))-indirect(address(617,37))</f>
        <v>0</v>
      </c>
      <c r="AL618">
        <f>indirect(address(618,37))+indirect(address(616,38))-indirect(address(617,38))</f>
        <v>0</v>
      </c>
      <c r="AM618">
        <f>indirect(address(618,38))+indirect(address(616,39))-indirect(address(617,39))</f>
        <v>0</v>
      </c>
      <c r="AN618">
        <f>indirect(address(618,39))+indirect(address(616,40))-indirect(address(617,40))</f>
        <v>0</v>
      </c>
      <c r="AO618">
        <f>indirect(address(618,40))+indirect(address(616,41))-indirect(address(617,41))</f>
        <v>0</v>
      </c>
    </row>
    <row r="619" spans="1:41">
      <c r="I619" t="s">
        <v>14</v>
      </c>
      <c r="AO619">
        <f>sum(j619:an619)</f>
        <v>0</v>
      </c>
    </row>
    <row r="620" spans="1:41">
      <c r="I620" t="s">
        <v>15</v>
      </c>
      <c r="J620">
        <f>sumif(Plan!B:B,"261-010500-073",Plan!j:j)</f>
        <v>0</v>
      </c>
      <c r="K620">
        <f>sumif(Plan!B:B,"261-010500-073",Plan!k:k)</f>
        <v>0</v>
      </c>
      <c r="L620">
        <f>sumif(Plan!B:B,"261-010500-073",Plan!l:l)</f>
        <v>0</v>
      </c>
      <c r="M620">
        <f>sumif(Plan!B:B,"261-010500-073",Plan!m:m)</f>
        <v>0</v>
      </c>
      <c r="N620">
        <f>sumif(Plan!B:B,"261-010500-073",Plan!n:n)</f>
        <v>0</v>
      </c>
      <c r="O620">
        <f>sumif(Plan!B:B,"261-010500-073",Plan!o:o)</f>
        <v>0</v>
      </c>
      <c r="P620">
        <f>sumif(Plan!B:B,"261-010500-073",Plan!p:p)</f>
        <v>0</v>
      </c>
      <c r="Q620">
        <f>sumif(Plan!B:B,"261-010500-073",Plan!q:q)</f>
        <v>0</v>
      </c>
      <c r="R620">
        <f>sumif(Plan!B:B,"261-010500-073",Plan!r:r)</f>
        <v>0</v>
      </c>
      <c r="S620">
        <f>sumif(Plan!B:B,"261-010500-073",Plan!s:s)</f>
        <v>0</v>
      </c>
      <c r="T620">
        <f>sumif(Plan!B:B,"261-010500-073",Plan!t:t)</f>
        <v>0</v>
      </c>
      <c r="U620">
        <f>sumif(Plan!B:B,"261-010500-073",Plan!u:u)</f>
        <v>0</v>
      </c>
      <c r="V620">
        <f>sumif(Plan!B:B,"261-010500-073",Plan!v:v)</f>
        <v>0</v>
      </c>
      <c r="W620">
        <f>sumif(Plan!B:B,"261-010500-073",Plan!w:w)</f>
        <v>0</v>
      </c>
      <c r="X620">
        <f>sumif(Plan!B:B,"261-010500-073",Plan!x:x)</f>
        <v>0</v>
      </c>
      <c r="Y620">
        <f>sumif(Plan!B:B,"261-010500-073",Plan!y:y)</f>
        <v>0</v>
      </c>
      <c r="Z620">
        <f>sumif(Plan!B:B,"261-010500-073",Plan!z:z)</f>
        <v>0</v>
      </c>
      <c r="AA620">
        <f>sumif(Plan!B:B,"261-010500-073",Plan!aa:aa)</f>
        <v>0</v>
      </c>
      <c r="AB620">
        <f>sumif(Plan!B:B,"261-010500-073",Plan!ab:ab)</f>
        <v>0</v>
      </c>
      <c r="AC620">
        <f>sumif(Plan!B:B,"261-010500-073",Plan!ac:ac)</f>
        <v>0</v>
      </c>
      <c r="AD620">
        <f>sumif(Plan!B:B,"261-010500-073",Plan!ad:ad)</f>
        <v>0</v>
      </c>
      <c r="AE620">
        <f>sumif(Plan!B:B,"261-010500-073",Plan!ae:ae)</f>
        <v>0</v>
      </c>
      <c r="AF620">
        <f>sumif(Plan!B:B,"261-010500-073",Plan!af:af)</f>
        <v>0</v>
      </c>
      <c r="AG620">
        <f>sumif(Plan!B:B,"261-010500-073",Plan!ag:ag)</f>
        <v>0</v>
      </c>
      <c r="AH620">
        <f>sumif(Plan!B:B,"261-010500-073",Plan!ah:ah)</f>
        <v>0</v>
      </c>
      <c r="AI620">
        <f>sumif(Plan!B:B,"261-010500-073",Plan!ai:ai)</f>
        <v>0</v>
      </c>
      <c r="AJ620">
        <f>sumif(Plan!B:B,"261-010500-073",Plan!aj:aj)</f>
        <v>0</v>
      </c>
      <c r="AK620">
        <f>sumif(Plan!B:B,"261-010500-073",Plan!ak:ak)</f>
        <v>0</v>
      </c>
      <c r="AL620">
        <f>sumif(Plan!B:B,"261-010500-073",Plan!al:al)</f>
        <v>0</v>
      </c>
      <c r="AM620">
        <f>sumif(Plan!B:B,"261-010500-073",Plan!am:am)</f>
        <v>0</v>
      </c>
      <c r="AN620">
        <f>sumif(Plan!B:B,"261-010500-073",Plan!an:an)</f>
        <v>0</v>
      </c>
      <c r="AO620">
        <f>sumif(Plan!B:B,"261-010500-073",Plan!ao:ao)</f>
        <v>0</v>
      </c>
    </row>
    <row r="621" spans="1:41">
      <c r="A621" t="s">
        <v>22</v>
      </c>
      <c r="B621" t="s">
        <v>391</v>
      </c>
      <c r="C621" t="s">
        <v>392</v>
      </c>
      <c r="E621">
        <v>1</v>
      </c>
      <c r="F621" t="s">
        <v>13</v>
      </c>
      <c r="H621" t="s">
        <v>16</v>
      </c>
      <c r="J621">
        <f>indirect(address(621,9))+indirect(address(619,10))-indirect(address(620,10))</f>
        <v>0</v>
      </c>
      <c r="K621">
        <f>indirect(address(621,10))+indirect(address(619,11))-indirect(address(620,11))</f>
        <v>0</v>
      </c>
      <c r="L621">
        <f>indirect(address(621,11))+indirect(address(619,12))-indirect(address(620,12))</f>
        <v>0</v>
      </c>
      <c r="M621">
        <f>indirect(address(621,12))+indirect(address(619,13))-indirect(address(620,13))</f>
        <v>0</v>
      </c>
      <c r="N621">
        <f>indirect(address(621,13))+indirect(address(619,14))-indirect(address(620,14))</f>
        <v>0</v>
      </c>
      <c r="O621">
        <f>indirect(address(621,14))+indirect(address(619,15))-indirect(address(620,15))</f>
        <v>0</v>
      </c>
      <c r="P621">
        <f>indirect(address(621,15))+indirect(address(619,16))-indirect(address(620,16))</f>
        <v>0</v>
      </c>
      <c r="Q621">
        <f>indirect(address(621,16))+indirect(address(619,17))-indirect(address(620,17))</f>
        <v>0</v>
      </c>
      <c r="R621">
        <f>indirect(address(621,17))+indirect(address(619,18))-indirect(address(620,18))</f>
        <v>0</v>
      </c>
      <c r="S621">
        <f>indirect(address(621,18))+indirect(address(619,19))-indirect(address(620,19))</f>
        <v>0</v>
      </c>
      <c r="T621">
        <f>indirect(address(621,19))+indirect(address(619,20))-indirect(address(620,20))</f>
        <v>0</v>
      </c>
      <c r="U621">
        <f>indirect(address(621,20))+indirect(address(619,21))-indirect(address(620,21))</f>
        <v>0</v>
      </c>
      <c r="V621">
        <f>indirect(address(621,21))+indirect(address(619,22))-indirect(address(620,22))</f>
        <v>0</v>
      </c>
      <c r="W621">
        <f>indirect(address(621,22))+indirect(address(619,23))-indirect(address(620,23))</f>
        <v>0</v>
      </c>
      <c r="X621">
        <f>indirect(address(621,23))+indirect(address(619,24))-indirect(address(620,24))</f>
        <v>0</v>
      </c>
      <c r="Y621">
        <f>indirect(address(621,24))+indirect(address(619,25))-indirect(address(620,25))</f>
        <v>0</v>
      </c>
      <c r="Z621">
        <f>indirect(address(621,25))+indirect(address(619,26))-indirect(address(620,26))</f>
        <v>0</v>
      </c>
      <c r="AA621">
        <f>indirect(address(621,26))+indirect(address(619,27))-indirect(address(620,27))</f>
        <v>0</v>
      </c>
      <c r="AB621">
        <f>indirect(address(621,27))+indirect(address(619,28))-indirect(address(620,28))</f>
        <v>0</v>
      </c>
      <c r="AC621">
        <f>indirect(address(621,28))+indirect(address(619,29))-indirect(address(620,29))</f>
        <v>0</v>
      </c>
      <c r="AD621">
        <f>indirect(address(621,29))+indirect(address(619,30))-indirect(address(620,30))</f>
        <v>0</v>
      </c>
      <c r="AE621">
        <f>indirect(address(621,30))+indirect(address(619,31))-indirect(address(620,31))</f>
        <v>0</v>
      </c>
      <c r="AF621">
        <f>indirect(address(621,31))+indirect(address(619,32))-indirect(address(620,32))</f>
        <v>0</v>
      </c>
      <c r="AG621">
        <f>indirect(address(621,32))+indirect(address(619,33))-indirect(address(620,33))</f>
        <v>0</v>
      </c>
      <c r="AH621">
        <f>indirect(address(621,33))+indirect(address(619,34))-indirect(address(620,34))</f>
        <v>0</v>
      </c>
      <c r="AI621">
        <f>indirect(address(621,34))+indirect(address(619,35))-indirect(address(620,35))</f>
        <v>0</v>
      </c>
      <c r="AJ621">
        <f>indirect(address(621,35))+indirect(address(619,36))-indirect(address(620,36))</f>
        <v>0</v>
      </c>
      <c r="AK621">
        <f>indirect(address(621,36))+indirect(address(619,37))-indirect(address(620,37))</f>
        <v>0</v>
      </c>
      <c r="AL621">
        <f>indirect(address(621,37))+indirect(address(619,38))-indirect(address(620,38))</f>
        <v>0</v>
      </c>
      <c r="AM621">
        <f>indirect(address(621,38))+indirect(address(619,39))-indirect(address(620,39))</f>
        <v>0</v>
      </c>
      <c r="AN621">
        <f>indirect(address(621,39))+indirect(address(619,40))-indirect(address(620,40))</f>
        <v>0</v>
      </c>
      <c r="AO621">
        <f>indirect(address(621,40))+indirect(address(619,41))-indirect(address(620,41))</f>
        <v>0</v>
      </c>
    </row>
    <row r="622" spans="1:41">
      <c r="I622" t="s">
        <v>14</v>
      </c>
      <c r="AO622">
        <f>sum(j622:an622)</f>
        <v>0</v>
      </c>
    </row>
    <row r="623" spans="1:41">
      <c r="I623" t="s">
        <v>15</v>
      </c>
      <c r="J623">
        <f>sumif(Plan!B:B,"261-031500-053",Plan!j:j)</f>
        <v>0</v>
      </c>
      <c r="K623">
        <f>sumif(Plan!B:B,"261-031500-053",Plan!k:k)</f>
        <v>0</v>
      </c>
      <c r="L623">
        <f>sumif(Plan!B:B,"261-031500-053",Plan!l:l)</f>
        <v>0</v>
      </c>
      <c r="M623">
        <f>sumif(Plan!B:B,"261-031500-053",Plan!m:m)</f>
        <v>0</v>
      </c>
      <c r="N623">
        <f>sumif(Plan!B:B,"261-031500-053",Plan!n:n)</f>
        <v>0</v>
      </c>
      <c r="O623">
        <f>sumif(Plan!B:B,"261-031500-053",Plan!o:o)</f>
        <v>0</v>
      </c>
      <c r="P623">
        <f>sumif(Plan!B:B,"261-031500-053",Plan!p:p)</f>
        <v>0</v>
      </c>
      <c r="Q623">
        <f>sumif(Plan!B:B,"261-031500-053",Plan!q:q)</f>
        <v>0</v>
      </c>
      <c r="R623">
        <f>sumif(Plan!B:B,"261-031500-053",Plan!r:r)</f>
        <v>0</v>
      </c>
      <c r="S623">
        <f>sumif(Plan!B:B,"261-031500-053",Plan!s:s)</f>
        <v>0</v>
      </c>
      <c r="T623">
        <f>sumif(Plan!B:B,"261-031500-053",Plan!t:t)</f>
        <v>0</v>
      </c>
      <c r="U623">
        <f>sumif(Plan!B:B,"261-031500-053",Plan!u:u)</f>
        <v>0</v>
      </c>
      <c r="V623">
        <f>sumif(Plan!B:B,"261-031500-053",Plan!v:v)</f>
        <v>0</v>
      </c>
      <c r="W623">
        <f>sumif(Plan!B:B,"261-031500-053",Plan!w:w)</f>
        <v>0</v>
      </c>
      <c r="X623">
        <f>sumif(Plan!B:B,"261-031500-053",Plan!x:x)</f>
        <v>0</v>
      </c>
      <c r="Y623">
        <f>sumif(Plan!B:B,"261-031500-053",Plan!y:y)</f>
        <v>0</v>
      </c>
      <c r="Z623">
        <f>sumif(Plan!B:B,"261-031500-053",Plan!z:z)</f>
        <v>0</v>
      </c>
      <c r="AA623">
        <f>sumif(Plan!B:B,"261-031500-053",Plan!aa:aa)</f>
        <v>0</v>
      </c>
      <c r="AB623">
        <f>sumif(Plan!B:B,"261-031500-053",Plan!ab:ab)</f>
        <v>0</v>
      </c>
      <c r="AC623">
        <f>sumif(Plan!B:B,"261-031500-053",Plan!ac:ac)</f>
        <v>0</v>
      </c>
      <c r="AD623">
        <f>sumif(Plan!B:B,"261-031500-053",Plan!ad:ad)</f>
        <v>0</v>
      </c>
      <c r="AE623">
        <f>sumif(Plan!B:B,"261-031500-053",Plan!ae:ae)</f>
        <v>0</v>
      </c>
      <c r="AF623">
        <f>sumif(Plan!B:B,"261-031500-053",Plan!af:af)</f>
        <v>0</v>
      </c>
      <c r="AG623">
        <f>sumif(Plan!B:B,"261-031500-053",Plan!ag:ag)</f>
        <v>0</v>
      </c>
      <c r="AH623">
        <f>sumif(Plan!B:B,"261-031500-053",Plan!ah:ah)</f>
        <v>0</v>
      </c>
      <c r="AI623">
        <f>sumif(Plan!B:B,"261-031500-053",Plan!ai:ai)</f>
        <v>0</v>
      </c>
      <c r="AJ623">
        <f>sumif(Plan!B:B,"261-031500-053",Plan!aj:aj)</f>
        <v>0</v>
      </c>
      <c r="AK623">
        <f>sumif(Plan!B:B,"261-031500-053",Plan!ak:ak)</f>
        <v>0</v>
      </c>
      <c r="AL623">
        <f>sumif(Plan!B:B,"261-031500-053",Plan!al:al)</f>
        <v>0</v>
      </c>
      <c r="AM623">
        <f>sumif(Plan!B:B,"261-031500-053",Plan!am:am)</f>
        <v>0</v>
      </c>
      <c r="AN623">
        <f>sumif(Plan!B:B,"261-031500-053",Plan!an:an)</f>
        <v>0</v>
      </c>
      <c r="AO623">
        <f>sumif(Plan!B:B,"261-031500-053",Plan!ao:ao)</f>
        <v>0</v>
      </c>
    </row>
    <row r="624" spans="1:41">
      <c r="A624" t="s">
        <v>22</v>
      </c>
      <c r="B624" t="s">
        <v>393</v>
      </c>
      <c r="C624" t="s">
        <v>394</v>
      </c>
      <c r="E624">
        <v>1</v>
      </c>
      <c r="F624" t="s">
        <v>13</v>
      </c>
      <c r="H624" t="s">
        <v>16</v>
      </c>
      <c r="J624">
        <f>indirect(address(624,9))+indirect(address(622,10))-indirect(address(623,10))</f>
        <v>0</v>
      </c>
      <c r="K624">
        <f>indirect(address(624,10))+indirect(address(622,11))-indirect(address(623,11))</f>
        <v>0</v>
      </c>
      <c r="L624">
        <f>indirect(address(624,11))+indirect(address(622,12))-indirect(address(623,12))</f>
        <v>0</v>
      </c>
      <c r="M624">
        <f>indirect(address(624,12))+indirect(address(622,13))-indirect(address(623,13))</f>
        <v>0</v>
      </c>
      <c r="N624">
        <f>indirect(address(624,13))+indirect(address(622,14))-indirect(address(623,14))</f>
        <v>0</v>
      </c>
      <c r="O624">
        <f>indirect(address(624,14))+indirect(address(622,15))-indirect(address(623,15))</f>
        <v>0</v>
      </c>
      <c r="P624">
        <f>indirect(address(624,15))+indirect(address(622,16))-indirect(address(623,16))</f>
        <v>0</v>
      </c>
      <c r="Q624">
        <f>indirect(address(624,16))+indirect(address(622,17))-indirect(address(623,17))</f>
        <v>0</v>
      </c>
      <c r="R624">
        <f>indirect(address(624,17))+indirect(address(622,18))-indirect(address(623,18))</f>
        <v>0</v>
      </c>
      <c r="S624">
        <f>indirect(address(624,18))+indirect(address(622,19))-indirect(address(623,19))</f>
        <v>0</v>
      </c>
      <c r="T624">
        <f>indirect(address(624,19))+indirect(address(622,20))-indirect(address(623,20))</f>
        <v>0</v>
      </c>
      <c r="U624">
        <f>indirect(address(624,20))+indirect(address(622,21))-indirect(address(623,21))</f>
        <v>0</v>
      </c>
      <c r="V624">
        <f>indirect(address(624,21))+indirect(address(622,22))-indirect(address(623,22))</f>
        <v>0</v>
      </c>
      <c r="W624">
        <f>indirect(address(624,22))+indirect(address(622,23))-indirect(address(623,23))</f>
        <v>0</v>
      </c>
      <c r="X624">
        <f>indirect(address(624,23))+indirect(address(622,24))-indirect(address(623,24))</f>
        <v>0</v>
      </c>
      <c r="Y624">
        <f>indirect(address(624,24))+indirect(address(622,25))-indirect(address(623,25))</f>
        <v>0</v>
      </c>
      <c r="Z624">
        <f>indirect(address(624,25))+indirect(address(622,26))-indirect(address(623,26))</f>
        <v>0</v>
      </c>
      <c r="AA624">
        <f>indirect(address(624,26))+indirect(address(622,27))-indirect(address(623,27))</f>
        <v>0</v>
      </c>
      <c r="AB624">
        <f>indirect(address(624,27))+indirect(address(622,28))-indirect(address(623,28))</f>
        <v>0</v>
      </c>
      <c r="AC624">
        <f>indirect(address(624,28))+indirect(address(622,29))-indirect(address(623,29))</f>
        <v>0</v>
      </c>
      <c r="AD624">
        <f>indirect(address(624,29))+indirect(address(622,30))-indirect(address(623,30))</f>
        <v>0</v>
      </c>
      <c r="AE624">
        <f>indirect(address(624,30))+indirect(address(622,31))-indirect(address(623,31))</f>
        <v>0</v>
      </c>
      <c r="AF624">
        <f>indirect(address(624,31))+indirect(address(622,32))-indirect(address(623,32))</f>
        <v>0</v>
      </c>
      <c r="AG624">
        <f>indirect(address(624,32))+indirect(address(622,33))-indirect(address(623,33))</f>
        <v>0</v>
      </c>
      <c r="AH624">
        <f>indirect(address(624,33))+indirect(address(622,34))-indirect(address(623,34))</f>
        <v>0</v>
      </c>
      <c r="AI624">
        <f>indirect(address(624,34))+indirect(address(622,35))-indirect(address(623,35))</f>
        <v>0</v>
      </c>
      <c r="AJ624">
        <f>indirect(address(624,35))+indirect(address(622,36))-indirect(address(623,36))</f>
        <v>0</v>
      </c>
      <c r="AK624">
        <f>indirect(address(624,36))+indirect(address(622,37))-indirect(address(623,37))</f>
        <v>0</v>
      </c>
      <c r="AL624">
        <f>indirect(address(624,37))+indirect(address(622,38))-indirect(address(623,38))</f>
        <v>0</v>
      </c>
      <c r="AM624">
        <f>indirect(address(624,38))+indirect(address(622,39))-indirect(address(623,39))</f>
        <v>0</v>
      </c>
      <c r="AN624">
        <f>indirect(address(624,39))+indirect(address(622,40))-indirect(address(623,40))</f>
        <v>0</v>
      </c>
      <c r="AO624">
        <f>indirect(address(624,40))+indirect(address(622,41))-indirect(address(623,41))</f>
        <v>0</v>
      </c>
    </row>
    <row r="625" spans="1:41">
      <c r="I625" t="s">
        <v>14</v>
      </c>
      <c r="AO625">
        <f>sum(j625:an625)</f>
        <v>0</v>
      </c>
    </row>
    <row r="626" spans="1:41">
      <c r="I626" t="s">
        <v>15</v>
      </c>
      <c r="J626">
        <f>sumif(Plan!B:B,"261-031500-053",Plan!j:j)</f>
        <v>0</v>
      </c>
      <c r="K626">
        <f>sumif(Plan!B:B,"261-031500-053",Plan!k:k)</f>
        <v>0</v>
      </c>
      <c r="L626">
        <f>sumif(Plan!B:B,"261-031500-053",Plan!l:l)</f>
        <v>0</v>
      </c>
      <c r="M626">
        <f>sumif(Plan!B:B,"261-031500-053",Plan!m:m)</f>
        <v>0</v>
      </c>
      <c r="N626">
        <f>sumif(Plan!B:B,"261-031500-053",Plan!n:n)</f>
        <v>0</v>
      </c>
      <c r="O626">
        <f>sumif(Plan!B:B,"261-031500-053",Plan!o:o)</f>
        <v>0</v>
      </c>
      <c r="P626">
        <f>sumif(Plan!B:B,"261-031500-053",Plan!p:p)</f>
        <v>0</v>
      </c>
      <c r="Q626">
        <f>sumif(Plan!B:B,"261-031500-053",Plan!q:q)</f>
        <v>0</v>
      </c>
      <c r="R626">
        <f>sumif(Plan!B:B,"261-031500-053",Plan!r:r)</f>
        <v>0</v>
      </c>
      <c r="S626">
        <f>sumif(Plan!B:B,"261-031500-053",Plan!s:s)</f>
        <v>0</v>
      </c>
      <c r="T626">
        <f>sumif(Plan!B:B,"261-031500-053",Plan!t:t)</f>
        <v>0</v>
      </c>
      <c r="U626">
        <f>sumif(Plan!B:B,"261-031500-053",Plan!u:u)</f>
        <v>0</v>
      </c>
      <c r="V626">
        <f>sumif(Plan!B:B,"261-031500-053",Plan!v:v)</f>
        <v>0</v>
      </c>
      <c r="W626">
        <f>sumif(Plan!B:B,"261-031500-053",Plan!w:w)</f>
        <v>0</v>
      </c>
      <c r="X626">
        <f>sumif(Plan!B:B,"261-031500-053",Plan!x:x)</f>
        <v>0</v>
      </c>
      <c r="Y626">
        <f>sumif(Plan!B:B,"261-031500-053",Plan!y:y)</f>
        <v>0</v>
      </c>
      <c r="Z626">
        <f>sumif(Plan!B:B,"261-031500-053",Plan!z:z)</f>
        <v>0</v>
      </c>
      <c r="AA626">
        <f>sumif(Plan!B:B,"261-031500-053",Plan!aa:aa)</f>
        <v>0</v>
      </c>
      <c r="AB626">
        <f>sumif(Plan!B:B,"261-031500-053",Plan!ab:ab)</f>
        <v>0</v>
      </c>
      <c r="AC626">
        <f>sumif(Plan!B:B,"261-031500-053",Plan!ac:ac)</f>
        <v>0</v>
      </c>
      <c r="AD626">
        <f>sumif(Plan!B:B,"261-031500-053",Plan!ad:ad)</f>
        <v>0</v>
      </c>
      <c r="AE626">
        <f>sumif(Plan!B:B,"261-031500-053",Plan!ae:ae)</f>
        <v>0</v>
      </c>
      <c r="AF626">
        <f>sumif(Plan!B:B,"261-031500-053",Plan!af:af)</f>
        <v>0</v>
      </c>
      <c r="AG626">
        <f>sumif(Plan!B:B,"261-031500-053",Plan!ag:ag)</f>
        <v>0</v>
      </c>
      <c r="AH626">
        <f>sumif(Plan!B:B,"261-031500-053",Plan!ah:ah)</f>
        <v>0</v>
      </c>
      <c r="AI626">
        <f>sumif(Plan!B:B,"261-031500-053",Plan!ai:ai)</f>
        <v>0</v>
      </c>
      <c r="AJ626">
        <f>sumif(Plan!B:B,"261-031500-053",Plan!aj:aj)</f>
        <v>0</v>
      </c>
      <c r="AK626">
        <f>sumif(Plan!B:B,"261-031500-053",Plan!ak:ak)</f>
        <v>0</v>
      </c>
      <c r="AL626">
        <f>sumif(Plan!B:B,"261-031500-053",Plan!al:al)</f>
        <v>0</v>
      </c>
      <c r="AM626">
        <f>sumif(Plan!B:B,"261-031500-053",Plan!am:am)</f>
        <v>0</v>
      </c>
      <c r="AN626">
        <f>sumif(Plan!B:B,"261-031500-053",Plan!an:an)</f>
        <v>0</v>
      </c>
      <c r="AO626">
        <f>sumif(Plan!B:B,"261-031500-053",Plan!ao:ao)</f>
        <v>0</v>
      </c>
    </row>
    <row r="627" spans="1:41">
      <c r="A627" t="s">
        <v>43</v>
      </c>
      <c r="B627" t="s">
        <v>393</v>
      </c>
      <c r="C627" t="s">
        <v>394</v>
      </c>
      <c r="E627">
        <v>1</v>
      </c>
      <c r="F627" t="s">
        <v>13</v>
      </c>
      <c r="H627" t="s">
        <v>16</v>
      </c>
      <c r="J627">
        <f>indirect(address(627,9))+indirect(address(625,10))-indirect(address(626,10))</f>
        <v>0</v>
      </c>
      <c r="K627">
        <f>indirect(address(627,10))+indirect(address(625,11))-indirect(address(626,11))</f>
        <v>0</v>
      </c>
      <c r="L627">
        <f>indirect(address(627,11))+indirect(address(625,12))-indirect(address(626,12))</f>
        <v>0</v>
      </c>
      <c r="M627">
        <f>indirect(address(627,12))+indirect(address(625,13))-indirect(address(626,13))</f>
        <v>0</v>
      </c>
      <c r="N627">
        <f>indirect(address(627,13))+indirect(address(625,14))-indirect(address(626,14))</f>
        <v>0</v>
      </c>
      <c r="O627">
        <f>indirect(address(627,14))+indirect(address(625,15))-indirect(address(626,15))</f>
        <v>0</v>
      </c>
      <c r="P627">
        <f>indirect(address(627,15))+indirect(address(625,16))-indirect(address(626,16))</f>
        <v>0</v>
      </c>
      <c r="Q627">
        <f>indirect(address(627,16))+indirect(address(625,17))-indirect(address(626,17))</f>
        <v>0</v>
      </c>
      <c r="R627">
        <f>indirect(address(627,17))+indirect(address(625,18))-indirect(address(626,18))</f>
        <v>0</v>
      </c>
      <c r="S627">
        <f>indirect(address(627,18))+indirect(address(625,19))-indirect(address(626,19))</f>
        <v>0</v>
      </c>
      <c r="T627">
        <f>indirect(address(627,19))+indirect(address(625,20))-indirect(address(626,20))</f>
        <v>0</v>
      </c>
      <c r="U627">
        <f>indirect(address(627,20))+indirect(address(625,21))-indirect(address(626,21))</f>
        <v>0</v>
      </c>
      <c r="V627">
        <f>indirect(address(627,21))+indirect(address(625,22))-indirect(address(626,22))</f>
        <v>0</v>
      </c>
      <c r="W627">
        <f>indirect(address(627,22))+indirect(address(625,23))-indirect(address(626,23))</f>
        <v>0</v>
      </c>
      <c r="X627">
        <f>indirect(address(627,23))+indirect(address(625,24))-indirect(address(626,24))</f>
        <v>0</v>
      </c>
      <c r="Y627">
        <f>indirect(address(627,24))+indirect(address(625,25))-indirect(address(626,25))</f>
        <v>0</v>
      </c>
      <c r="Z627">
        <f>indirect(address(627,25))+indirect(address(625,26))-indirect(address(626,26))</f>
        <v>0</v>
      </c>
      <c r="AA627">
        <f>indirect(address(627,26))+indirect(address(625,27))-indirect(address(626,27))</f>
        <v>0</v>
      </c>
      <c r="AB627">
        <f>indirect(address(627,27))+indirect(address(625,28))-indirect(address(626,28))</f>
        <v>0</v>
      </c>
      <c r="AC627">
        <f>indirect(address(627,28))+indirect(address(625,29))-indirect(address(626,29))</f>
        <v>0</v>
      </c>
      <c r="AD627">
        <f>indirect(address(627,29))+indirect(address(625,30))-indirect(address(626,30))</f>
        <v>0</v>
      </c>
      <c r="AE627">
        <f>indirect(address(627,30))+indirect(address(625,31))-indirect(address(626,31))</f>
        <v>0</v>
      </c>
      <c r="AF627">
        <f>indirect(address(627,31))+indirect(address(625,32))-indirect(address(626,32))</f>
        <v>0</v>
      </c>
      <c r="AG627">
        <f>indirect(address(627,32))+indirect(address(625,33))-indirect(address(626,33))</f>
        <v>0</v>
      </c>
      <c r="AH627">
        <f>indirect(address(627,33))+indirect(address(625,34))-indirect(address(626,34))</f>
        <v>0</v>
      </c>
      <c r="AI627">
        <f>indirect(address(627,34))+indirect(address(625,35))-indirect(address(626,35))</f>
        <v>0</v>
      </c>
      <c r="AJ627">
        <f>indirect(address(627,35))+indirect(address(625,36))-indirect(address(626,36))</f>
        <v>0</v>
      </c>
      <c r="AK627">
        <f>indirect(address(627,36))+indirect(address(625,37))-indirect(address(626,37))</f>
        <v>0</v>
      </c>
      <c r="AL627">
        <f>indirect(address(627,37))+indirect(address(625,38))-indirect(address(626,38))</f>
        <v>0</v>
      </c>
      <c r="AM627">
        <f>indirect(address(627,38))+indirect(address(625,39))-indirect(address(626,39))</f>
        <v>0</v>
      </c>
      <c r="AN627">
        <f>indirect(address(627,39))+indirect(address(625,40))-indirect(address(626,40))</f>
        <v>0</v>
      </c>
      <c r="AO627">
        <f>indirect(address(627,40))+indirect(address(625,41))-indirect(address(626,41))</f>
        <v>0</v>
      </c>
    </row>
    <row r="628" spans="1:41">
      <c r="I628" t="s">
        <v>14</v>
      </c>
      <c r="AO628">
        <f>sum(j628:an628)</f>
        <v>0</v>
      </c>
    </row>
    <row r="629" spans="1:41">
      <c r="I629" t="s">
        <v>15</v>
      </c>
      <c r="J629">
        <f>sumif(Plan!B:B,"261-031500-053",Plan!j:j)</f>
        <v>0</v>
      </c>
      <c r="K629">
        <f>sumif(Plan!B:B,"261-031500-053",Plan!k:k)</f>
        <v>0</v>
      </c>
      <c r="L629">
        <f>sumif(Plan!B:B,"261-031500-053",Plan!l:l)</f>
        <v>0</v>
      </c>
      <c r="M629">
        <f>sumif(Plan!B:B,"261-031500-053",Plan!m:m)</f>
        <v>0</v>
      </c>
      <c r="N629">
        <f>sumif(Plan!B:B,"261-031500-053",Plan!n:n)</f>
        <v>0</v>
      </c>
      <c r="O629">
        <f>sumif(Plan!B:B,"261-031500-053",Plan!o:o)</f>
        <v>0</v>
      </c>
      <c r="P629">
        <f>sumif(Plan!B:B,"261-031500-053",Plan!p:p)</f>
        <v>0</v>
      </c>
      <c r="Q629">
        <f>sumif(Plan!B:B,"261-031500-053",Plan!q:q)</f>
        <v>0</v>
      </c>
      <c r="R629">
        <f>sumif(Plan!B:B,"261-031500-053",Plan!r:r)</f>
        <v>0</v>
      </c>
      <c r="S629">
        <f>sumif(Plan!B:B,"261-031500-053",Plan!s:s)</f>
        <v>0</v>
      </c>
      <c r="T629">
        <f>sumif(Plan!B:B,"261-031500-053",Plan!t:t)</f>
        <v>0</v>
      </c>
      <c r="U629">
        <f>sumif(Plan!B:B,"261-031500-053",Plan!u:u)</f>
        <v>0</v>
      </c>
      <c r="V629">
        <f>sumif(Plan!B:B,"261-031500-053",Plan!v:v)</f>
        <v>0</v>
      </c>
      <c r="W629">
        <f>sumif(Plan!B:B,"261-031500-053",Plan!w:w)</f>
        <v>0</v>
      </c>
      <c r="X629">
        <f>sumif(Plan!B:B,"261-031500-053",Plan!x:x)</f>
        <v>0</v>
      </c>
      <c r="Y629">
        <f>sumif(Plan!B:B,"261-031500-053",Plan!y:y)</f>
        <v>0</v>
      </c>
      <c r="Z629">
        <f>sumif(Plan!B:B,"261-031500-053",Plan!z:z)</f>
        <v>0</v>
      </c>
      <c r="AA629">
        <f>sumif(Plan!B:B,"261-031500-053",Plan!aa:aa)</f>
        <v>0</v>
      </c>
      <c r="AB629">
        <f>sumif(Plan!B:B,"261-031500-053",Plan!ab:ab)</f>
        <v>0</v>
      </c>
      <c r="AC629">
        <f>sumif(Plan!B:B,"261-031500-053",Plan!ac:ac)</f>
        <v>0</v>
      </c>
      <c r="AD629">
        <f>sumif(Plan!B:B,"261-031500-053",Plan!ad:ad)</f>
        <v>0</v>
      </c>
      <c r="AE629">
        <f>sumif(Plan!B:B,"261-031500-053",Plan!ae:ae)</f>
        <v>0</v>
      </c>
      <c r="AF629">
        <f>sumif(Plan!B:B,"261-031500-053",Plan!af:af)</f>
        <v>0</v>
      </c>
      <c r="AG629">
        <f>sumif(Plan!B:B,"261-031500-053",Plan!ag:ag)</f>
        <v>0</v>
      </c>
      <c r="AH629">
        <f>sumif(Plan!B:B,"261-031500-053",Plan!ah:ah)</f>
        <v>0</v>
      </c>
      <c r="AI629">
        <f>sumif(Plan!B:B,"261-031500-053",Plan!ai:ai)</f>
        <v>0</v>
      </c>
      <c r="AJ629">
        <f>sumif(Plan!B:B,"261-031500-053",Plan!aj:aj)</f>
        <v>0</v>
      </c>
      <c r="AK629">
        <f>sumif(Plan!B:B,"261-031500-053",Plan!ak:ak)</f>
        <v>0</v>
      </c>
      <c r="AL629">
        <f>sumif(Plan!B:B,"261-031500-053",Plan!al:al)</f>
        <v>0</v>
      </c>
      <c r="AM629">
        <f>sumif(Plan!B:B,"261-031500-053",Plan!am:am)</f>
        <v>0</v>
      </c>
      <c r="AN629">
        <f>sumif(Plan!B:B,"261-031500-053",Plan!an:an)</f>
        <v>0</v>
      </c>
      <c r="AO629">
        <f>sumif(Plan!B:B,"261-031500-053",Plan!ao:ao)</f>
        <v>0</v>
      </c>
    </row>
    <row r="630" spans="1:41">
      <c r="A630" t="s">
        <v>41</v>
      </c>
      <c r="B630" t="s">
        <v>393</v>
      </c>
      <c r="C630" t="s">
        <v>394</v>
      </c>
      <c r="E630">
        <v>1</v>
      </c>
      <c r="F630" t="s">
        <v>13</v>
      </c>
      <c r="H630" t="s">
        <v>16</v>
      </c>
      <c r="J630">
        <f>indirect(address(630,9))+indirect(address(628,10))-indirect(address(629,10))</f>
        <v>0</v>
      </c>
      <c r="K630">
        <f>indirect(address(630,10))+indirect(address(628,11))-indirect(address(629,11))</f>
        <v>0</v>
      </c>
      <c r="L630">
        <f>indirect(address(630,11))+indirect(address(628,12))-indirect(address(629,12))</f>
        <v>0</v>
      </c>
      <c r="M630">
        <f>indirect(address(630,12))+indirect(address(628,13))-indirect(address(629,13))</f>
        <v>0</v>
      </c>
      <c r="N630">
        <f>indirect(address(630,13))+indirect(address(628,14))-indirect(address(629,14))</f>
        <v>0</v>
      </c>
      <c r="O630">
        <f>indirect(address(630,14))+indirect(address(628,15))-indirect(address(629,15))</f>
        <v>0</v>
      </c>
      <c r="P630">
        <f>indirect(address(630,15))+indirect(address(628,16))-indirect(address(629,16))</f>
        <v>0</v>
      </c>
      <c r="Q630">
        <f>indirect(address(630,16))+indirect(address(628,17))-indirect(address(629,17))</f>
        <v>0</v>
      </c>
      <c r="R630">
        <f>indirect(address(630,17))+indirect(address(628,18))-indirect(address(629,18))</f>
        <v>0</v>
      </c>
      <c r="S630">
        <f>indirect(address(630,18))+indirect(address(628,19))-indirect(address(629,19))</f>
        <v>0</v>
      </c>
      <c r="T630">
        <f>indirect(address(630,19))+indirect(address(628,20))-indirect(address(629,20))</f>
        <v>0</v>
      </c>
      <c r="U630">
        <f>indirect(address(630,20))+indirect(address(628,21))-indirect(address(629,21))</f>
        <v>0</v>
      </c>
      <c r="V630">
        <f>indirect(address(630,21))+indirect(address(628,22))-indirect(address(629,22))</f>
        <v>0</v>
      </c>
      <c r="W630">
        <f>indirect(address(630,22))+indirect(address(628,23))-indirect(address(629,23))</f>
        <v>0</v>
      </c>
      <c r="X630">
        <f>indirect(address(630,23))+indirect(address(628,24))-indirect(address(629,24))</f>
        <v>0</v>
      </c>
      <c r="Y630">
        <f>indirect(address(630,24))+indirect(address(628,25))-indirect(address(629,25))</f>
        <v>0</v>
      </c>
      <c r="Z630">
        <f>indirect(address(630,25))+indirect(address(628,26))-indirect(address(629,26))</f>
        <v>0</v>
      </c>
      <c r="AA630">
        <f>indirect(address(630,26))+indirect(address(628,27))-indirect(address(629,27))</f>
        <v>0</v>
      </c>
      <c r="AB630">
        <f>indirect(address(630,27))+indirect(address(628,28))-indirect(address(629,28))</f>
        <v>0</v>
      </c>
      <c r="AC630">
        <f>indirect(address(630,28))+indirect(address(628,29))-indirect(address(629,29))</f>
        <v>0</v>
      </c>
      <c r="AD630">
        <f>indirect(address(630,29))+indirect(address(628,30))-indirect(address(629,30))</f>
        <v>0</v>
      </c>
      <c r="AE630">
        <f>indirect(address(630,30))+indirect(address(628,31))-indirect(address(629,31))</f>
        <v>0</v>
      </c>
      <c r="AF630">
        <f>indirect(address(630,31))+indirect(address(628,32))-indirect(address(629,32))</f>
        <v>0</v>
      </c>
      <c r="AG630">
        <f>indirect(address(630,32))+indirect(address(628,33))-indirect(address(629,33))</f>
        <v>0</v>
      </c>
      <c r="AH630">
        <f>indirect(address(630,33))+indirect(address(628,34))-indirect(address(629,34))</f>
        <v>0</v>
      </c>
      <c r="AI630">
        <f>indirect(address(630,34))+indirect(address(628,35))-indirect(address(629,35))</f>
        <v>0</v>
      </c>
      <c r="AJ630">
        <f>indirect(address(630,35))+indirect(address(628,36))-indirect(address(629,36))</f>
        <v>0</v>
      </c>
      <c r="AK630">
        <f>indirect(address(630,36))+indirect(address(628,37))-indirect(address(629,37))</f>
        <v>0</v>
      </c>
      <c r="AL630">
        <f>indirect(address(630,37))+indirect(address(628,38))-indirect(address(629,38))</f>
        <v>0</v>
      </c>
      <c r="AM630">
        <f>indirect(address(630,38))+indirect(address(628,39))-indirect(address(629,39))</f>
        <v>0</v>
      </c>
      <c r="AN630">
        <f>indirect(address(630,39))+indirect(address(628,40))-indirect(address(629,40))</f>
        <v>0</v>
      </c>
      <c r="AO630">
        <f>indirect(address(630,40))+indirect(address(628,41))-indirect(address(629,41))</f>
        <v>0</v>
      </c>
    </row>
    <row r="631" spans="1:41">
      <c r="I631" t="s">
        <v>14</v>
      </c>
      <c r="AO631">
        <f>sum(j631:an631)</f>
        <v>0</v>
      </c>
    </row>
    <row r="632" spans="1:41">
      <c r="I632" t="s">
        <v>15</v>
      </c>
      <c r="J632">
        <f>sumif(Plan!B:B,"821-060000-100",Plan!j:j)</f>
        <v>0</v>
      </c>
      <c r="K632">
        <f>sumif(Plan!B:B,"821-060000-100",Plan!k:k)</f>
        <v>0</v>
      </c>
      <c r="L632">
        <f>sumif(Plan!B:B,"821-060000-100",Plan!l:l)</f>
        <v>0</v>
      </c>
      <c r="M632">
        <f>sumif(Plan!B:B,"821-060000-100",Plan!m:m)</f>
        <v>0</v>
      </c>
      <c r="N632">
        <f>sumif(Plan!B:B,"821-060000-100",Plan!n:n)</f>
        <v>0</v>
      </c>
      <c r="O632">
        <f>sumif(Plan!B:B,"821-060000-100",Plan!o:o)</f>
        <v>0</v>
      </c>
      <c r="P632">
        <f>sumif(Plan!B:B,"821-060000-100",Plan!p:p)</f>
        <v>0</v>
      </c>
      <c r="Q632">
        <f>sumif(Plan!B:B,"821-060000-100",Plan!q:q)</f>
        <v>0</v>
      </c>
      <c r="R632">
        <f>sumif(Plan!B:B,"821-060000-100",Plan!r:r)</f>
        <v>0</v>
      </c>
      <c r="S632">
        <f>sumif(Plan!B:B,"821-060000-100",Plan!s:s)</f>
        <v>0</v>
      </c>
      <c r="T632">
        <f>sumif(Plan!B:B,"821-060000-100",Plan!t:t)</f>
        <v>0</v>
      </c>
      <c r="U632">
        <f>sumif(Plan!B:B,"821-060000-100",Plan!u:u)</f>
        <v>0</v>
      </c>
      <c r="V632">
        <f>sumif(Plan!B:B,"821-060000-100",Plan!v:v)</f>
        <v>0</v>
      </c>
      <c r="W632">
        <f>sumif(Plan!B:B,"821-060000-100",Plan!w:w)</f>
        <v>0</v>
      </c>
      <c r="X632">
        <f>sumif(Plan!B:B,"821-060000-100",Plan!x:x)</f>
        <v>0</v>
      </c>
      <c r="Y632">
        <f>sumif(Plan!B:B,"821-060000-100",Plan!y:y)</f>
        <v>0</v>
      </c>
      <c r="Z632">
        <f>sumif(Plan!B:B,"821-060000-100",Plan!z:z)</f>
        <v>0</v>
      </c>
      <c r="AA632">
        <f>sumif(Plan!B:B,"821-060000-100",Plan!aa:aa)</f>
        <v>0</v>
      </c>
      <c r="AB632">
        <f>sumif(Plan!B:B,"821-060000-100",Plan!ab:ab)</f>
        <v>0</v>
      </c>
      <c r="AC632">
        <f>sumif(Plan!B:B,"821-060000-100",Plan!ac:ac)</f>
        <v>0</v>
      </c>
      <c r="AD632">
        <f>sumif(Plan!B:B,"821-060000-100",Plan!ad:ad)</f>
        <v>0</v>
      </c>
      <c r="AE632">
        <f>sumif(Plan!B:B,"821-060000-100",Plan!ae:ae)</f>
        <v>0</v>
      </c>
      <c r="AF632">
        <f>sumif(Plan!B:B,"821-060000-100",Plan!af:af)</f>
        <v>0</v>
      </c>
      <c r="AG632">
        <f>sumif(Plan!B:B,"821-060000-100",Plan!ag:ag)</f>
        <v>0</v>
      </c>
      <c r="AH632">
        <f>sumif(Plan!B:B,"821-060000-100",Plan!ah:ah)</f>
        <v>0</v>
      </c>
      <c r="AI632">
        <f>sumif(Plan!B:B,"821-060000-100",Plan!ai:ai)</f>
        <v>0</v>
      </c>
      <c r="AJ632">
        <f>sumif(Plan!B:B,"821-060000-100",Plan!aj:aj)</f>
        <v>0</v>
      </c>
      <c r="AK632">
        <f>sumif(Plan!B:B,"821-060000-100",Plan!ak:ak)</f>
        <v>0</v>
      </c>
      <c r="AL632">
        <f>sumif(Plan!B:B,"821-060000-100",Plan!al:al)</f>
        <v>0</v>
      </c>
      <c r="AM632">
        <f>sumif(Plan!B:B,"821-060000-100",Plan!am:am)</f>
        <v>0</v>
      </c>
      <c r="AN632">
        <f>sumif(Plan!B:B,"821-060000-100",Plan!an:an)</f>
        <v>0</v>
      </c>
      <c r="AO632">
        <f>sumif(Plan!B:B,"821-060000-100",Plan!ao:ao)</f>
        <v>0</v>
      </c>
    </row>
    <row r="633" spans="1:41">
      <c r="A633" t="s">
        <v>17</v>
      </c>
      <c r="B633" t="s">
        <v>396</v>
      </c>
      <c r="C633" t="s">
        <v>397</v>
      </c>
      <c r="E633">
        <v>1</v>
      </c>
      <c r="F633" t="s">
        <v>13</v>
      </c>
      <c r="H633" t="s">
        <v>16</v>
      </c>
      <c r="J633">
        <f>indirect(address(633,9))+indirect(address(631,10))-indirect(address(632,10))</f>
        <v>0</v>
      </c>
      <c r="K633">
        <f>indirect(address(633,10))+indirect(address(631,11))-indirect(address(632,11))</f>
        <v>0</v>
      </c>
      <c r="L633">
        <f>indirect(address(633,11))+indirect(address(631,12))-indirect(address(632,12))</f>
        <v>0</v>
      </c>
      <c r="M633">
        <f>indirect(address(633,12))+indirect(address(631,13))-indirect(address(632,13))</f>
        <v>0</v>
      </c>
      <c r="N633">
        <f>indirect(address(633,13))+indirect(address(631,14))-indirect(address(632,14))</f>
        <v>0</v>
      </c>
      <c r="O633">
        <f>indirect(address(633,14))+indirect(address(631,15))-indirect(address(632,15))</f>
        <v>0</v>
      </c>
      <c r="P633">
        <f>indirect(address(633,15))+indirect(address(631,16))-indirect(address(632,16))</f>
        <v>0</v>
      </c>
      <c r="Q633">
        <f>indirect(address(633,16))+indirect(address(631,17))-indirect(address(632,17))</f>
        <v>0</v>
      </c>
      <c r="R633">
        <f>indirect(address(633,17))+indirect(address(631,18))-indirect(address(632,18))</f>
        <v>0</v>
      </c>
      <c r="S633">
        <f>indirect(address(633,18))+indirect(address(631,19))-indirect(address(632,19))</f>
        <v>0</v>
      </c>
      <c r="T633">
        <f>indirect(address(633,19))+indirect(address(631,20))-indirect(address(632,20))</f>
        <v>0</v>
      </c>
      <c r="U633">
        <f>indirect(address(633,20))+indirect(address(631,21))-indirect(address(632,21))</f>
        <v>0</v>
      </c>
      <c r="V633">
        <f>indirect(address(633,21))+indirect(address(631,22))-indirect(address(632,22))</f>
        <v>0</v>
      </c>
      <c r="W633">
        <f>indirect(address(633,22))+indirect(address(631,23))-indirect(address(632,23))</f>
        <v>0</v>
      </c>
      <c r="X633">
        <f>indirect(address(633,23))+indirect(address(631,24))-indirect(address(632,24))</f>
        <v>0</v>
      </c>
      <c r="Y633">
        <f>indirect(address(633,24))+indirect(address(631,25))-indirect(address(632,25))</f>
        <v>0</v>
      </c>
      <c r="Z633">
        <f>indirect(address(633,25))+indirect(address(631,26))-indirect(address(632,26))</f>
        <v>0</v>
      </c>
      <c r="AA633">
        <f>indirect(address(633,26))+indirect(address(631,27))-indirect(address(632,27))</f>
        <v>0</v>
      </c>
      <c r="AB633">
        <f>indirect(address(633,27))+indirect(address(631,28))-indirect(address(632,28))</f>
        <v>0</v>
      </c>
      <c r="AC633">
        <f>indirect(address(633,28))+indirect(address(631,29))-indirect(address(632,29))</f>
        <v>0</v>
      </c>
      <c r="AD633">
        <f>indirect(address(633,29))+indirect(address(631,30))-indirect(address(632,30))</f>
        <v>0</v>
      </c>
      <c r="AE633">
        <f>indirect(address(633,30))+indirect(address(631,31))-indirect(address(632,31))</f>
        <v>0</v>
      </c>
      <c r="AF633">
        <f>indirect(address(633,31))+indirect(address(631,32))-indirect(address(632,32))</f>
        <v>0</v>
      </c>
      <c r="AG633">
        <f>indirect(address(633,32))+indirect(address(631,33))-indirect(address(632,33))</f>
        <v>0</v>
      </c>
      <c r="AH633">
        <f>indirect(address(633,33))+indirect(address(631,34))-indirect(address(632,34))</f>
        <v>0</v>
      </c>
      <c r="AI633">
        <f>indirect(address(633,34))+indirect(address(631,35))-indirect(address(632,35))</f>
        <v>0</v>
      </c>
      <c r="AJ633">
        <f>indirect(address(633,35))+indirect(address(631,36))-indirect(address(632,36))</f>
        <v>0</v>
      </c>
      <c r="AK633">
        <f>indirect(address(633,36))+indirect(address(631,37))-indirect(address(632,37))</f>
        <v>0</v>
      </c>
      <c r="AL633">
        <f>indirect(address(633,37))+indirect(address(631,38))-indirect(address(632,38))</f>
        <v>0</v>
      </c>
      <c r="AM633">
        <f>indirect(address(633,38))+indirect(address(631,39))-indirect(address(632,39))</f>
        <v>0</v>
      </c>
      <c r="AN633">
        <f>indirect(address(633,39))+indirect(address(631,40))-indirect(address(632,40))</f>
        <v>0</v>
      </c>
      <c r="AO633">
        <f>indirect(address(633,40))+indirect(address(631,41))-indirect(address(632,41))</f>
        <v>0</v>
      </c>
    </row>
    <row r="634" spans="1:41">
      <c r="I634" t="s">
        <v>14</v>
      </c>
      <c r="AO634">
        <f>sum(j634:an634)</f>
        <v>0</v>
      </c>
    </row>
    <row r="635" spans="1:41">
      <c r="I635" t="s">
        <v>15</v>
      </c>
      <c r="J635">
        <f>sumif(Plan!B:B,"261-026500-805",Plan!j:j)</f>
        <v>0</v>
      </c>
      <c r="K635">
        <f>sumif(Plan!B:B,"261-026500-805",Plan!k:k)</f>
        <v>0</v>
      </c>
      <c r="L635">
        <f>sumif(Plan!B:B,"261-026500-805",Plan!l:l)</f>
        <v>0</v>
      </c>
      <c r="M635">
        <f>sumif(Plan!B:B,"261-026500-805",Plan!m:m)</f>
        <v>0</v>
      </c>
      <c r="N635">
        <f>sumif(Plan!B:B,"261-026500-805",Plan!n:n)</f>
        <v>0</v>
      </c>
      <c r="O635">
        <f>sumif(Plan!B:B,"261-026500-805",Plan!o:o)</f>
        <v>0</v>
      </c>
      <c r="P635">
        <f>sumif(Plan!B:B,"261-026500-805",Plan!p:p)</f>
        <v>0</v>
      </c>
      <c r="Q635">
        <f>sumif(Plan!B:B,"261-026500-805",Plan!q:q)</f>
        <v>0</v>
      </c>
      <c r="R635">
        <f>sumif(Plan!B:B,"261-026500-805",Plan!r:r)</f>
        <v>0</v>
      </c>
      <c r="S635">
        <f>sumif(Plan!B:B,"261-026500-805",Plan!s:s)</f>
        <v>0</v>
      </c>
      <c r="T635">
        <f>sumif(Plan!B:B,"261-026500-805",Plan!t:t)</f>
        <v>0</v>
      </c>
      <c r="U635">
        <f>sumif(Plan!B:B,"261-026500-805",Plan!u:u)</f>
        <v>0</v>
      </c>
      <c r="V635">
        <f>sumif(Plan!B:B,"261-026500-805",Plan!v:v)</f>
        <v>0</v>
      </c>
      <c r="W635">
        <f>sumif(Plan!B:B,"261-026500-805",Plan!w:w)</f>
        <v>0</v>
      </c>
      <c r="X635">
        <f>sumif(Plan!B:B,"261-026500-805",Plan!x:x)</f>
        <v>0</v>
      </c>
      <c r="Y635">
        <f>sumif(Plan!B:B,"261-026500-805",Plan!y:y)</f>
        <v>0</v>
      </c>
      <c r="Z635">
        <f>sumif(Plan!B:B,"261-026500-805",Plan!z:z)</f>
        <v>0</v>
      </c>
      <c r="AA635">
        <f>sumif(Plan!B:B,"261-026500-805",Plan!aa:aa)</f>
        <v>0</v>
      </c>
      <c r="AB635">
        <f>sumif(Plan!B:B,"261-026500-805",Plan!ab:ab)</f>
        <v>0</v>
      </c>
      <c r="AC635">
        <f>sumif(Plan!B:B,"261-026500-805",Plan!ac:ac)</f>
        <v>0</v>
      </c>
      <c r="AD635">
        <f>sumif(Plan!B:B,"261-026500-805",Plan!ad:ad)</f>
        <v>0</v>
      </c>
      <c r="AE635">
        <f>sumif(Plan!B:B,"261-026500-805",Plan!ae:ae)</f>
        <v>0</v>
      </c>
      <c r="AF635">
        <f>sumif(Plan!B:B,"261-026500-805",Plan!af:af)</f>
        <v>0</v>
      </c>
      <c r="AG635">
        <f>sumif(Plan!B:B,"261-026500-805",Plan!ag:ag)</f>
        <v>0</v>
      </c>
      <c r="AH635">
        <f>sumif(Plan!B:B,"261-026500-805",Plan!ah:ah)</f>
        <v>0</v>
      </c>
      <c r="AI635">
        <f>sumif(Plan!B:B,"261-026500-805",Plan!ai:ai)</f>
        <v>0</v>
      </c>
      <c r="AJ635">
        <f>sumif(Plan!B:B,"261-026500-805",Plan!aj:aj)</f>
        <v>0</v>
      </c>
      <c r="AK635">
        <f>sumif(Plan!B:B,"261-026500-805",Plan!ak:ak)</f>
        <v>0</v>
      </c>
      <c r="AL635">
        <f>sumif(Plan!B:B,"261-026500-805",Plan!al:al)</f>
        <v>0</v>
      </c>
      <c r="AM635">
        <f>sumif(Plan!B:B,"261-026500-805",Plan!am:am)</f>
        <v>0</v>
      </c>
      <c r="AN635">
        <f>sumif(Plan!B:B,"261-026500-805",Plan!an:an)</f>
        <v>0</v>
      </c>
      <c r="AO635">
        <f>sumif(Plan!B:B,"261-026500-805",Plan!ao:ao)</f>
        <v>0</v>
      </c>
    </row>
    <row r="636" spans="1:41">
      <c r="A636" t="s">
        <v>41</v>
      </c>
      <c r="B636" t="s">
        <v>357</v>
      </c>
      <c r="C636" t="s">
        <v>358</v>
      </c>
      <c r="E636">
        <v>1</v>
      </c>
      <c r="F636" t="s">
        <v>13</v>
      </c>
      <c r="H636" t="s">
        <v>16</v>
      </c>
      <c r="J636">
        <f>indirect(address(636,9))+indirect(address(634,10))-indirect(address(635,10))</f>
        <v>0</v>
      </c>
      <c r="K636">
        <f>indirect(address(636,10))+indirect(address(634,11))-indirect(address(635,11))</f>
        <v>0</v>
      </c>
      <c r="L636">
        <f>indirect(address(636,11))+indirect(address(634,12))-indirect(address(635,12))</f>
        <v>0</v>
      </c>
      <c r="M636">
        <f>indirect(address(636,12))+indirect(address(634,13))-indirect(address(635,13))</f>
        <v>0</v>
      </c>
      <c r="N636">
        <f>indirect(address(636,13))+indirect(address(634,14))-indirect(address(635,14))</f>
        <v>0</v>
      </c>
      <c r="O636">
        <f>indirect(address(636,14))+indirect(address(634,15))-indirect(address(635,15))</f>
        <v>0</v>
      </c>
      <c r="P636">
        <f>indirect(address(636,15))+indirect(address(634,16))-indirect(address(635,16))</f>
        <v>0</v>
      </c>
      <c r="Q636">
        <f>indirect(address(636,16))+indirect(address(634,17))-indirect(address(635,17))</f>
        <v>0</v>
      </c>
      <c r="R636">
        <f>indirect(address(636,17))+indirect(address(634,18))-indirect(address(635,18))</f>
        <v>0</v>
      </c>
      <c r="S636">
        <f>indirect(address(636,18))+indirect(address(634,19))-indirect(address(635,19))</f>
        <v>0</v>
      </c>
      <c r="T636">
        <f>indirect(address(636,19))+indirect(address(634,20))-indirect(address(635,20))</f>
        <v>0</v>
      </c>
      <c r="U636">
        <f>indirect(address(636,20))+indirect(address(634,21))-indirect(address(635,21))</f>
        <v>0</v>
      </c>
      <c r="V636">
        <f>indirect(address(636,21))+indirect(address(634,22))-indirect(address(635,22))</f>
        <v>0</v>
      </c>
      <c r="W636">
        <f>indirect(address(636,22))+indirect(address(634,23))-indirect(address(635,23))</f>
        <v>0</v>
      </c>
      <c r="X636">
        <f>indirect(address(636,23))+indirect(address(634,24))-indirect(address(635,24))</f>
        <v>0</v>
      </c>
      <c r="Y636">
        <f>indirect(address(636,24))+indirect(address(634,25))-indirect(address(635,25))</f>
        <v>0</v>
      </c>
      <c r="Z636">
        <f>indirect(address(636,25))+indirect(address(634,26))-indirect(address(635,26))</f>
        <v>0</v>
      </c>
      <c r="AA636">
        <f>indirect(address(636,26))+indirect(address(634,27))-indirect(address(635,27))</f>
        <v>0</v>
      </c>
      <c r="AB636">
        <f>indirect(address(636,27))+indirect(address(634,28))-indirect(address(635,28))</f>
        <v>0</v>
      </c>
      <c r="AC636">
        <f>indirect(address(636,28))+indirect(address(634,29))-indirect(address(635,29))</f>
        <v>0</v>
      </c>
      <c r="AD636">
        <f>indirect(address(636,29))+indirect(address(634,30))-indirect(address(635,30))</f>
        <v>0</v>
      </c>
      <c r="AE636">
        <f>indirect(address(636,30))+indirect(address(634,31))-indirect(address(635,31))</f>
        <v>0</v>
      </c>
      <c r="AF636">
        <f>indirect(address(636,31))+indirect(address(634,32))-indirect(address(635,32))</f>
        <v>0</v>
      </c>
      <c r="AG636">
        <f>indirect(address(636,32))+indirect(address(634,33))-indirect(address(635,33))</f>
        <v>0</v>
      </c>
      <c r="AH636">
        <f>indirect(address(636,33))+indirect(address(634,34))-indirect(address(635,34))</f>
        <v>0</v>
      </c>
      <c r="AI636">
        <f>indirect(address(636,34))+indirect(address(634,35))-indirect(address(635,35))</f>
        <v>0</v>
      </c>
      <c r="AJ636">
        <f>indirect(address(636,35))+indirect(address(634,36))-indirect(address(635,36))</f>
        <v>0</v>
      </c>
      <c r="AK636">
        <f>indirect(address(636,36))+indirect(address(634,37))-indirect(address(635,37))</f>
        <v>0</v>
      </c>
      <c r="AL636">
        <f>indirect(address(636,37))+indirect(address(634,38))-indirect(address(635,38))</f>
        <v>0</v>
      </c>
      <c r="AM636">
        <f>indirect(address(636,38))+indirect(address(634,39))-indirect(address(635,39))</f>
        <v>0</v>
      </c>
      <c r="AN636">
        <f>indirect(address(636,39))+indirect(address(634,40))-indirect(address(635,40))</f>
        <v>0</v>
      </c>
      <c r="AO636">
        <f>indirect(address(636,40))+indirect(address(634,41))-indirect(address(635,41))</f>
        <v>0</v>
      </c>
    </row>
    <row r="637" spans="1:41">
      <c r="I637" t="s">
        <v>14</v>
      </c>
      <c r="AO637">
        <f>sum(j637:an637)</f>
        <v>0</v>
      </c>
    </row>
    <row r="638" spans="1:41">
      <c r="I638" t="s">
        <v>15</v>
      </c>
      <c r="J638">
        <f>sumif(Plan!B:B,"261-026500-805",Plan!j:j)</f>
        <v>0</v>
      </c>
      <c r="K638">
        <f>sumif(Plan!B:B,"261-026500-805",Plan!k:k)</f>
        <v>0</v>
      </c>
      <c r="L638">
        <f>sumif(Plan!B:B,"261-026500-805",Plan!l:l)</f>
        <v>0</v>
      </c>
      <c r="M638">
        <f>sumif(Plan!B:B,"261-026500-805",Plan!m:m)</f>
        <v>0</v>
      </c>
      <c r="N638">
        <f>sumif(Plan!B:B,"261-026500-805",Plan!n:n)</f>
        <v>0</v>
      </c>
      <c r="O638">
        <f>sumif(Plan!B:B,"261-026500-805",Plan!o:o)</f>
        <v>0</v>
      </c>
      <c r="P638">
        <f>sumif(Plan!B:B,"261-026500-805",Plan!p:p)</f>
        <v>0</v>
      </c>
      <c r="Q638">
        <f>sumif(Plan!B:B,"261-026500-805",Plan!q:q)</f>
        <v>0</v>
      </c>
      <c r="R638">
        <f>sumif(Plan!B:B,"261-026500-805",Plan!r:r)</f>
        <v>0</v>
      </c>
      <c r="S638">
        <f>sumif(Plan!B:B,"261-026500-805",Plan!s:s)</f>
        <v>0</v>
      </c>
      <c r="T638">
        <f>sumif(Plan!B:B,"261-026500-805",Plan!t:t)</f>
        <v>0</v>
      </c>
      <c r="U638">
        <f>sumif(Plan!B:B,"261-026500-805",Plan!u:u)</f>
        <v>0</v>
      </c>
      <c r="V638">
        <f>sumif(Plan!B:B,"261-026500-805",Plan!v:v)</f>
        <v>0</v>
      </c>
      <c r="W638">
        <f>sumif(Plan!B:B,"261-026500-805",Plan!w:w)</f>
        <v>0</v>
      </c>
      <c r="X638">
        <f>sumif(Plan!B:B,"261-026500-805",Plan!x:x)</f>
        <v>0</v>
      </c>
      <c r="Y638">
        <f>sumif(Plan!B:B,"261-026500-805",Plan!y:y)</f>
        <v>0</v>
      </c>
      <c r="Z638">
        <f>sumif(Plan!B:B,"261-026500-805",Plan!z:z)</f>
        <v>0</v>
      </c>
      <c r="AA638">
        <f>sumif(Plan!B:B,"261-026500-805",Plan!aa:aa)</f>
        <v>0</v>
      </c>
      <c r="AB638">
        <f>sumif(Plan!B:B,"261-026500-805",Plan!ab:ab)</f>
        <v>0</v>
      </c>
      <c r="AC638">
        <f>sumif(Plan!B:B,"261-026500-805",Plan!ac:ac)</f>
        <v>0</v>
      </c>
      <c r="AD638">
        <f>sumif(Plan!B:B,"261-026500-805",Plan!ad:ad)</f>
        <v>0</v>
      </c>
      <c r="AE638">
        <f>sumif(Plan!B:B,"261-026500-805",Plan!ae:ae)</f>
        <v>0</v>
      </c>
      <c r="AF638">
        <f>sumif(Plan!B:B,"261-026500-805",Plan!af:af)</f>
        <v>0</v>
      </c>
      <c r="AG638">
        <f>sumif(Plan!B:B,"261-026500-805",Plan!ag:ag)</f>
        <v>0</v>
      </c>
      <c r="AH638">
        <f>sumif(Plan!B:B,"261-026500-805",Plan!ah:ah)</f>
        <v>0</v>
      </c>
      <c r="AI638">
        <f>sumif(Plan!B:B,"261-026500-805",Plan!ai:ai)</f>
        <v>0</v>
      </c>
      <c r="AJ638">
        <f>sumif(Plan!B:B,"261-026500-805",Plan!aj:aj)</f>
        <v>0</v>
      </c>
      <c r="AK638">
        <f>sumif(Plan!B:B,"261-026500-805",Plan!ak:ak)</f>
        <v>0</v>
      </c>
      <c r="AL638">
        <f>sumif(Plan!B:B,"261-026500-805",Plan!al:al)</f>
        <v>0</v>
      </c>
      <c r="AM638">
        <f>sumif(Plan!B:B,"261-026500-805",Plan!am:am)</f>
        <v>0</v>
      </c>
      <c r="AN638">
        <f>sumif(Plan!B:B,"261-026500-805",Plan!an:an)</f>
        <v>0</v>
      </c>
      <c r="AO638">
        <f>sumif(Plan!B:B,"261-026500-805",Plan!ao:ao)</f>
        <v>0</v>
      </c>
    </row>
    <row r="639" spans="1:41">
      <c r="A639" t="s">
        <v>43</v>
      </c>
      <c r="B639" t="s">
        <v>357</v>
      </c>
      <c r="C639" t="s">
        <v>358</v>
      </c>
      <c r="E639">
        <v>1</v>
      </c>
      <c r="F639" t="s">
        <v>13</v>
      </c>
      <c r="H639" t="s">
        <v>16</v>
      </c>
      <c r="J639">
        <f>indirect(address(639,9))+indirect(address(637,10))-indirect(address(638,10))</f>
        <v>0</v>
      </c>
      <c r="K639">
        <f>indirect(address(639,10))+indirect(address(637,11))-indirect(address(638,11))</f>
        <v>0</v>
      </c>
      <c r="L639">
        <f>indirect(address(639,11))+indirect(address(637,12))-indirect(address(638,12))</f>
        <v>0</v>
      </c>
      <c r="M639">
        <f>indirect(address(639,12))+indirect(address(637,13))-indirect(address(638,13))</f>
        <v>0</v>
      </c>
      <c r="N639">
        <f>indirect(address(639,13))+indirect(address(637,14))-indirect(address(638,14))</f>
        <v>0</v>
      </c>
      <c r="O639">
        <f>indirect(address(639,14))+indirect(address(637,15))-indirect(address(638,15))</f>
        <v>0</v>
      </c>
      <c r="P639">
        <f>indirect(address(639,15))+indirect(address(637,16))-indirect(address(638,16))</f>
        <v>0</v>
      </c>
      <c r="Q639">
        <f>indirect(address(639,16))+indirect(address(637,17))-indirect(address(638,17))</f>
        <v>0</v>
      </c>
      <c r="R639">
        <f>indirect(address(639,17))+indirect(address(637,18))-indirect(address(638,18))</f>
        <v>0</v>
      </c>
      <c r="S639">
        <f>indirect(address(639,18))+indirect(address(637,19))-indirect(address(638,19))</f>
        <v>0</v>
      </c>
      <c r="T639">
        <f>indirect(address(639,19))+indirect(address(637,20))-indirect(address(638,20))</f>
        <v>0</v>
      </c>
      <c r="U639">
        <f>indirect(address(639,20))+indirect(address(637,21))-indirect(address(638,21))</f>
        <v>0</v>
      </c>
      <c r="V639">
        <f>indirect(address(639,21))+indirect(address(637,22))-indirect(address(638,22))</f>
        <v>0</v>
      </c>
      <c r="W639">
        <f>indirect(address(639,22))+indirect(address(637,23))-indirect(address(638,23))</f>
        <v>0</v>
      </c>
      <c r="X639">
        <f>indirect(address(639,23))+indirect(address(637,24))-indirect(address(638,24))</f>
        <v>0</v>
      </c>
      <c r="Y639">
        <f>indirect(address(639,24))+indirect(address(637,25))-indirect(address(638,25))</f>
        <v>0</v>
      </c>
      <c r="Z639">
        <f>indirect(address(639,25))+indirect(address(637,26))-indirect(address(638,26))</f>
        <v>0</v>
      </c>
      <c r="AA639">
        <f>indirect(address(639,26))+indirect(address(637,27))-indirect(address(638,27))</f>
        <v>0</v>
      </c>
      <c r="AB639">
        <f>indirect(address(639,27))+indirect(address(637,28))-indirect(address(638,28))</f>
        <v>0</v>
      </c>
      <c r="AC639">
        <f>indirect(address(639,28))+indirect(address(637,29))-indirect(address(638,29))</f>
        <v>0</v>
      </c>
      <c r="AD639">
        <f>indirect(address(639,29))+indirect(address(637,30))-indirect(address(638,30))</f>
        <v>0</v>
      </c>
      <c r="AE639">
        <f>indirect(address(639,30))+indirect(address(637,31))-indirect(address(638,31))</f>
        <v>0</v>
      </c>
      <c r="AF639">
        <f>indirect(address(639,31))+indirect(address(637,32))-indirect(address(638,32))</f>
        <v>0</v>
      </c>
      <c r="AG639">
        <f>indirect(address(639,32))+indirect(address(637,33))-indirect(address(638,33))</f>
        <v>0</v>
      </c>
      <c r="AH639">
        <f>indirect(address(639,33))+indirect(address(637,34))-indirect(address(638,34))</f>
        <v>0</v>
      </c>
      <c r="AI639">
        <f>indirect(address(639,34))+indirect(address(637,35))-indirect(address(638,35))</f>
        <v>0</v>
      </c>
      <c r="AJ639">
        <f>indirect(address(639,35))+indirect(address(637,36))-indirect(address(638,36))</f>
        <v>0</v>
      </c>
      <c r="AK639">
        <f>indirect(address(639,36))+indirect(address(637,37))-indirect(address(638,37))</f>
        <v>0</v>
      </c>
      <c r="AL639">
        <f>indirect(address(639,37))+indirect(address(637,38))-indirect(address(638,38))</f>
        <v>0</v>
      </c>
      <c r="AM639">
        <f>indirect(address(639,38))+indirect(address(637,39))-indirect(address(638,39))</f>
        <v>0</v>
      </c>
      <c r="AN639">
        <f>indirect(address(639,39))+indirect(address(637,40))-indirect(address(638,40))</f>
        <v>0</v>
      </c>
      <c r="AO639">
        <f>indirect(address(639,40))+indirect(address(637,41))-indirect(address(638,41))</f>
        <v>0</v>
      </c>
    </row>
    <row r="640" spans="1:41">
      <c r="I640" t="s">
        <v>14</v>
      </c>
      <c r="AO640">
        <f>sum(j640:an640)</f>
        <v>0</v>
      </c>
    </row>
    <row r="641" spans="1:41">
      <c r="I641" t="s">
        <v>15</v>
      </c>
      <c r="J641">
        <f>sumif(Plan!B:B,"821-059000-100",Plan!j:j)</f>
        <v>0</v>
      </c>
      <c r="K641">
        <f>sumif(Plan!B:B,"821-059000-100",Plan!k:k)</f>
        <v>0</v>
      </c>
      <c r="L641">
        <f>sumif(Plan!B:B,"821-059000-100",Plan!l:l)</f>
        <v>0</v>
      </c>
      <c r="M641">
        <f>sumif(Plan!B:B,"821-059000-100",Plan!m:m)</f>
        <v>0</v>
      </c>
      <c r="N641">
        <f>sumif(Plan!B:B,"821-059000-100",Plan!n:n)</f>
        <v>0</v>
      </c>
      <c r="O641">
        <f>sumif(Plan!B:B,"821-059000-100",Plan!o:o)</f>
        <v>0</v>
      </c>
      <c r="P641">
        <f>sumif(Plan!B:B,"821-059000-100",Plan!p:p)</f>
        <v>0</v>
      </c>
      <c r="Q641">
        <f>sumif(Plan!B:B,"821-059000-100",Plan!q:q)</f>
        <v>0</v>
      </c>
      <c r="R641">
        <f>sumif(Plan!B:B,"821-059000-100",Plan!r:r)</f>
        <v>0</v>
      </c>
      <c r="S641">
        <f>sumif(Plan!B:B,"821-059000-100",Plan!s:s)</f>
        <v>0</v>
      </c>
      <c r="T641">
        <f>sumif(Plan!B:B,"821-059000-100",Plan!t:t)</f>
        <v>0</v>
      </c>
      <c r="U641">
        <f>sumif(Plan!B:B,"821-059000-100",Plan!u:u)</f>
        <v>0</v>
      </c>
      <c r="V641">
        <f>sumif(Plan!B:B,"821-059000-100",Plan!v:v)</f>
        <v>0</v>
      </c>
      <c r="W641">
        <f>sumif(Plan!B:B,"821-059000-100",Plan!w:w)</f>
        <v>0</v>
      </c>
      <c r="X641">
        <f>sumif(Plan!B:B,"821-059000-100",Plan!x:x)</f>
        <v>0</v>
      </c>
      <c r="Y641">
        <f>sumif(Plan!B:B,"821-059000-100",Plan!y:y)</f>
        <v>0</v>
      </c>
      <c r="Z641">
        <f>sumif(Plan!B:B,"821-059000-100",Plan!z:z)</f>
        <v>0</v>
      </c>
      <c r="AA641">
        <f>sumif(Plan!B:B,"821-059000-100",Plan!aa:aa)</f>
        <v>0</v>
      </c>
      <c r="AB641">
        <f>sumif(Plan!B:B,"821-059000-100",Plan!ab:ab)</f>
        <v>0</v>
      </c>
      <c r="AC641">
        <f>sumif(Plan!B:B,"821-059000-100",Plan!ac:ac)</f>
        <v>0</v>
      </c>
      <c r="AD641">
        <f>sumif(Plan!B:B,"821-059000-100",Plan!ad:ad)</f>
        <v>0</v>
      </c>
      <c r="AE641">
        <f>sumif(Plan!B:B,"821-059000-100",Plan!ae:ae)</f>
        <v>0</v>
      </c>
      <c r="AF641">
        <f>sumif(Plan!B:B,"821-059000-100",Plan!af:af)</f>
        <v>0</v>
      </c>
      <c r="AG641">
        <f>sumif(Plan!B:B,"821-059000-100",Plan!ag:ag)</f>
        <v>0</v>
      </c>
      <c r="AH641">
        <f>sumif(Plan!B:B,"821-059000-100",Plan!ah:ah)</f>
        <v>0</v>
      </c>
      <c r="AI641">
        <f>sumif(Plan!B:B,"821-059000-100",Plan!ai:ai)</f>
        <v>0</v>
      </c>
      <c r="AJ641">
        <f>sumif(Plan!B:B,"821-059000-100",Plan!aj:aj)</f>
        <v>0</v>
      </c>
      <c r="AK641">
        <f>sumif(Plan!B:B,"821-059000-100",Plan!ak:ak)</f>
        <v>0</v>
      </c>
      <c r="AL641">
        <f>sumif(Plan!B:B,"821-059000-100",Plan!al:al)</f>
        <v>0</v>
      </c>
      <c r="AM641">
        <f>sumif(Plan!B:B,"821-059000-100",Plan!am:am)</f>
        <v>0</v>
      </c>
      <c r="AN641">
        <f>sumif(Plan!B:B,"821-059000-100",Plan!an:an)</f>
        <v>0</v>
      </c>
      <c r="AO641">
        <f>sumif(Plan!B:B,"821-059000-100",Plan!ao:ao)</f>
        <v>0</v>
      </c>
    </row>
    <row r="642" spans="1:41">
      <c r="A642" t="s">
        <v>17</v>
      </c>
      <c r="B642" t="s">
        <v>399</v>
      </c>
      <c r="C642" t="s">
        <v>400</v>
      </c>
      <c r="E642">
        <v>1</v>
      </c>
      <c r="F642" t="s">
        <v>13</v>
      </c>
      <c r="H642" t="s">
        <v>16</v>
      </c>
      <c r="J642">
        <f>indirect(address(642,9))+indirect(address(640,10))-indirect(address(641,10))</f>
        <v>0</v>
      </c>
      <c r="K642">
        <f>indirect(address(642,10))+indirect(address(640,11))-indirect(address(641,11))</f>
        <v>0</v>
      </c>
      <c r="L642">
        <f>indirect(address(642,11))+indirect(address(640,12))-indirect(address(641,12))</f>
        <v>0</v>
      </c>
      <c r="M642">
        <f>indirect(address(642,12))+indirect(address(640,13))-indirect(address(641,13))</f>
        <v>0</v>
      </c>
      <c r="N642">
        <f>indirect(address(642,13))+indirect(address(640,14))-indirect(address(641,14))</f>
        <v>0</v>
      </c>
      <c r="O642">
        <f>indirect(address(642,14))+indirect(address(640,15))-indirect(address(641,15))</f>
        <v>0</v>
      </c>
      <c r="P642">
        <f>indirect(address(642,15))+indirect(address(640,16))-indirect(address(641,16))</f>
        <v>0</v>
      </c>
      <c r="Q642">
        <f>indirect(address(642,16))+indirect(address(640,17))-indirect(address(641,17))</f>
        <v>0</v>
      </c>
      <c r="R642">
        <f>indirect(address(642,17))+indirect(address(640,18))-indirect(address(641,18))</f>
        <v>0</v>
      </c>
      <c r="S642">
        <f>indirect(address(642,18))+indirect(address(640,19))-indirect(address(641,19))</f>
        <v>0</v>
      </c>
      <c r="T642">
        <f>indirect(address(642,19))+indirect(address(640,20))-indirect(address(641,20))</f>
        <v>0</v>
      </c>
      <c r="U642">
        <f>indirect(address(642,20))+indirect(address(640,21))-indirect(address(641,21))</f>
        <v>0</v>
      </c>
      <c r="V642">
        <f>indirect(address(642,21))+indirect(address(640,22))-indirect(address(641,22))</f>
        <v>0</v>
      </c>
      <c r="W642">
        <f>indirect(address(642,22))+indirect(address(640,23))-indirect(address(641,23))</f>
        <v>0</v>
      </c>
      <c r="X642">
        <f>indirect(address(642,23))+indirect(address(640,24))-indirect(address(641,24))</f>
        <v>0</v>
      </c>
      <c r="Y642">
        <f>indirect(address(642,24))+indirect(address(640,25))-indirect(address(641,25))</f>
        <v>0</v>
      </c>
      <c r="Z642">
        <f>indirect(address(642,25))+indirect(address(640,26))-indirect(address(641,26))</f>
        <v>0</v>
      </c>
      <c r="AA642">
        <f>indirect(address(642,26))+indirect(address(640,27))-indirect(address(641,27))</f>
        <v>0</v>
      </c>
      <c r="AB642">
        <f>indirect(address(642,27))+indirect(address(640,28))-indirect(address(641,28))</f>
        <v>0</v>
      </c>
      <c r="AC642">
        <f>indirect(address(642,28))+indirect(address(640,29))-indirect(address(641,29))</f>
        <v>0</v>
      </c>
      <c r="AD642">
        <f>indirect(address(642,29))+indirect(address(640,30))-indirect(address(641,30))</f>
        <v>0</v>
      </c>
      <c r="AE642">
        <f>indirect(address(642,30))+indirect(address(640,31))-indirect(address(641,31))</f>
        <v>0</v>
      </c>
      <c r="AF642">
        <f>indirect(address(642,31))+indirect(address(640,32))-indirect(address(641,32))</f>
        <v>0</v>
      </c>
      <c r="AG642">
        <f>indirect(address(642,32))+indirect(address(640,33))-indirect(address(641,33))</f>
        <v>0</v>
      </c>
      <c r="AH642">
        <f>indirect(address(642,33))+indirect(address(640,34))-indirect(address(641,34))</f>
        <v>0</v>
      </c>
      <c r="AI642">
        <f>indirect(address(642,34))+indirect(address(640,35))-indirect(address(641,35))</f>
        <v>0</v>
      </c>
      <c r="AJ642">
        <f>indirect(address(642,35))+indirect(address(640,36))-indirect(address(641,36))</f>
        <v>0</v>
      </c>
      <c r="AK642">
        <f>indirect(address(642,36))+indirect(address(640,37))-indirect(address(641,37))</f>
        <v>0</v>
      </c>
      <c r="AL642">
        <f>indirect(address(642,37))+indirect(address(640,38))-indirect(address(641,38))</f>
        <v>0</v>
      </c>
      <c r="AM642">
        <f>indirect(address(642,38))+indirect(address(640,39))-indirect(address(641,39))</f>
        <v>0</v>
      </c>
      <c r="AN642">
        <f>indirect(address(642,39))+indirect(address(640,40))-indirect(address(641,40))</f>
        <v>0</v>
      </c>
      <c r="AO642">
        <f>indirect(address(642,40))+indirect(address(640,41))-indirect(address(641,41))</f>
        <v>0</v>
      </c>
    </row>
    <row r="643" spans="1:41">
      <c r="I643" t="s">
        <v>14</v>
      </c>
      <c r="AO643">
        <f>sum(j643:an643)</f>
        <v>0</v>
      </c>
    </row>
    <row r="644" spans="1:41">
      <c r="I644" t="s">
        <v>15</v>
      </c>
      <c r="J644">
        <f>sumif(Plan!B:B,"821-061000-100",Plan!j:j)</f>
        <v>0</v>
      </c>
      <c r="K644">
        <f>sumif(Plan!B:B,"821-061000-100",Plan!k:k)</f>
        <v>0</v>
      </c>
      <c r="L644">
        <f>sumif(Plan!B:B,"821-061000-100",Plan!l:l)</f>
        <v>0</v>
      </c>
      <c r="M644">
        <f>sumif(Plan!B:B,"821-061000-100",Plan!m:m)</f>
        <v>0</v>
      </c>
      <c r="N644">
        <f>sumif(Plan!B:B,"821-061000-100",Plan!n:n)</f>
        <v>0</v>
      </c>
      <c r="O644">
        <f>sumif(Plan!B:B,"821-061000-100",Plan!o:o)</f>
        <v>0</v>
      </c>
      <c r="P644">
        <f>sumif(Plan!B:B,"821-061000-100",Plan!p:p)</f>
        <v>0</v>
      </c>
      <c r="Q644">
        <f>sumif(Plan!B:B,"821-061000-100",Plan!q:q)</f>
        <v>0</v>
      </c>
      <c r="R644">
        <f>sumif(Plan!B:B,"821-061000-100",Plan!r:r)</f>
        <v>0</v>
      </c>
      <c r="S644">
        <f>sumif(Plan!B:B,"821-061000-100",Plan!s:s)</f>
        <v>0</v>
      </c>
      <c r="T644">
        <f>sumif(Plan!B:B,"821-061000-100",Plan!t:t)</f>
        <v>0</v>
      </c>
      <c r="U644">
        <f>sumif(Plan!B:B,"821-061000-100",Plan!u:u)</f>
        <v>0</v>
      </c>
      <c r="V644">
        <f>sumif(Plan!B:B,"821-061000-100",Plan!v:v)</f>
        <v>0</v>
      </c>
      <c r="W644">
        <f>sumif(Plan!B:B,"821-061000-100",Plan!w:w)</f>
        <v>0</v>
      </c>
      <c r="X644">
        <f>sumif(Plan!B:B,"821-061000-100",Plan!x:x)</f>
        <v>0</v>
      </c>
      <c r="Y644">
        <f>sumif(Plan!B:B,"821-061000-100",Plan!y:y)</f>
        <v>0</v>
      </c>
      <c r="Z644">
        <f>sumif(Plan!B:B,"821-061000-100",Plan!z:z)</f>
        <v>0</v>
      </c>
      <c r="AA644">
        <f>sumif(Plan!B:B,"821-061000-100",Plan!aa:aa)</f>
        <v>0</v>
      </c>
      <c r="AB644">
        <f>sumif(Plan!B:B,"821-061000-100",Plan!ab:ab)</f>
        <v>0</v>
      </c>
      <c r="AC644">
        <f>sumif(Plan!B:B,"821-061000-100",Plan!ac:ac)</f>
        <v>0</v>
      </c>
      <c r="AD644">
        <f>sumif(Plan!B:B,"821-061000-100",Plan!ad:ad)</f>
        <v>0</v>
      </c>
      <c r="AE644">
        <f>sumif(Plan!B:B,"821-061000-100",Plan!ae:ae)</f>
        <v>0</v>
      </c>
      <c r="AF644">
        <f>sumif(Plan!B:B,"821-061000-100",Plan!af:af)</f>
        <v>0</v>
      </c>
      <c r="AG644">
        <f>sumif(Plan!B:B,"821-061000-100",Plan!ag:ag)</f>
        <v>0</v>
      </c>
      <c r="AH644">
        <f>sumif(Plan!B:B,"821-061000-100",Plan!ah:ah)</f>
        <v>0</v>
      </c>
      <c r="AI644">
        <f>sumif(Plan!B:B,"821-061000-100",Plan!ai:ai)</f>
        <v>0</v>
      </c>
      <c r="AJ644">
        <f>sumif(Plan!B:B,"821-061000-100",Plan!aj:aj)</f>
        <v>0</v>
      </c>
      <c r="AK644">
        <f>sumif(Plan!B:B,"821-061000-100",Plan!ak:ak)</f>
        <v>0</v>
      </c>
      <c r="AL644">
        <f>sumif(Plan!B:B,"821-061000-100",Plan!al:al)</f>
        <v>0</v>
      </c>
      <c r="AM644">
        <f>sumif(Plan!B:B,"821-061000-100",Plan!am:am)</f>
        <v>0</v>
      </c>
      <c r="AN644">
        <f>sumif(Plan!B:B,"821-061000-100",Plan!an:an)</f>
        <v>0</v>
      </c>
      <c r="AO644">
        <f>sumif(Plan!B:B,"821-061000-100",Plan!ao:ao)</f>
        <v>0</v>
      </c>
    </row>
    <row r="645" spans="1:41">
      <c r="A645" t="s">
        <v>17</v>
      </c>
      <c r="B645" t="s">
        <v>401</v>
      </c>
      <c r="C645" t="s">
        <v>402</v>
      </c>
      <c r="E645">
        <v>1</v>
      </c>
      <c r="F645" t="s">
        <v>13</v>
      </c>
      <c r="H645" t="s">
        <v>16</v>
      </c>
      <c r="J645">
        <f>indirect(address(645,9))+indirect(address(643,10))-indirect(address(644,10))</f>
        <v>0</v>
      </c>
      <c r="K645">
        <f>indirect(address(645,10))+indirect(address(643,11))-indirect(address(644,11))</f>
        <v>0</v>
      </c>
      <c r="L645">
        <f>indirect(address(645,11))+indirect(address(643,12))-indirect(address(644,12))</f>
        <v>0</v>
      </c>
      <c r="M645">
        <f>indirect(address(645,12))+indirect(address(643,13))-indirect(address(644,13))</f>
        <v>0</v>
      </c>
      <c r="N645">
        <f>indirect(address(645,13))+indirect(address(643,14))-indirect(address(644,14))</f>
        <v>0</v>
      </c>
      <c r="O645">
        <f>indirect(address(645,14))+indirect(address(643,15))-indirect(address(644,15))</f>
        <v>0</v>
      </c>
      <c r="P645">
        <f>indirect(address(645,15))+indirect(address(643,16))-indirect(address(644,16))</f>
        <v>0</v>
      </c>
      <c r="Q645">
        <f>indirect(address(645,16))+indirect(address(643,17))-indirect(address(644,17))</f>
        <v>0</v>
      </c>
      <c r="R645">
        <f>indirect(address(645,17))+indirect(address(643,18))-indirect(address(644,18))</f>
        <v>0</v>
      </c>
      <c r="S645">
        <f>indirect(address(645,18))+indirect(address(643,19))-indirect(address(644,19))</f>
        <v>0</v>
      </c>
      <c r="T645">
        <f>indirect(address(645,19))+indirect(address(643,20))-indirect(address(644,20))</f>
        <v>0</v>
      </c>
      <c r="U645">
        <f>indirect(address(645,20))+indirect(address(643,21))-indirect(address(644,21))</f>
        <v>0</v>
      </c>
      <c r="V645">
        <f>indirect(address(645,21))+indirect(address(643,22))-indirect(address(644,22))</f>
        <v>0</v>
      </c>
      <c r="W645">
        <f>indirect(address(645,22))+indirect(address(643,23))-indirect(address(644,23))</f>
        <v>0</v>
      </c>
      <c r="X645">
        <f>indirect(address(645,23))+indirect(address(643,24))-indirect(address(644,24))</f>
        <v>0</v>
      </c>
      <c r="Y645">
        <f>indirect(address(645,24))+indirect(address(643,25))-indirect(address(644,25))</f>
        <v>0</v>
      </c>
      <c r="Z645">
        <f>indirect(address(645,25))+indirect(address(643,26))-indirect(address(644,26))</f>
        <v>0</v>
      </c>
      <c r="AA645">
        <f>indirect(address(645,26))+indirect(address(643,27))-indirect(address(644,27))</f>
        <v>0</v>
      </c>
      <c r="AB645">
        <f>indirect(address(645,27))+indirect(address(643,28))-indirect(address(644,28))</f>
        <v>0</v>
      </c>
      <c r="AC645">
        <f>indirect(address(645,28))+indirect(address(643,29))-indirect(address(644,29))</f>
        <v>0</v>
      </c>
      <c r="AD645">
        <f>indirect(address(645,29))+indirect(address(643,30))-indirect(address(644,30))</f>
        <v>0</v>
      </c>
      <c r="AE645">
        <f>indirect(address(645,30))+indirect(address(643,31))-indirect(address(644,31))</f>
        <v>0</v>
      </c>
      <c r="AF645">
        <f>indirect(address(645,31))+indirect(address(643,32))-indirect(address(644,32))</f>
        <v>0</v>
      </c>
      <c r="AG645">
        <f>indirect(address(645,32))+indirect(address(643,33))-indirect(address(644,33))</f>
        <v>0</v>
      </c>
      <c r="AH645">
        <f>indirect(address(645,33))+indirect(address(643,34))-indirect(address(644,34))</f>
        <v>0</v>
      </c>
      <c r="AI645">
        <f>indirect(address(645,34))+indirect(address(643,35))-indirect(address(644,35))</f>
        <v>0</v>
      </c>
      <c r="AJ645">
        <f>indirect(address(645,35))+indirect(address(643,36))-indirect(address(644,36))</f>
        <v>0</v>
      </c>
      <c r="AK645">
        <f>indirect(address(645,36))+indirect(address(643,37))-indirect(address(644,37))</f>
        <v>0</v>
      </c>
      <c r="AL645">
        <f>indirect(address(645,37))+indirect(address(643,38))-indirect(address(644,38))</f>
        <v>0</v>
      </c>
      <c r="AM645">
        <f>indirect(address(645,38))+indirect(address(643,39))-indirect(address(644,39))</f>
        <v>0</v>
      </c>
      <c r="AN645">
        <f>indirect(address(645,39))+indirect(address(643,40))-indirect(address(644,40))</f>
        <v>0</v>
      </c>
      <c r="AO645">
        <f>indirect(address(645,40))+indirect(address(643,41))-indirect(address(644,41))</f>
        <v>0</v>
      </c>
    </row>
    <row r="646" spans="1:41">
      <c r="I646" t="s">
        <v>14</v>
      </c>
      <c r="AO646">
        <f>sum(j646:an646)</f>
        <v>0</v>
      </c>
    </row>
    <row r="647" spans="1:41">
      <c r="I647" t="s">
        <v>15</v>
      </c>
      <c r="J647">
        <f>sumif(Plan!B:B,"821-061000-200",Plan!j:j)</f>
        <v>0</v>
      </c>
      <c r="K647">
        <f>sumif(Plan!B:B,"821-061000-200",Plan!k:k)</f>
        <v>0</v>
      </c>
      <c r="L647">
        <f>sumif(Plan!B:B,"821-061000-200",Plan!l:l)</f>
        <v>0</v>
      </c>
      <c r="M647">
        <f>sumif(Plan!B:B,"821-061000-200",Plan!m:m)</f>
        <v>0</v>
      </c>
      <c r="N647">
        <f>sumif(Plan!B:B,"821-061000-200",Plan!n:n)</f>
        <v>0</v>
      </c>
      <c r="O647">
        <f>sumif(Plan!B:B,"821-061000-200",Plan!o:o)</f>
        <v>0</v>
      </c>
      <c r="P647">
        <f>sumif(Plan!B:B,"821-061000-200",Plan!p:p)</f>
        <v>0</v>
      </c>
      <c r="Q647">
        <f>sumif(Plan!B:B,"821-061000-200",Plan!q:q)</f>
        <v>0</v>
      </c>
      <c r="R647">
        <f>sumif(Plan!B:B,"821-061000-200",Plan!r:r)</f>
        <v>0</v>
      </c>
      <c r="S647">
        <f>sumif(Plan!B:B,"821-061000-200",Plan!s:s)</f>
        <v>0</v>
      </c>
      <c r="T647">
        <f>sumif(Plan!B:B,"821-061000-200",Plan!t:t)</f>
        <v>0</v>
      </c>
      <c r="U647">
        <f>sumif(Plan!B:B,"821-061000-200",Plan!u:u)</f>
        <v>0</v>
      </c>
      <c r="V647">
        <f>sumif(Plan!B:B,"821-061000-200",Plan!v:v)</f>
        <v>0</v>
      </c>
      <c r="W647">
        <f>sumif(Plan!B:B,"821-061000-200",Plan!w:w)</f>
        <v>0</v>
      </c>
      <c r="X647">
        <f>sumif(Plan!B:B,"821-061000-200",Plan!x:x)</f>
        <v>0</v>
      </c>
      <c r="Y647">
        <f>sumif(Plan!B:B,"821-061000-200",Plan!y:y)</f>
        <v>0</v>
      </c>
      <c r="Z647">
        <f>sumif(Plan!B:B,"821-061000-200",Plan!z:z)</f>
        <v>0</v>
      </c>
      <c r="AA647">
        <f>sumif(Plan!B:B,"821-061000-200",Plan!aa:aa)</f>
        <v>0</v>
      </c>
      <c r="AB647">
        <f>sumif(Plan!B:B,"821-061000-200",Plan!ab:ab)</f>
        <v>0</v>
      </c>
      <c r="AC647">
        <f>sumif(Plan!B:B,"821-061000-200",Plan!ac:ac)</f>
        <v>0</v>
      </c>
      <c r="AD647">
        <f>sumif(Plan!B:B,"821-061000-200",Plan!ad:ad)</f>
        <v>0</v>
      </c>
      <c r="AE647">
        <f>sumif(Plan!B:B,"821-061000-200",Plan!ae:ae)</f>
        <v>0</v>
      </c>
      <c r="AF647">
        <f>sumif(Plan!B:B,"821-061000-200",Plan!af:af)</f>
        <v>0</v>
      </c>
      <c r="AG647">
        <f>sumif(Plan!B:B,"821-061000-200",Plan!ag:ag)</f>
        <v>0</v>
      </c>
      <c r="AH647">
        <f>sumif(Plan!B:B,"821-061000-200",Plan!ah:ah)</f>
        <v>0</v>
      </c>
      <c r="AI647">
        <f>sumif(Plan!B:B,"821-061000-200",Plan!ai:ai)</f>
        <v>0</v>
      </c>
      <c r="AJ647">
        <f>sumif(Plan!B:B,"821-061000-200",Plan!aj:aj)</f>
        <v>0</v>
      </c>
      <c r="AK647">
        <f>sumif(Plan!B:B,"821-061000-200",Plan!ak:ak)</f>
        <v>0</v>
      </c>
      <c r="AL647">
        <f>sumif(Plan!B:B,"821-061000-200",Plan!al:al)</f>
        <v>0</v>
      </c>
      <c r="AM647">
        <f>sumif(Plan!B:B,"821-061000-200",Plan!am:am)</f>
        <v>0</v>
      </c>
      <c r="AN647">
        <f>sumif(Plan!B:B,"821-061000-200",Plan!an:an)</f>
        <v>0</v>
      </c>
      <c r="AO647">
        <f>sumif(Plan!B:B,"821-061000-200",Plan!ao:ao)</f>
        <v>0</v>
      </c>
    </row>
    <row r="648" spans="1:41">
      <c r="A648" t="s">
        <v>17</v>
      </c>
      <c r="B648" t="s">
        <v>403</v>
      </c>
      <c r="C648" t="s">
        <v>404</v>
      </c>
      <c r="E648">
        <v>1</v>
      </c>
      <c r="F648" t="s">
        <v>13</v>
      </c>
      <c r="H648" t="s">
        <v>16</v>
      </c>
      <c r="J648">
        <f>indirect(address(648,9))+indirect(address(646,10))-indirect(address(647,10))</f>
        <v>0</v>
      </c>
      <c r="K648">
        <f>indirect(address(648,10))+indirect(address(646,11))-indirect(address(647,11))</f>
        <v>0</v>
      </c>
      <c r="L648">
        <f>indirect(address(648,11))+indirect(address(646,12))-indirect(address(647,12))</f>
        <v>0</v>
      </c>
      <c r="M648">
        <f>indirect(address(648,12))+indirect(address(646,13))-indirect(address(647,13))</f>
        <v>0</v>
      </c>
      <c r="N648">
        <f>indirect(address(648,13))+indirect(address(646,14))-indirect(address(647,14))</f>
        <v>0</v>
      </c>
      <c r="O648">
        <f>indirect(address(648,14))+indirect(address(646,15))-indirect(address(647,15))</f>
        <v>0</v>
      </c>
      <c r="P648">
        <f>indirect(address(648,15))+indirect(address(646,16))-indirect(address(647,16))</f>
        <v>0</v>
      </c>
      <c r="Q648">
        <f>indirect(address(648,16))+indirect(address(646,17))-indirect(address(647,17))</f>
        <v>0</v>
      </c>
      <c r="R648">
        <f>indirect(address(648,17))+indirect(address(646,18))-indirect(address(647,18))</f>
        <v>0</v>
      </c>
      <c r="S648">
        <f>indirect(address(648,18))+indirect(address(646,19))-indirect(address(647,19))</f>
        <v>0</v>
      </c>
      <c r="T648">
        <f>indirect(address(648,19))+indirect(address(646,20))-indirect(address(647,20))</f>
        <v>0</v>
      </c>
      <c r="U648">
        <f>indirect(address(648,20))+indirect(address(646,21))-indirect(address(647,21))</f>
        <v>0</v>
      </c>
      <c r="V648">
        <f>indirect(address(648,21))+indirect(address(646,22))-indirect(address(647,22))</f>
        <v>0</v>
      </c>
      <c r="W648">
        <f>indirect(address(648,22))+indirect(address(646,23))-indirect(address(647,23))</f>
        <v>0</v>
      </c>
      <c r="X648">
        <f>indirect(address(648,23))+indirect(address(646,24))-indirect(address(647,24))</f>
        <v>0</v>
      </c>
      <c r="Y648">
        <f>indirect(address(648,24))+indirect(address(646,25))-indirect(address(647,25))</f>
        <v>0</v>
      </c>
      <c r="Z648">
        <f>indirect(address(648,25))+indirect(address(646,26))-indirect(address(647,26))</f>
        <v>0</v>
      </c>
      <c r="AA648">
        <f>indirect(address(648,26))+indirect(address(646,27))-indirect(address(647,27))</f>
        <v>0</v>
      </c>
      <c r="AB648">
        <f>indirect(address(648,27))+indirect(address(646,28))-indirect(address(647,28))</f>
        <v>0</v>
      </c>
      <c r="AC648">
        <f>indirect(address(648,28))+indirect(address(646,29))-indirect(address(647,29))</f>
        <v>0</v>
      </c>
      <c r="AD648">
        <f>indirect(address(648,29))+indirect(address(646,30))-indirect(address(647,30))</f>
        <v>0</v>
      </c>
      <c r="AE648">
        <f>indirect(address(648,30))+indirect(address(646,31))-indirect(address(647,31))</f>
        <v>0</v>
      </c>
      <c r="AF648">
        <f>indirect(address(648,31))+indirect(address(646,32))-indirect(address(647,32))</f>
        <v>0</v>
      </c>
      <c r="AG648">
        <f>indirect(address(648,32))+indirect(address(646,33))-indirect(address(647,33))</f>
        <v>0</v>
      </c>
      <c r="AH648">
        <f>indirect(address(648,33))+indirect(address(646,34))-indirect(address(647,34))</f>
        <v>0</v>
      </c>
      <c r="AI648">
        <f>indirect(address(648,34))+indirect(address(646,35))-indirect(address(647,35))</f>
        <v>0</v>
      </c>
      <c r="AJ648">
        <f>indirect(address(648,35))+indirect(address(646,36))-indirect(address(647,36))</f>
        <v>0</v>
      </c>
      <c r="AK648">
        <f>indirect(address(648,36))+indirect(address(646,37))-indirect(address(647,37))</f>
        <v>0</v>
      </c>
      <c r="AL648">
        <f>indirect(address(648,37))+indirect(address(646,38))-indirect(address(647,38))</f>
        <v>0</v>
      </c>
      <c r="AM648">
        <f>indirect(address(648,38))+indirect(address(646,39))-indirect(address(647,39))</f>
        <v>0</v>
      </c>
      <c r="AN648">
        <f>indirect(address(648,39))+indirect(address(646,40))-indirect(address(647,40))</f>
        <v>0</v>
      </c>
      <c r="AO648">
        <f>indirect(address(648,40))+indirect(address(646,41))-indirect(address(647,41))</f>
        <v>0</v>
      </c>
    </row>
    <row r="649" spans="1:41">
      <c r="I649" t="s">
        <v>14</v>
      </c>
      <c r="AO649">
        <f>sum(j649:an649)</f>
        <v>0</v>
      </c>
    </row>
    <row r="650" spans="1:41">
      <c r="I650" t="s">
        <v>15</v>
      </c>
      <c r="J650">
        <f>sumif(Plan!B:B,"262-000000-004",Plan!j:j)</f>
        <v>0</v>
      </c>
      <c r="K650">
        <f>sumif(Plan!B:B,"262-000000-004",Plan!k:k)</f>
        <v>0</v>
      </c>
      <c r="L650">
        <f>sumif(Plan!B:B,"262-000000-004",Plan!l:l)</f>
        <v>0</v>
      </c>
      <c r="M650">
        <f>sumif(Plan!B:B,"262-000000-004",Plan!m:m)</f>
        <v>0</v>
      </c>
      <c r="N650">
        <f>sumif(Plan!B:B,"262-000000-004",Plan!n:n)</f>
        <v>0</v>
      </c>
      <c r="O650">
        <f>sumif(Plan!B:B,"262-000000-004",Plan!o:o)</f>
        <v>0</v>
      </c>
      <c r="P650">
        <f>sumif(Plan!B:B,"262-000000-004",Plan!p:p)</f>
        <v>0</v>
      </c>
      <c r="Q650">
        <f>sumif(Plan!B:B,"262-000000-004",Plan!q:q)</f>
        <v>0</v>
      </c>
      <c r="R650">
        <f>sumif(Plan!B:B,"262-000000-004",Plan!r:r)</f>
        <v>0</v>
      </c>
      <c r="S650">
        <f>sumif(Plan!B:B,"262-000000-004",Plan!s:s)</f>
        <v>0</v>
      </c>
      <c r="T650">
        <f>sumif(Plan!B:B,"262-000000-004",Plan!t:t)</f>
        <v>0</v>
      </c>
      <c r="U650">
        <f>sumif(Plan!B:B,"262-000000-004",Plan!u:u)</f>
        <v>0</v>
      </c>
      <c r="V650">
        <f>sumif(Plan!B:B,"262-000000-004",Plan!v:v)</f>
        <v>0</v>
      </c>
      <c r="W650">
        <f>sumif(Plan!B:B,"262-000000-004",Plan!w:w)</f>
        <v>0</v>
      </c>
      <c r="X650">
        <f>sumif(Plan!B:B,"262-000000-004",Plan!x:x)</f>
        <v>0</v>
      </c>
      <c r="Y650">
        <f>sumif(Plan!B:B,"262-000000-004",Plan!y:y)</f>
        <v>0</v>
      </c>
      <c r="Z650">
        <f>sumif(Plan!B:B,"262-000000-004",Plan!z:z)</f>
        <v>0</v>
      </c>
      <c r="AA650">
        <f>sumif(Plan!B:B,"262-000000-004",Plan!aa:aa)</f>
        <v>0</v>
      </c>
      <c r="AB650">
        <f>sumif(Plan!B:B,"262-000000-004",Plan!ab:ab)</f>
        <v>0</v>
      </c>
      <c r="AC650">
        <f>sumif(Plan!B:B,"262-000000-004",Plan!ac:ac)</f>
        <v>0</v>
      </c>
      <c r="AD650">
        <f>sumif(Plan!B:B,"262-000000-004",Plan!ad:ad)</f>
        <v>0</v>
      </c>
      <c r="AE650">
        <f>sumif(Plan!B:B,"262-000000-004",Plan!ae:ae)</f>
        <v>0</v>
      </c>
      <c r="AF650">
        <f>sumif(Plan!B:B,"262-000000-004",Plan!af:af)</f>
        <v>0</v>
      </c>
      <c r="AG650">
        <f>sumif(Plan!B:B,"262-000000-004",Plan!ag:ag)</f>
        <v>0</v>
      </c>
      <c r="AH650">
        <f>sumif(Plan!B:B,"262-000000-004",Plan!ah:ah)</f>
        <v>0</v>
      </c>
      <c r="AI650">
        <f>sumif(Plan!B:B,"262-000000-004",Plan!ai:ai)</f>
        <v>0</v>
      </c>
      <c r="AJ650">
        <f>sumif(Plan!B:B,"262-000000-004",Plan!aj:aj)</f>
        <v>0</v>
      </c>
      <c r="AK650">
        <f>sumif(Plan!B:B,"262-000000-004",Plan!ak:ak)</f>
        <v>0</v>
      </c>
      <c r="AL650">
        <f>sumif(Plan!B:B,"262-000000-004",Plan!al:al)</f>
        <v>0</v>
      </c>
      <c r="AM650">
        <f>sumif(Plan!B:B,"262-000000-004",Plan!am:am)</f>
        <v>0</v>
      </c>
      <c r="AN650">
        <f>sumif(Plan!B:B,"262-000000-004",Plan!an:an)</f>
        <v>0</v>
      </c>
      <c r="AO650">
        <f>sumif(Plan!B:B,"262-000000-004",Plan!ao:ao)</f>
        <v>0</v>
      </c>
    </row>
    <row r="651" spans="1:41">
      <c r="A651" t="s">
        <v>22</v>
      </c>
      <c r="B651" t="s">
        <v>405</v>
      </c>
      <c r="C651" t="s">
        <v>406</v>
      </c>
      <c r="E651">
        <v>1</v>
      </c>
      <c r="F651" t="s">
        <v>13</v>
      </c>
      <c r="H651" t="s">
        <v>16</v>
      </c>
      <c r="J651">
        <f>indirect(address(651,9))+indirect(address(649,10))-indirect(address(650,10))</f>
        <v>0</v>
      </c>
      <c r="K651">
        <f>indirect(address(651,10))+indirect(address(649,11))-indirect(address(650,11))</f>
        <v>0</v>
      </c>
      <c r="L651">
        <f>indirect(address(651,11))+indirect(address(649,12))-indirect(address(650,12))</f>
        <v>0</v>
      </c>
      <c r="M651">
        <f>indirect(address(651,12))+indirect(address(649,13))-indirect(address(650,13))</f>
        <v>0</v>
      </c>
      <c r="N651">
        <f>indirect(address(651,13))+indirect(address(649,14))-indirect(address(650,14))</f>
        <v>0</v>
      </c>
      <c r="O651">
        <f>indirect(address(651,14))+indirect(address(649,15))-indirect(address(650,15))</f>
        <v>0</v>
      </c>
      <c r="P651">
        <f>indirect(address(651,15))+indirect(address(649,16))-indirect(address(650,16))</f>
        <v>0</v>
      </c>
      <c r="Q651">
        <f>indirect(address(651,16))+indirect(address(649,17))-indirect(address(650,17))</f>
        <v>0</v>
      </c>
      <c r="R651">
        <f>indirect(address(651,17))+indirect(address(649,18))-indirect(address(650,18))</f>
        <v>0</v>
      </c>
      <c r="S651">
        <f>indirect(address(651,18))+indirect(address(649,19))-indirect(address(650,19))</f>
        <v>0</v>
      </c>
      <c r="T651">
        <f>indirect(address(651,19))+indirect(address(649,20))-indirect(address(650,20))</f>
        <v>0</v>
      </c>
      <c r="U651">
        <f>indirect(address(651,20))+indirect(address(649,21))-indirect(address(650,21))</f>
        <v>0</v>
      </c>
      <c r="V651">
        <f>indirect(address(651,21))+indirect(address(649,22))-indirect(address(650,22))</f>
        <v>0</v>
      </c>
      <c r="W651">
        <f>indirect(address(651,22))+indirect(address(649,23))-indirect(address(650,23))</f>
        <v>0</v>
      </c>
      <c r="X651">
        <f>indirect(address(651,23))+indirect(address(649,24))-indirect(address(650,24))</f>
        <v>0</v>
      </c>
      <c r="Y651">
        <f>indirect(address(651,24))+indirect(address(649,25))-indirect(address(650,25))</f>
        <v>0</v>
      </c>
      <c r="Z651">
        <f>indirect(address(651,25))+indirect(address(649,26))-indirect(address(650,26))</f>
        <v>0</v>
      </c>
      <c r="AA651">
        <f>indirect(address(651,26))+indirect(address(649,27))-indirect(address(650,27))</f>
        <v>0</v>
      </c>
      <c r="AB651">
        <f>indirect(address(651,27))+indirect(address(649,28))-indirect(address(650,28))</f>
        <v>0</v>
      </c>
      <c r="AC651">
        <f>indirect(address(651,28))+indirect(address(649,29))-indirect(address(650,29))</f>
        <v>0</v>
      </c>
      <c r="AD651">
        <f>indirect(address(651,29))+indirect(address(649,30))-indirect(address(650,30))</f>
        <v>0</v>
      </c>
      <c r="AE651">
        <f>indirect(address(651,30))+indirect(address(649,31))-indirect(address(650,31))</f>
        <v>0</v>
      </c>
      <c r="AF651">
        <f>indirect(address(651,31))+indirect(address(649,32))-indirect(address(650,32))</f>
        <v>0</v>
      </c>
      <c r="AG651">
        <f>indirect(address(651,32))+indirect(address(649,33))-indirect(address(650,33))</f>
        <v>0</v>
      </c>
      <c r="AH651">
        <f>indirect(address(651,33))+indirect(address(649,34))-indirect(address(650,34))</f>
        <v>0</v>
      </c>
      <c r="AI651">
        <f>indirect(address(651,34))+indirect(address(649,35))-indirect(address(650,35))</f>
        <v>0</v>
      </c>
      <c r="AJ651">
        <f>indirect(address(651,35))+indirect(address(649,36))-indirect(address(650,36))</f>
        <v>0</v>
      </c>
      <c r="AK651">
        <f>indirect(address(651,36))+indirect(address(649,37))-indirect(address(650,37))</f>
        <v>0</v>
      </c>
      <c r="AL651">
        <f>indirect(address(651,37))+indirect(address(649,38))-indirect(address(650,38))</f>
        <v>0</v>
      </c>
      <c r="AM651">
        <f>indirect(address(651,38))+indirect(address(649,39))-indirect(address(650,39))</f>
        <v>0</v>
      </c>
      <c r="AN651">
        <f>indirect(address(651,39))+indirect(address(649,40))-indirect(address(650,40))</f>
        <v>0</v>
      </c>
      <c r="AO651">
        <f>indirect(address(651,40))+indirect(address(649,41))-indirect(address(650,41))</f>
        <v>0</v>
      </c>
    </row>
    <row r="652" spans="1:41">
      <c r="I652" t="s">
        <v>14</v>
      </c>
      <c r="AO652">
        <f>sum(j652:an652)</f>
        <v>0</v>
      </c>
    </row>
    <row r="653" spans="1:41">
      <c r="I653" t="s">
        <v>15</v>
      </c>
      <c r="J653">
        <f>sumif(Plan!B:B,"261-001500-061",Plan!j:j)</f>
        <v>0</v>
      </c>
      <c r="K653">
        <f>sumif(Plan!B:B,"261-001500-061",Plan!k:k)</f>
        <v>0</v>
      </c>
      <c r="L653">
        <f>sumif(Plan!B:B,"261-001500-061",Plan!l:l)</f>
        <v>0</v>
      </c>
      <c r="M653">
        <f>sumif(Plan!B:B,"261-001500-061",Plan!m:m)</f>
        <v>0</v>
      </c>
      <c r="N653">
        <f>sumif(Plan!B:B,"261-001500-061",Plan!n:n)</f>
        <v>0</v>
      </c>
      <c r="O653">
        <f>sumif(Plan!B:B,"261-001500-061",Plan!o:o)</f>
        <v>0</v>
      </c>
      <c r="P653">
        <f>sumif(Plan!B:B,"261-001500-061",Plan!p:p)</f>
        <v>0</v>
      </c>
      <c r="Q653">
        <f>sumif(Plan!B:B,"261-001500-061",Plan!q:q)</f>
        <v>0</v>
      </c>
      <c r="R653">
        <f>sumif(Plan!B:B,"261-001500-061",Plan!r:r)</f>
        <v>0</v>
      </c>
      <c r="S653">
        <f>sumif(Plan!B:B,"261-001500-061",Plan!s:s)</f>
        <v>0</v>
      </c>
      <c r="T653">
        <f>sumif(Plan!B:B,"261-001500-061",Plan!t:t)</f>
        <v>0</v>
      </c>
      <c r="U653">
        <f>sumif(Plan!B:B,"261-001500-061",Plan!u:u)</f>
        <v>0</v>
      </c>
      <c r="V653">
        <f>sumif(Plan!B:B,"261-001500-061",Plan!v:v)</f>
        <v>0</v>
      </c>
      <c r="W653">
        <f>sumif(Plan!B:B,"261-001500-061",Plan!w:w)</f>
        <v>0</v>
      </c>
      <c r="X653">
        <f>sumif(Plan!B:B,"261-001500-061",Plan!x:x)</f>
        <v>0</v>
      </c>
      <c r="Y653">
        <f>sumif(Plan!B:B,"261-001500-061",Plan!y:y)</f>
        <v>0</v>
      </c>
      <c r="Z653">
        <f>sumif(Plan!B:B,"261-001500-061",Plan!z:z)</f>
        <v>0</v>
      </c>
      <c r="AA653">
        <f>sumif(Plan!B:B,"261-001500-061",Plan!aa:aa)</f>
        <v>0</v>
      </c>
      <c r="AB653">
        <f>sumif(Plan!B:B,"261-001500-061",Plan!ab:ab)</f>
        <v>0</v>
      </c>
      <c r="AC653">
        <f>sumif(Plan!B:B,"261-001500-061",Plan!ac:ac)</f>
        <v>0</v>
      </c>
      <c r="AD653">
        <f>sumif(Plan!B:B,"261-001500-061",Plan!ad:ad)</f>
        <v>0</v>
      </c>
      <c r="AE653">
        <f>sumif(Plan!B:B,"261-001500-061",Plan!ae:ae)</f>
        <v>0</v>
      </c>
      <c r="AF653">
        <f>sumif(Plan!B:B,"261-001500-061",Plan!af:af)</f>
        <v>0</v>
      </c>
      <c r="AG653">
        <f>sumif(Plan!B:B,"261-001500-061",Plan!ag:ag)</f>
        <v>0</v>
      </c>
      <c r="AH653">
        <f>sumif(Plan!B:B,"261-001500-061",Plan!ah:ah)</f>
        <v>0</v>
      </c>
      <c r="AI653">
        <f>sumif(Plan!B:B,"261-001500-061",Plan!ai:ai)</f>
        <v>0</v>
      </c>
      <c r="AJ653">
        <f>sumif(Plan!B:B,"261-001500-061",Plan!aj:aj)</f>
        <v>0</v>
      </c>
      <c r="AK653">
        <f>sumif(Plan!B:B,"261-001500-061",Plan!ak:ak)</f>
        <v>0</v>
      </c>
      <c r="AL653">
        <f>sumif(Plan!B:B,"261-001500-061",Plan!al:al)</f>
        <v>0</v>
      </c>
      <c r="AM653">
        <f>sumif(Plan!B:B,"261-001500-061",Plan!am:am)</f>
        <v>0</v>
      </c>
      <c r="AN653">
        <f>sumif(Plan!B:B,"261-001500-061",Plan!an:an)</f>
        <v>0</v>
      </c>
      <c r="AO653">
        <f>sumif(Plan!B:B,"261-001500-061",Plan!ao:ao)</f>
        <v>0</v>
      </c>
    </row>
    <row r="654" spans="1:41">
      <c r="A654" t="s">
        <v>22</v>
      </c>
      <c r="B654" t="s">
        <v>409</v>
      </c>
      <c r="C654" t="s">
        <v>410</v>
      </c>
      <c r="E654">
        <v>3</v>
      </c>
      <c r="F654" t="s">
        <v>13</v>
      </c>
      <c r="H654" t="s">
        <v>16</v>
      </c>
      <c r="J654">
        <f>indirect(address(654,9))+indirect(address(652,10))-indirect(address(653,10))</f>
        <v>0</v>
      </c>
      <c r="K654">
        <f>indirect(address(654,10))+indirect(address(652,11))-indirect(address(653,11))</f>
        <v>0</v>
      </c>
      <c r="L654">
        <f>indirect(address(654,11))+indirect(address(652,12))-indirect(address(653,12))</f>
        <v>0</v>
      </c>
      <c r="M654">
        <f>indirect(address(654,12))+indirect(address(652,13))-indirect(address(653,13))</f>
        <v>0</v>
      </c>
      <c r="N654">
        <f>indirect(address(654,13))+indirect(address(652,14))-indirect(address(653,14))</f>
        <v>0</v>
      </c>
      <c r="O654">
        <f>indirect(address(654,14))+indirect(address(652,15))-indirect(address(653,15))</f>
        <v>0</v>
      </c>
      <c r="P654">
        <f>indirect(address(654,15))+indirect(address(652,16))-indirect(address(653,16))</f>
        <v>0</v>
      </c>
      <c r="Q654">
        <f>indirect(address(654,16))+indirect(address(652,17))-indirect(address(653,17))</f>
        <v>0</v>
      </c>
      <c r="R654">
        <f>indirect(address(654,17))+indirect(address(652,18))-indirect(address(653,18))</f>
        <v>0</v>
      </c>
      <c r="S654">
        <f>indirect(address(654,18))+indirect(address(652,19))-indirect(address(653,19))</f>
        <v>0</v>
      </c>
      <c r="T654">
        <f>indirect(address(654,19))+indirect(address(652,20))-indirect(address(653,20))</f>
        <v>0</v>
      </c>
      <c r="U654">
        <f>indirect(address(654,20))+indirect(address(652,21))-indirect(address(653,21))</f>
        <v>0</v>
      </c>
      <c r="V654">
        <f>indirect(address(654,21))+indirect(address(652,22))-indirect(address(653,22))</f>
        <v>0</v>
      </c>
      <c r="W654">
        <f>indirect(address(654,22))+indirect(address(652,23))-indirect(address(653,23))</f>
        <v>0</v>
      </c>
      <c r="X654">
        <f>indirect(address(654,23))+indirect(address(652,24))-indirect(address(653,24))</f>
        <v>0</v>
      </c>
      <c r="Y654">
        <f>indirect(address(654,24))+indirect(address(652,25))-indirect(address(653,25))</f>
        <v>0</v>
      </c>
      <c r="Z654">
        <f>indirect(address(654,25))+indirect(address(652,26))-indirect(address(653,26))</f>
        <v>0</v>
      </c>
      <c r="AA654">
        <f>indirect(address(654,26))+indirect(address(652,27))-indirect(address(653,27))</f>
        <v>0</v>
      </c>
      <c r="AB654">
        <f>indirect(address(654,27))+indirect(address(652,28))-indirect(address(653,28))</f>
        <v>0</v>
      </c>
      <c r="AC654">
        <f>indirect(address(654,28))+indirect(address(652,29))-indirect(address(653,29))</f>
        <v>0</v>
      </c>
      <c r="AD654">
        <f>indirect(address(654,29))+indirect(address(652,30))-indirect(address(653,30))</f>
        <v>0</v>
      </c>
      <c r="AE654">
        <f>indirect(address(654,30))+indirect(address(652,31))-indirect(address(653,31))</f>
        <v>0</v>
      </c>
      <c r="AF654">
        <f>indirect(address(654,31))+indirect(address(652,32))-indirect(address(653,32))</f>
        <v>0</v>
      </c>
      <c r="AG654">
        <f>indirect(address(654,32))+indirect(address(652,33))-indirect(address(653,33))</f>
        <v>0</v>
      </c>
      <c r="AH654">
        <f>indirect(address(654,33))+indirect(address(652,34))-indirect(address(653,34))</f>
        <v>0</v>
      </c>
      <c r="AI654">
        <f>indirect(address(654,34))+indirect(address(652,35))-indirect(address(653,35))</f>
        <v>0</v>
      </c>
      <c r="AJ654">
        <f>indirect(address(654,35))+indirect(address(652,36))-indirect(address(653,36))</f>
        <v>0</v>
      </c>
      <c r="AK654">
        <f>indirect(address(654,36))+indirect(address(652,37))-indirect(address(653,37))</f>
        <v>0</v>
      </c>
      <c r="AL654">
        <f>indirect(address(654,37))+indirect(address(652,38))-indirect(address(653,38))</f>
        <v>0</v>
      </c>
      <c r="AM654">
        <f>indirect(address(654,38))+indirect(address(652,39))-indirect(address(653,39))</f>
        <v>0</v>
      </c>
      <c r="AN654">
        <f>indirect(address(654,39))+indirect(address(652,40))-indirect(address(653,40))</f>
        <v>0</v>
      </c>
      <c r="AO654">
        <f>indirect(address(654,40))+indirect(address(652,41))-indirect(address(653,41))</f>
        <v>0</v>
      </c>
    </row>
    <row r="655" spans="1:41">
      <c r="I655" t="s">
        <v>14</v>
      </c>
      <c r="AO655">
        <f>sum(j655:an655)</f>
        <v>0</v>
      </c>
    </row>
    <row r="656" spans="1:41">
      <c r="I656" t="s">
        <v>15</v>
      </c>
      <c r="J656">
        <f>sumif(Plan!B:B,"261-001500-061",Plan!j:j)</f>
        <v>0</v>
      </c>
      <c r="K656">
        <f>sumif(Plan!B:B,"261-001500-061",Plan!k:k)</f>
        <v>0</v>
      </c>
      <c r="L656">
        <f>sumif(Plan!B:B,"261-001500-061",Plan!l:l)</f>
        <v>0</v>
      </c>
      <c r="M656">
        <f>sumif(Plan!B:B,"261-001500-061",Plan!m:m)</f>
        <v>0</v>
      </c>
      <c r="N656">
        <f>sumif(Plan!B:B,"261-001500-061",Plan!n:n)</f>
        <v>0</v>
      </c>
      <c r="O656">
        <f>sumif(Plan!B:B,"261-001500-061",Plan!o:o)</f>
        <v>0</v>
      </c>
      <c r="P656">
        <f>sumif(Plan!B:B,"261-001500-061",Plan!p:p)</f>
        <v>0</v>
      </c>
      <c r="Q656">
        <f>sumif(Plan!B:B,"261-001500-061",Plan!q:q)</f>
        <v>0</v>
      </c>
      <c r="R656">
        <f>sumif(Plan!B:B,"261-001500-061",Plan!r:r)</f>
        <v>0</v>
      </c>
      <c r="S656">
        <f>sumif(Plan!B:B,"261-001500-061",Plan!s:s)</f>
        <v>0</v>
      </c>
      <c r="T656">
        <f>sumif(Plan!B:B,"261-001500-061",Plan!t:t)</f>
        <v>0</v>
      </c>
      <c r="U656">
        <f>sumif(Plan!B:B,"261-001500-061",Plan!u:u)</f>
        <v>0</v>
      </c>
      <c r="V656">
        <f>sumif(Plan!B:B,"261-001500-061",Plan!v:v)</f>
        <v>0</v>
      </c>
      <c r="W656">
        <f>sumif(Plan!B:B,"261-001500-061",Plan!w:w)</f>
        <v>0</v>
      </c>
      <c r="X656">
        <f>sumif(Plan!B:B,"261-001500-061",Plan!x:x)</f>
        <v>0</v>
      </c>
      <c r="Y656">
        <f>sumif(Plan!B:B,"261-001500-061",Plan!y:y)</f>
        <v>0</v>
      </c>
      <c r="Z656">
        <f>sumif(Plan!B:B,"261-001500-061",Plan!z:z)</f>
        <v>0</v>
      </c>
      <c r="AA656">
        <f>sumif(Plan!B:B,"261-001500-061",Plan!aa:aa)</f>
        <v>0</v>
      </c>
      <c r="AB656">
        <f>sumif(Plan!B:B,"261-001500-061",Plan!ab:ab)</f>
        <v>0</v>
      </c>
      <c r="AC656">
        <f>sumif(Plan!B:B,"261-001500-061",Plan!ac:ac)</f>
        <v>0</v>
      </c>
      <c r="AD656">
        <f>sumif(Plan!B:B,"261-001500-061",Plan!ad:ad)</f>
        <v>0</v>
      </c>
      <c r="AE656">
        <f>sumif(Plan!B:B,"261-001500-061",Plan!ae:ae)</f>
        <v>0</v>
      </c>
      <c r="AF656">
        <f>sumif(Plan!B:B,"261-001500-061",Plan!af:af)</f>
        <v>0</v>
      </c>
      <c r="AG656">
        <f>sumif(Plan!B:B,"261-001500-061",Plan!ag:ag)</f>
        <v>0</v>
      </c>
      <c r="AH656">
        <f>sumif(Plan!B:B,"261-001500-061",Plan!ah:ah)</f>
        <v>0</v>
      </c>
      <c r="AI656">
        <f>sumif(Plan!B:B,"261-001500-061",Plan!ai:ai)</f>
        <v>0</v>
      </c>
      <c r="AJ656">
        <f>sumif(Plan!B:B,"261-001500-061",Plan!aj:aj)</f>
        <v>0</v>
      </c>
      <c r="AK656">
        <f>sumif(Plan!B:B,"261-001500-061",Plan!ak:ak)</f>
        <v>0</v>
      </c>
      <c r="AL656">
        <f>sumif(Plan!B:B,"261-001500-061",Plan!al:al)</f>
        <v>0</v>
      </c>
      <c r="AM656">
        <f>sumif(Plan!B:B,"261-001500-061",Plan!am:am)</f>
        <v>0</v>
      </c>
      <c r="AN656">
        <f>sumif(Plan!B:B,"261-001500-061",Plan!an:an)</f>
        <v>0</v>
      </c>
      <c r="AO656">
        <f>sumif(Plan!B:B,"261-001500-061",Plan!ao:ao)</f>
        <v>0</v>
      </c>
    </row>
    <row r="657" spans="1:41">
      <c r="A657" t="s">
        <v>78</v>
      </c>
      <c r="B657" t="s">
        <v>409</v>
      </c>
      <c r="C657" t="s">
        <v>411</v>
      </c>
      <c r="E657">
        <v>0.034</v>
      </c>
      <c r="F657" t="s">
        <v>13</v>
      </c>
      <c r="H657" t="s">
        <v>16</v>
      </c>
      <c r="J657">
        <f>indirect(address(657,9))+indirect(address(655,10))-indirect(address(656,10))</f>
        <v>0</v>
      </c>
      <c r="K657">
        <f>indirect(address(657,10))+indirect(address(655,11))-indirect(address(656,11))</f>
        <v>0</v>
      </c>
      <c r="L657">
        <f>indirect(address(657,11))+indirect(address(655,12))-indirect(address(656,12))</f>
        <v>0</v>
      </c>
      <c r="M657">
        <f>indirect(address(657,12))+indirect(address(655,13))-indirect(address(656,13))</f>
        <v>0</v>
      </c>
      <c r="N657">
        <f>indirect(address(657,13))+indirect(address(655,14))-indirect(address(656,14))</f>
        <v>0</v>
      </c>
      <c r="O657">
        <f>indirect(address(657,14))+indirect(address(655,15))-indirect(address(656,15))</f>
        <v>0</v>
      </c>
      <c r="P657">
        <f>indirect(address(657,15))+indirect(address(655,16))-indirect(address(656,16))</f>
        <v>0</v>
      </c>
      <c r="Q657">
        <f>indirect(address(657,16))+indirect(address(655,17))-indirect(address(656,17))</f>
        <v>0</v>
      </c>
      <c r="R657">
        <f>indirect(address(657,17))+indirect(address(655,18))-indirect(address(656,18))</f>
        <v>0</v>
      </c>
      <c r="S657">
        <f>indirect(address(657,18))+indirect(address(655,19))-indirect(address(656,19))</f>
        <v>0</v>
      </c>
      <c r="T657">
        <f>indirect(address(657,19))+indirect(address(655,20))-indirect(address(656,20))</f>
        <v>0</v>
      </c>
      <c r="U657">
        <f>indirect(address(657,20))+indirect(address(655,21))-indirect(address(656,21))</f>
        <v>0</v>
      </c>
      <c r="V657">
        <f>indirect(address(657,21))+indirect(address(655,22))-indirect(address(656,22))</f>
        <v>0</v>
      </c>
      <c r="W657">
        <f>indirect(address(657,22))+indirect(address(655,23))-indirect(address(656,23))</f>
        <v>0</v>
      </c>
      <c r="X657">
        <f>indirect(address(657,23))+indirect(address(655,24))-indirect(address(656,24))</f>
        <v>0</v>
      </c>
      <c r="Y657">
        <f>indirect(address(657,24))+indirect(address(655,25))-indirect(address(656,25))</f>
        <v>0</v>
      </c>
      <c r="Z657">
        <f>indirect(address(657,25))+indirect(address(655,26))-indirect(address(656,26))</f>
        <v>0</v>
      </c>
      <c r="AA657">
        <f>indirect(address(657,26))+indirect(address(655,27))-indirect(address(656,27))</f>
        <v>0</v>
      </c>
      <c r="AB657">
        <f>indirect(address(657,27))+indirect(address(655,28))-indirect(address(656,28))</f>
        <v>0</v>
      </c>
      <c r="AC657">
        <f>indirect(address(657,28))+indirect(address(655,29))-indirect(address(656,29))</f>
        <v>0</v>
      </c>
      <c r="AD657">
        <f>indirect(address(657,29))+indirect(address(655,30))-indirect(address(656,30))</f>
        <v>0</v>
      </c>
      <c r="AE657">
        <f>indirect(address(657,30))+indirect(address(655,31))-indirect(address(656,31))</f>
        <v>0</v>
      </c>
      <c r="AF657">
        <f>indirect(address(657,31))+indirect(address(655,32))-indirect(address(656,32))</f>
        <v>0</v>
      </c>
      <c r="AG657">
        <f>indirect(address(657,32))+indirect(address(655,33))-indirect(address(656,33))</f>
        <v>0</v>
      </c>
      <c r="AH657">
        <f>indirect(address(657,33))+indirect(address(655,34))-indirect(address(656,34))</f>
        <v>0</v>
      </c>
      <c r="AI657">
        <f>indirect(address(657,34))+indirect(address(655,35))-indirect(address(656,35))</f>
        <v>0</v>
      </c>
      <c r="AJ657">
        <f>indirect(address(657,35))+indirect(address(655,36))-indirect(address(656,36))</f>
        <v>0</v>
      </c>
      <c r="AK657">
        <f>indirect(address(657,36))+indirect(address(655,37))-indirect(address(656,37))</f>
        <v>0</v>
      </c>
      <c r="AL657">
        <f>indirect(address(657,37))+indirect(address(655,38))-indirect(address(656,38))</f>
        <v>0</v>
      </c>
      <c r="AM657">
        <f>indirect(address(657,38))+indirect(address(655,39))-indirect(address(656,39))</f>
        <v>0</v>
      </c>
      <c r="AN657">
        <f>indirect(address(657,39))+indirect(address(655,40))-indirect(address(656,40))</f>
        <v>0</v>
      </c>
      <c r="AO657">
        <f>indirect(address(657,40))+indirect(address(655,41))-indirect(address(656,41))</f>
        <v>0</v>
      </c>
    </row>
    <row r="658" spans="1:41">
      <c r="I658" t="s">
        <v>14</v>
      </c>
      <c r="AO658">
        <f>sum(j658:an658)</f>
        <v>0</v>
      </c>
    </row>
    <row r="659" spans="1:41">
      <c r="I659" t="s">
        <v>15</v>
      </c>
      <c r="J659">
        <f>sumif(Plan!B:B,"822-096465-100",Plan!j:j)</f>
        <v>0</v>
      </c>
      <c r="K659">
        <f>sumif(Plan!B:B,"822-096465-100",Plan!k:k)</f>
        <v>0</v>
      </c>
      <c r="L659">
        <f>sumif(Plan!B:B,"822-096465-100",Plan!l:l)</f>
        <v>0</v>
      </c>
      <c r="M659">
        <f>sumif(Plan!B:B,"822-096465-100",Plan!m:m)</f>
        <v>0</v>
      </c>
      <c r="N659">
        <f>sumif(Plan!B:B,"822-096465-100",Plan!n:n)</f>
        <v>0</v>
      </c>
      <c r="O659">
        <f>sumif(Plan!B:B,"822-096465-100",Plan!o:o)</f>
        <v>0</v>
      </c>
      <c r="P659">
        <f>sumif(Plan!B:B,"822-096465-100",Plan!p:p)</f>
        <v>0</v>
      </c>
      <c r="Q659">
        <f>sumif(Plan!B:B,"822-096465-100",Plan!q:q)</f>
        <v>0</v>
      </c>
      <c r="R659">
        <f>sumif(Plan!B:B,"822-096465-100",Plan!r:r)</f>
        <v>0</v>
      </c>
      <c r="S659">
        <f>sumif(Plan!B:B,"822-096465-100",Plan!s:s)</f>
        <v>0</v>
      </c>
      <c r="T659">
        <f>sumif(Plan!B:B,"822-096465-100",Plan!t:t)</f>
        <v>0</v>
      </c>
      <c r="U659">
        <f>sumif(Plan!B:B,"822-096465-100",Plan!u:u)</f>
        <v>0</v>
      </c>
      <c r="V659">
        <f>sumif(Plan!B:B,"822-096465-100",Plan!v:v)</f>
        <v>0</v>
      </c>
      <c r="W659">
        <f>sumif(Plan!B:B,"822-096465-100",Plan!w:w)</f>
        <v>0</v>
      </c>
      <c r="X659">
        <f>sumif(Plan!B:B,"822-096465-100",Plan!x:x)</f>
        <v>0</v>
      </c>
      <c r="Y659">
        <f>sumif(Plan!B:B,"822-096465-100",Plan!y:y)</f>
        <v>0</v>
      </c>
      <c r="Z659">
        <f>sumif(Plan!B:B,"822-096465-100",Plan!z:z)</f>
        <v>0</v>
      </c>
      <c r="AA659">
        <f>sumif(Plan!B:B,"822-096465-100",Plan!aa:aa)</f>
        <v>0</v>
      </c>
      <c r="AB659">
        <f>sumif(Plan!B:B,"822-096465-100",Plan!ab:ab)</f>
        <v>0</v>
      </c>
      <c r="AC659">
        <f>sumif(Plan!B:B,"822-096465-100",Plan!ac:ac)</f>
        <v>0</v>
      </c>
      <c r="AD659">
        <f>sumif(Plan!B:B,"822-096465-100",Plan!ad:ad)</f>
        <v>0</v>
      </c>
      <c r="AE659">
        <f>sumif(Plan!B:B,"822-096465-100",Plan!ae:ae)</f>
        <v>0</v>
      </c>
      <c r="AF659">
        <f>sumif(Plan!B:B,"822-096465-100",Plan!af:af)</f>
        <v>0</v>
      </c>
      <c r="AG659">
        <f>sumif(Plan!B:B,"822-096465-100",Plan!ag:ag)</f>
        <v>0</v>
      </c>
      <c r="AH659">
        <f>sumif(Plan!B:B,"822-096465-100",Plan!ah:ah)</f>
        <v>0</v>
      </c>
      <c r="AI659">
        <f>sumif(Plan!B:B,"822-096465-100",Plan!ai:ai)</f>
        <v>0</v>
      </c>
      <c r="AJ659">
        <f>sumif(Plan!B:B,"822-096465-100",Plan!aj:aj)</f>
        <v>0</v>
      </c>
      <c r="AK659">
        <f>sumif(Plan!B:B,"822-096465-100",Plan!ak:ak)</f>
        <v>0</v>
      </c>
      <c r="AL659">
        <f>sumif(Plan!B:B,"822-096465-100",Plan!al:al)</f>
        <v>0</v>
      </c>
      <c r="AM659">
        <f>sumif(Plan!B:B,"822-096465-100",Plan!am:am)</f>
        <v>0</v>
      </c>
      <c r="AN659">
        <f>sumif(Plan!B:B,"822-096465-100",Plan!an:an)</f>
        <v>0</v>
      </c>
      <c r="AO659">
        <f>sumif(Plan!B:B,"822-096465-100",Plan!ao:ao)</f>
        <v>0</v>
      </c>
    </row>
    <row r="660" spans="1:41">
      <c r="A660" t="s">
        <v>17</v>
      </c>
      <c r="B660" t="s">
        <v>414</v>
      </c>
      <c r="C660" t="s">
        <v>415</v>
      </c>
      <c r="E660">
        <v>1</v>
      </c>
      <c r="F660" t="s">
        <v>13</v>
      </c>
      <c r="H660" t="s">
        <v>16</v>
      </c>
      <c r="J660">
        <f>indirect(address(660,9))+indirect(address(658,10))-indirect(address(659,10))</f>
        <v>0</v>
      </c>
      <c r="K660">
        <f>indirect(address(660,10))+indirect(address(658,11))-indirect(address(659,11))</f>
        <v>0</v>
      </c>
      <c r="L660">
        <f>indirect(address(660,11))+indirect(address(658,12))-indirect(address(659,12))</f>
        <v>0</v>
      </c>
      <c r="M660">
        <f>indirect(address(660,12))+indirect(address(658,13))-indirect(address(659,13))</f>
        <v>0</v>
      </c>
      <c r="N660">
        <f>indirect(address(660,13))+indirect(address(658,14))-indirect(address(659,14))</f>
        <v>0</v>
      </c>
      <c r="O660">
        <f>indirect(address(660,14))+indirect(address(658,15))-indirect(address(659,15))</f>
        <v>0</v>
      </c>
      <c r="P660">
        <f>indirect(address(660,15))+indirect(address(658,16))-indirect(address(659,16))</f>
        <v>0</v>
      </c>
      <c r="Q660">
        <f>indirect(address(660,16))+indirect(address(658,17))-indirect(address(659,17))</f>
        <v>0</v>
      </c>
      <c r="R660">
        <f>indirect(address(660,17))+indirect(address(658,18))-indirect(address(659,18))</f>
        <v>0</v>
      </c>
      <c r="S660">
        <f>indirect(address(660,18))+indirect(address(658,19))-indirect(address(659,19))</f>
        <v>0</v>
      </c>
      <c r="T660">
        <f>indirect(address(660,19))+indirect(address(658,20))-indirect(address(659,20))</f>
        <v>0</v>
      </c>
      <c r="U660">
        <f>indirect(address(660,20))+indirect(address(658,21))-indirect(address(659,21))</f>
        <v>0</v>
      </c>
      <c r="V660">
        <f>indirect(address(660,21))+indirect(address(658,22))-indirect(address(659,22))</f>
        <v>0</v>
      </c>
      <c r="W660">
        <f>indirect(address(660,22))+indirect(address(658,23))-indirect(address(659,23))</f>
        <v>0</v>
      </c>
      <c r="X660">
        <f>indirect(address(660,23))+indirect(address(658,24))-indirect(address(659,24))</f>
        <v>0</v>
      </c>
      <c r="Y660">
        <f>indirect(address(660,24))+indirect(address(658,25))-indirect(address(659,25))</f>
        <v>0</v>
      </c>
      <c r="Z660">
        <f>indirect(address(660,25))+indirect(address(658,26))-indirect(address(659,26))</f>
        <v>0</v>
      </c>
      <c r="AA660">
        <f>indirect(address(660,26))+indirect(address(658,27))-indirect(address(659,27))</f>
        <v>0</v>
      </c>
      <c r="AB660">
        <f>indirect(address(660,27))+indirect(address(658,28))-indirect(address(659,28))</f>
        <v>0</v>
      </c>
      <c r="AC660">
        <f>indirect(address(660,28))+indirect(address(658,29))-indirect(address(659,29))</f>
        <v>0</v>
      </c>
      <c r="AD660">
        <f>indirect(address(660,29))+indirect(address(658,30))-indirect(address(659,30))</f>
        <v>0</v>
      </c>
      <c r="AE660">
        <f>indirect(address(660,30))+indirect(address(658,31))-indirect(address(659,31))</f>
        <v>0</v>
      </c>
      <c r="AF660">
        <f>indirect(address(660,31))+indirect(address(658,32))-indirect(address(659,32))</f>
        <v>0</v>
      </c>
      <c r="AG660">
        <f>indirect(address(660,32))+indirect(address(658,33))-indirect(address(659,33))</f>
        <v>0</v>
      </c>
      <c r="AH660">
        <f>indirect(address(660,33))+indirect(address(658,34))-indirect(address(659,34))</f>
        <v>0</v>
      </c>
      <c r="AI660">
        <f>indirect(address(660,34))+indirect(address(658,35))-indirect(address(659,35))</f>
        <v>0</v>
      </c>
      <c r="AJ660">
        <f>indirect(address(660,35))+indirect(address(658,36))-indirect(address(659,36))</f>
        <v>0</v>
      </c>
      <c r="AK660">
        <f>indirect(address(660,36))+indirect(address(658,37))-indirect(address(659,37))</f>
        <v>0</v>
      </c>
      <c r="AL660">
        <f>indirect(address(660,37))+indirect(address(658,38))-indirect(address(659,38))</f>
        <v>0</v>
      </c>
      <c r="AM660">
        <f>indirect(address(660,38))+indirect(address(658,39))-indirect(address(659,39))</f>
        <v>0</v>
      </c>
      <c r="AN660">
        <f>indirect(address(660,39))+indirect(address(658,40))-indirect(address(659,40))</f>
        <v>0</v>
      </c>
      <c r="AO660">
        <f>indirect(address(660,40))+indirect(address(658,41))-indirect(address(659,41))</f>
        <v>0</v>
      </c>
    </row>
    <row r="661" spans="1:41">
      <c r="I661" t="s">
        <v>14</v>
      </c>
      <c r="AO661">
        <f>sum(j661:an661)</f>
        <v>0</v>
      </c>
    </row>
    <row r="662" spans="1:41">
      <c r="I662" t="s">
        <v>15</v>
      </c>
      <c r="J662">
        <f>sumif(Plan!B:B,"262-000000-053",Plan!j:j)</f>
        <v>0</v>
      </c>
      <c r="K662">
        <f>sumif(Plan!B:B,"262-000000-053",Plan!k:k)</f>
        <v>0</v>
      </c>
      <c r="L662">
        <f>sumif(Plan!B:B,"262-000000-053",Plan!l:l)</f>
        <v>0</v>
      </c>
      <c r="M662">
        <f>sumif(Plan!B:B,"262-000000-053",Plan!m:m)</f>
        <v>0</v>
      </c>
      <c r="N662">
        <f>sumif(Plan!B:B,"262-000000-053",Plan!n:n)</f>
        <v>0</v>
      </c>
      <c r="O662">
        <f>sumif(Plan!B:B,"262-000000-053",Plan!o:o)</f>
        <v>0</v>
      </c>
      <c r="P662">
        <f>sumif(Plan!B:B,"262-000000-053",Plan!p:p)</f>
        <v>0</v>
      </c>
      <c r="Q662">
        <f>sumif(Plan!B:B,"262-000000-053",Plan!q:q)</f>
        <v>0</v>
      </c>
      <c r="R662">
        <f>sumif(Plan!B:B,"262-000000-053",Plan!r:r)</f>
        <v>0</v>
      </c>
      <c r="S662">
        <f>sumif(Plan!B:B,"262-000000-053",Plan!s:s)</f>
        <v>0</v>
      </c>
      <c r="T662">
        <f>sumif(Plan!B:B,"262-000000-053",Plan!t:t)</f>
        <v>0</v>
      </c>
      <c r="U662">
        <f>sumif(Plan!B:B,"262-000000-053",Plan!u:u)</f>
        <v>0</v>
      </c>
      <c r="V662">
        <f>sumif(Plan!B:B,"262-000000-053",Plan!v:v)</f>
        <v>0</v>
      </c>
      <c r="W662">
        <f>sumif(Plan!B:B,"262-000000-053",Plan!w:w)</f>
        <v>0</v>
      </c>
      <c r="X662">
        <f>sumif(Plan!B:B,"262-000000-053",Plan!x:x)</f>
        <v>0</v>
      </c>
      <c r="Y662">
        <f>sumif(Plan!B:B,"262-000000-053",Plan!y:y)</f>
        <v>0</v>
      </c>
      <c r="Z662">
        <f>sumif(Plan!B:B,"262-000000-053",Plan!z:z)</f>
        <v>0</v>
      </c>
      <c r="AA662">
        <f>sumif(Plan!B:B,"262-000000-053",Plan!aa:aa)</f>
        <v>0</v>
      </c>
      <c r="AB662">
        <f>sumif(Plan!B:B,"262-000000-053",Plan!ab:ab)</f>
        <v>0</v>
      </c>
      <c r="AC662">
        <f>sumif(Plan!B:B,"262-000000-053",Plan!ac:ac)</f>
        <v>0</v>
      </c>
      <c r="AD662">
        <f>sumif(Plan!B:B,"262-000000-053",Plan!ad:ad)</f>
        <v>0</v>
      </c>
      <c r="AE662">
        <f>sumif(Plan!B:B,"262-000000-053",Plan!ae:ae)</f>
        <v>0</v>
      </c>
      <c r="AF662">
        <f>sumif(Plan!B:B,"262-000000-053",Plan!af:af)</f>
        <v>0</v>
      </c>
      <c r="AG662">
        <f>sumif(Plan!B:B,"262-000000-053",Plan!ag:ag)</f>
        <v>0</v>
      </c>
      <c r="AH662">
        <f>sumif(Plan!B:B,"262-000000-053",Plan!ah:ah)</f>
        <v>0</v>
      </c>
      <c r="AI662">
        <f>sumif(Plan!B:B,"262-000000-053",Plan!ai:ai)</f>
        <v>0</v>
      </c>
      <c r="AJ662">
        <f>sumif(Plan!B:B,"262-000000-053",Plan!aj:aj)</f>
        <v>0</v>
      </c>
      <c r="AK662">
        <f>sumif(Plan!B:B,"262-000000-053",Plan!ak:ak)</f>
        <v>0</v>
      </c>
      <c r="AL662">
        <f>sumif(Plan!B:B,"262-000000-053",Plan!al:al)</f>
        <v>0</v>
      </c>
      <c r="AM662">
        <f>sumif(Plan!B:B,"262-000000-053",Plan!am:am)</f>
        <v>0</v>
      </c>
      <c r="AN662">
        <f>sumif(Plan!B:B,"262-000000-053",Plan!an:an)</f>
        <v>0</v>
      </c>
      <c r="AO662">
        <f>sumif(Plan!B:B,"262-000000-053",Plan!ao:ao)</f>
        <v>0</v>
      </c>
    </row>
    <row r="663" spans="1:41">
      <c r="A663" t="s">
        <v>22</v>
      </c>
      <c r="B663" t="s">
        <v>416</v>
      </c>
      <c r="C663" t="s">
        <v>417</v>
      </c>
      <c r="E663">
        <v>1</v>
      </c>
      <c r="F663" t="s">
        <v>13</v>
      </c>
      <c r="H663" t="s">
        <v>16</v>
      </c>
      <c r="J663">
        <f>indirect(address(663,9))+indirect(address(661,10))-indirect(address(662,10))</f>
        <v>0</v>
      </c>
      <c r="K663">
        <f>indirect(address(663,10))+indirect(address(661,11))-indirect(address(662,11))</f>
        <v>0</v>
      </c>
      <c r="L663">
        <f>indirect(address(663,11))+indirect(address(661,12))-indirect(address(662,12))</f>
        <v>0</v>
      </c>
      <c r="M663">
        <f>indirect(address(663,12))+indirect(address(661,13))-indirect(address(662,13))</f>
        <v>0</v>
      </c>
      <c r="N663">
        <f>indirect(address(663,13))+indirect(address(661,14))-indirect(address(662,14))</f>
        <v>0</v>
      </c>
      <c r="O663">
        <f>indirect(address(663,14))+indirect(address(661,15))-indirect(address(662,15))</f>
        <v>0</v>
      </c>
      <c r="P663">
        <f>indirect(address(663,15))+indirect(address(661,16))-indirect(address(662,16))</f>
        <v>0</v>
      </c>
      <c r="Q663">
        <f>indirect(address(663,16))+indirect(address(661,17))-indirect(address(662,17))</f>
        <v>0</v>
      </c>
      <c r="R663">
        <f>indirect(address(663,17))+indirect(address(661,18))-indirect(address(662,18))</f>
        <v>0</v>
      </c>
      <c r="S663">
        <f>indirect(address(663,18))+indirect(address(661,19))-indirect(address(662,19))</f>
        <v>0</v>
      </c>
      <c r="T663">
        <f>indirect(address(663,19))+indirect(address(661,20))-indirect(address(662,20))</f>
        <v>0</v>
      </c>
      <c r="U663">
        <f>indirect(address(663,20))+indirect(address(661,21))-indirect(address(662,21))</f>
        <v>0</v>
      </c>
      <c r="V663">
        <f>indirect(address(663,21))+indirect(address(661,22))-indirect(address(662,22))</f>
        <v>0</v>
      </c>
      <c r="W663">
        <f>indirect(address(663,22))+indirect(address(661,23))-indirect(address(662,23))</f>
        <v>0</v>
      </c>
      <c r="X663">
        <f>indirect(address(663,23))+indirect(address(661,24))-indirect(address(662,24))</f>
        <v>0</v>
      </c>
      <c r="Y663">
        <f>indirect(address(663,24))+indirect(address(661,25))-indirect(address(662,25))</f>
        <v>0</v>
      </c>
      <c r="Z663">
        <f>indirect(address(663,25))+indirect(address(661,26))-indirect(address(662,26))</f>
        <v>0</v>
      </c>
      <c r="AA663">
        <f>indirect(address(663,26))+indirect(address(661,27))-indirect(address(662,27))</f>
        <v>0</v>
      </c>
      <c r="AB663">
        <f>indirect(address(663,27))+indirect(address(661,28))-indirect(address(662,28))</f>
        <v>0</v>
      </c>
      <c r="AC663">
        <f>indirect(address(663,28))+indirect(address(661,29))-indirect(address(662,29))</f>
        <v>0</v>
      </c>
      <c r="AD663">
        <f>indirect(address(663,29))+indirect(address(661,30))-indirect(address(662,30))</f>
        <v>0</v>
      </c>
      <c r="AE663">
        <f>indirect(address(663,30))+indirect(address(661,31))-indirect(address(662,31))</f>
        <v>0</v>
      </c>
      <c r="AF663">
        <f>indirect(address(663,31))+indirect(address(661,32))-indirect(address(662,32))</f>
        <v>0</v>
      </c>
      <c r="AG663">
        <f>indirect(address(663,32))+indirect(address(661,33))-indirect(address(662,33))</f>
        <v>0</v>
      </c>
      <c r="AH663">
        <f>indirect(address(663,33))+indirect(address(661,34))-indirect(address(662,34))</f>
        <v>0</v>
      </c>
      <c r="AI663">
        <f>indirect(address(663,34))+indirect(address(661,35))-indirect(address(662,35))</f>
        <v>0</v>
      </c>
      <c r="AJ663">
        <f>indirect(address(663,35))+indirect(address(661,36))-indirect(address(662,36))</f>
        <v>0</v>
      </c>
      <c r="AK663">
        <f>indirect(address(663,36))+indirect(address(661,37))-indirect(address(662,37))</f>
        <v>0</v>
      </c>
      <c r="AL663">
        <f>indirect(address(663,37))+indirect(address(661,38))-indirect(address(662,38))</f>
        <v>0</v>
      </c>
      <c r="AM663">
        <f>indirect(address(663,38))+indirect(address(661,39))-indirect(address(662,39))</f>
        <v>0</v>
      </c>
      <c r="AN663">
        <f>indirect(address(663,39))+indirect(address(661,40))-indirect(address(662,40))</f>
        <v>0</v>
      </c>
      <c r="AO663">
        <f>indirect(address(663,40))+indirect(address(661,41))-indirect(address(662,41))</f>
        <v>0</v>
      </c>
    </row>
    <row r="664" spans="1:41">
      <c r="I664" t="s">
        <v>14</v>
      </c>
      <c r="AO664">
        <f>sum(j664:an664)</f>
        <v>0</v>
      </c>
    </row>
    <row r="665" spans="1:41">
      <c r="I665" t="s">
        <v>15</v>
      </c>
      <c r="J665">
        <f>sumif(Plan!B:B,"204-00922",Plan!j:j)</f>
        <v>0</v>
      </c>
      <c r="K665">
        <f>sumif(Plan!B:B,"204-00922",Plan!k:k)</f>
        <v>0</v>
      </c>
      <c r="L665">
        <f>sumif(Plan!B:B,"204-00922",Plan!l:l)</f>
        <v>0</v>
      </c>
      <c r="M665">
        <f>sumif(Plan!B:B,"204-00922",Plan!m:m)</f>
        <v>0</v>
      </c>
      <c r="N665">
        <f>sumif(Plan!B:B,"204-00922",Plan!n:n)</f>
        <v>0</v>
      </c>
      <c r="O665">
        <f>sumif(Plan!B:B,"204-00922",Plan!o:o)</f>
        <v>0</v>
      </c>
      <c r="P665">
        <f>sumif(Plan!B:B,"204-00922",Plan!p:p)</f>
        <v>0</v>
      </c>
      <c r="Q665">
        <f>sumif(Plan!B:B,"204-00922",Plan!q:q)</f>
        <v>0</v>
      </c>
      <c r="R665">
        <f>sumif(Plan!B:B,"204-00922",Plan!r:r)</f>
        <v>0</v>
      </c>
      <c r="S665">
        <f>sumif(Plan!B:B,"204-00922",Plan!s:s)</f>
        <v>0</v>
      </c>
      <c r="T665">
        <f>sumif(Plan!B:B,"204-00922",Plan!t:t)</f>
        <v>0</v>
      </c>
      <c r="U665">
        <f>sumif(Plan!B:B,"204-00922",Plan!u:u)</f>
        <v>0</v>
      </c>
      <c r="V665">
        <f>sumif(Plan!B:B,"204-00922",Plan!v:v)</f>
        <v>0</v>
      </c>
      <c r="W665">
        <f>sumif(Plan!B:B,"204-00922",Plan!w:w)</f>
        <v>0</v>
      </c>
      <c r="X665">
        <f>sumif(Plan!B:B,"204-00922",Plan!x:x)</f>
        <v>0</v>
      </c>
      <c r="Y665">
        <f>sumif(Plan!B:B,"204-00922",Plan!y:y)</f>
        <v>0</v>
      </c>
      <c r="Z665">
        <f>sumif(Plan!B:B,"204-00922",Plan!z:z)</f>
        <v>0</v>
      </c>
      <c r="AA665">
        <f>sumif(Plan!B:B,"204-00922",Plan!aa:aa)</f>
        <v>0</v>
      </c>
      <c r="AB665">
        <f>sumif(Plan!B:B,"204-00922",Plan!ab:ab)</f>
        <v>0</v>
      </c>
      <c r="AC665">
        <f>sumif(Plan!B:B,"204-00922",Plan!ac:ac)</f>
        <v>0</v>
      </c>
      <c r="AD665">
        <f>sumif(Plan!B:B,"204-00922",Plan!ad:ad)</f>
        <v>0</v>
      </c>
      <c r="AE665">
        <f>sumif(Plan!B:B,"204-00922",Plan!ae:ae)</f>
        <v>0</v>
      </c>
      <c r="AF665">
        <f>sumif(Plan!B:B,"204-00922",Plan!af:af)</f>
        <v>0</v>
      </c>
      <c r="AG665">
        <f>sumif(Plan!B:B,"204-00922",Plan!ag:ag)</f>
        <v>0</v>
      </c>
      <c r="AH665">
        <f>sumif(Plan!B:B,"204-00922",Plan!ah:ah)</f>
        <v>0</v>
      </c>
      <c r="AI665">
        <f>sumif(Plan!B:B,"204-00922",Plan!ai:ai)</f>
        <v>0</v>
      </c>
      <c r="AJ665">
        <f>sumif(Plan!B:B,"204-00922",Plan!aj:aj)</f>
        <v>0</v>
      </c>
      <c r="AK665">
        <f>sumif(Plan!B:B,"204-00922",Plan!ak:ak)</f>
        <v>0</v>
      </c>
      <c r="AL665">
        <f>sumif(Plan!B:B,"204-00922",Plan!al:al)</f>
        <v>0</v>
      </c>
      <c r="AM665">
        <f>sumif(Plan!B:B,"204-00922",Plan!am:am)</f>
        <v>0</v>
      </c>
      <c r="AN665">
        <f>sumif(Plan!B:B,"204-00922",Plan!an:an)</f>
        <v>0</v>
      </c>
      <c r="AO665">
        <f>sumif(Plan!B:B,"204-00922",Plan!ao:ao)</f>
        <v>0</v>
      </c>
    </row>
    <row r="666" spans="1:41">
      <c r="A666" t="s">
        <v>43</v>
      </c>
      <c r="B666" t="s">
        <v>418</v>
      </c>
      <c r="C666" t="s">
        <v>419</v>
      </c>
      <c r="E666">
        <v>0.05</v>
      </c>
      <c r="F666" t="s">
        <v>13</v>
      </c>
      <c r="H666" t="s">
        <v>16</v>
      </c>
      <c r="J666">
        <f>indirect(address(666,9))+indirect(address(664,10))-indirect(address(665,10))</f>
        <v>0</v>
      </c>
      <c r="K666">
        <f>indirect(address(666,10))+indirect(address(664,11))-indirect(address(665,11))</f>
        <v>0</v>
      </c>
      <c r="L666">
        <f>indirect(address(666,11))+indirect(address(664,12))-indirect(address(665,12))</f>
        <v>0</v>
      </c>
      <c r="M666">
        <f>indirect(address(666,12))+indirect(address(664,13))-indirect(address(665,13))</f>
        <v>0</v>
      </c>
      <c r="N666">
        <f>indirect(address(666,13))+indirect(address(664,14))-indirect(address(665,14))</f>
        <v>0</v>
      </c>
      <c r="O666">
        <f>indirect(address(666,14))+indirect(address(664,15))-indirect(address(665,15))</f>
        <v>0</v>
      </c>
      <c r="P666">
        <f>indirect(address(666,15))+indirect(address(664,16))-indirect(address(665,16))</f>
        <v>0</v>
      </c>
      <c r="Q666">
        <f>indirect(address(666,16))+indirect(address(664,17))-indirect(address(665,17))</f>
        <v>0</v>
      </c>
      <c r="R666">
        <f>indirect(address(666,17))+indirect(address(664,18))-indirect(address(665,18))</f>
        <v>0</v>
      </c>
      <c r="S666">
        <f>indirect(address(666,18))+indirect(address(664,19))-indirect(address(665,19))</f>
        <v>0</v>
      </c>
      <c r="T666">
        <f>indirect(address(666,19))+indirect(address(664,20))-indirect(address(665,20))</f>
        <v>0</v>
      </c>
      <c r="U666">
        <f>indirect(address(666,20))+indirect(address(664,21))-indirect(address(665,21))</f>
        <v>0</v>
      </c>
      <c r="V666">
        <f>indirect(address(666,21))+indirect(address(664,22))-indirect(address(665,22))</f>
        <v>0</v>
      </c>
      <c r="W666">
        <f>indirect(address(666,22))+indirect(address(664,23))-indirect(address(665,23))</f>
        <v>0</v>
      </c>
      <c r="X666">
        <f>indirect(address(666,23))+indirect(address(664,24))-indirect(address(665,24))</f>
        <v>0</v>
      </c>
      <c r="Y666">
        <f>indirect(address(666,24))+indirect(address(664,25))-indirect(address(665,25))</f>
        <v>0</v>
      </c>
      <c r="Z666">
        <f>indirect(address(666,25))+indirect(address(664,26))-indirect(address(665,26))</f>
        <v>0</v>
      </c>
      <c r="AA666">
        <f>indirect(address(666,26))+indirect(address(664,27))-indirect(address(665,27))</f>
        <v>0</v>
      </c>
      <c r="AB666">
        <f>indirect(address(666,27))+indirect(address(664,28))-indirect(address(665,28))</f>
        <v>0</v>
      </c>
      <c r="AC666">
        <f>indirect(address(666,28))+indirect(address(664,29))-indirect(address(665,29))</f>
        <v>0</v>
      </c>
      <c r="AD666">
        <f>indirect(address(666,29))+indirect(address(664,30))-indirect(address(665,30))</f>
        <v>0</v>
      </c>
      <c r="AE666">
        <f>indirect(address(666,30))+indirect(address(664,31))-indirect(address(665,31))</f>
        <v>0</v>
      </c>
      <c r="AF666">
        <f>indirect(address(666,31))+indirect(address(664,32))-indirect(address(665,32))</f>
        <v>0</v>
      </c>
      <c r="AG666">
        <f>indirect(address(666,32))+indirect(address(664,33))-indirect(address(665,33))</f>
        <v>0</v>
      </c>
      <c r="AH666">
        <f>indirect(address(666,33))+indirect(address(664,34))-indirect(address(665,34))</f>
        <v>0</v>
      </c>
      <c r="AI666">
        <f>indirect(address(666,34))+indirect(address(664,35))-indirect(address(665,35))</f>
        <v>0</v>
      </c>
      <c r="AJ666">
        <f>indirect(address(666,35))+indirect(address(664,36))-indirect(address(665,36))</f>
        <v>0</v>
      </c>
      <c r="AK666">
        <f>indirect(address(666,36))+indirect(address(664,37))-indirect(address(665,37))</f>
        <v>0</v>
      </c>
      <c r="AL666">
        <f>indirect(address(666,37))+indirect(address(664,38))-indirect(address(665,38))</f>
        <v>0</v>
      </c>
      <c r="AM666">
        <f>indirect(address(666,38))+indirect(address(664,39))-indirect(address(665,39))</f>
        <v>0</v>
      </c>
      <c r="AN666">
        <f>indirect(address(666,39))+indirect(address(664,40))-indirect(address(665,40))</f>
        <v>0</v>
      </c>
      <c r="AO666">
        <f>indirect(address(666,40))+indirect(address(664,41))-indirect(address(665,41))</f>
        <v>0</v>
      </c>
    </row>
    <row r="667" spans="1:41">
      <c r="I667" t="s">
        <v>14</v>
      </c>
      <c r="AO667">
        <f>sum(j667:an667)</f>
        <v>0</v>
      </c>
    </row>
    <row r="668" spans="1:41">
      <c r="I668" t="s">
        <v>15</v>
      </c>
      <c r="J668">
        <f>sumif(Plan!B:B,"822-096465-200",Plan!j:j)</f>
        <v>0</v>
      </c>
      <c r="K668">
        <f>sumif(Plan!B:B,"822-096465-200",Plan!k:k)</f>
        <v>0</v>
      </c>
      <c r="L668">
        <f>sumif(Plan!B:B,"822-096465-200",Plan!l:l)</f>
        <v>0</v>
      </c>
      <c r="M668">
        <f>sumif(Plan!B:B,"822-096465-200",Plan!m:m)</f>
        <v>0</v>
      </c>
      <c r="N668">
        <f>sumif(Plan!B:B,"822-096465-200",Plan!n:n)</f>
        <v>0</v>
      </c>
      <c r="O668">
        <f>sumif(Plan!B:B,"822-096465-200",Plan!o:o)</f>
        <v>0</v>
      </c>
      <c r="P668">
        <f>sumif(Plan!B:B,"822-096465-200",Plan!p:p)</f>
        <v>0</v>
      </c>
      <c r="Q668">
        <f>sumif(Plan!B:B,"822-096465-200",Plan!q:q)</f>
        <v>0</v>
      </c>
      <c r="R668">
        <f>sumif(Plan!B:B,"822-096465-200",Plan!r:r)</f>
        <v>0</v>
      </c>
      <c r="S668">
        <f>sumif(Plan!B:B,"822-096465-200",Plan!s:s)</f>
        <v>0</v>
      </c>
      <c r="T668">
        <f>sumif(Plan!B:B,"822-096465-200",Plan!t:t)</f>
        <v>0</v>
      </c>
      <c r="U668">
        <f>sumif(Plan!B:B,"822-096465-200",Plan!u:u)</f>
        <v>0</v>
      </c>
      <c r="V668">
        <f>sumif(Plan!B:B,"822-096465-200",Plan!v:v)</f>
        <v>0</v>
      </c>
      <c r="W668">
        <f>sumif(Plan!B:B,"822-096465-200",Plan!w:w)</f>
        <v>0</v>
      </c>
      <c r="X668">
        <f>sumif(Plan!B:B,"822-096465-200",Plan!x:x)</f>
        <v>0</v>
      </c>
      <c r="Y668">
        <f>sumif(Plan!B:B,"822-096465-200",Plan!y:y)</f>
        <v>0</v>
      </c>
      <c r="Z668">
        <f>sumif(Plan!B:B,"822-096465-200",Plan!z:z)</f>
        <v>0</v>
      </c>
      <c r="AA668">
        <f>sumif(Plan!B:B,"822-096465-200",Plan!aa:aa)</f>
        <v>0</v>
      </c>
      <c r="AB668">
        <f>sumif(Plan!B:B,"822-096465-200",Plan!ab:ab)</f>
        <v>0</v>
      </c>
      <c r="AC668">
        <f>sumif(Plan!B:B,"822-096465-200",Plan!ac:ac)</f>
        <v>0</v>
      </c>
      <c r="AD668">
        <f>sumif(Plan!B:B,"822-096465-200",Plan!ad:ad)</f>
        <v>0</v>
      </c>
      <c r="AE668">
        <f>sumif(Plan!B:B,"822-096465-200",Plan!ae:ae)</f>
        <v>0</v>
      </c>
      <c r="AF668">
        <f>sumif(Plan!B:B,"822-096465-200",Plan!af:af)</f>
        <v>0</v>
      </c>
      <c r="AG668">
        <f>sumif(Plan!B:B,"822-096465-200",Plan!ag:ag)</f>
        <v>0</v>
      </c>
      <c r="AH668">
        <f>sumif(Plan!B:B,"822-096465-200",Plan!ah:ah)</f>
        <v>0</v>
      </c>
      <c r="AI668">
        <f>sumif(Plan!B:B,"822-096465-200",Plan!ai:ai)</f>
        <v>0</v>
      </c>
      <c r="AJ668">
        <f>sumif(Plan!B:B,"822-096465-200",Plan!aj:aj)</f>
        <v>0</v>
      </c>
      <c r="AK668">
        <f>sumif(Plan!B:B,"822-096465-200",Plan!ak:ak)</f>
        <v>0</v>
      </c>
      <c r="AL668">
        <f>sumif(Plan!B:B,"822-096465-200",Plan!al:al)</f>
        <v>0</v>
      </c>
      <c r="AM668">
        <f>sumif(Plan!B:B,"822-096465-200",Plan!am:am)</f>
        <v>0</v>
      </c>
      <c r="AN668">
        <f>sumif(Plan!B:B,"822-096465-200",Plan!an:an)</f>
        <v>0</v>
      </c>
      <c r="AO668">
        <f>sumif(Plan!B:B,"822-096465-200",Plan!ao:ao)</f>
        <v>0</v>
      </c>
    </row>
    <row r="669" spans="1:41">
      <c r="A669" t="s">
        <v>17</v>
      </c>
      <c r="B669" t="s">
        <v>422</v>
      </c>
      <c r="C669" t="s">
        <v>423</v>
      </c>
      <c r="E669">
        <v>1</v>
      </c>
      <c r="F669" t="s">
        <v>13</v>
      </c>
      <c r="H669" t="s">
        <v>16</v>
      </c>
      <c r="J669">
        <f>indirect(address(669,9))+indirect(address(667,10))-indirect(address(668,10))</f>
        <v>0</v>
      </c>
      <c r="K669">
        <f>indirect(address(669,10))+indirect(address(667,11))-indirect(address(668,11))</f>
        <v>0</v>
      </c>
      <c r="L669">
        <f>indirect(address(669,11))+indirect(address(667,12))-indirect(address(668,12))</f>
        <v>0</v>
      </c>
      <c r="M669">
        <f>indirect(address(669,12))+indirect(address(667,13))-indirect(address(668,13))</f>
        <v>0</v>
      </c>
      <c r="N669">
        <f>indirect(address(669,13))+indirect(address(667,14))-indirect(address(668,14))</f>
        <v>0</v>
      </c>
      <c r="O669">
        <f>indirect(address(669,14))+indirect(address(667,15))-indirect(address(668,15))</f>
        <v>0</v>
      </c>
      <c r="P669">
        <f>indirect(address(669,15))+indirect(address(667,16))-indirect(address(668,16))</f>
        <v>0</v>
      </c>
      <c r="Q669">
        <f>indirect(address(669,16))+indirect(address(667,17))-indirect(address(668,17))</f>
        <v>0</v>
      </c>
      <c r="R669">
        <f>indirect(address(669,17))+indirect(address(667,18))-indirect(address(668,18))</f>
        <v>0</v>
      </c>
      <c r="S669">
        <f>indirect(address(669,18))+indirect(address(667,19))-indirect(address(668,19))</f>
        <v>0</v>
      </c>
      <c r="T669">
        <f>indirect(address(669,19))+indirect(address(667,20))-indirect(address(668,20))</f>
        <v>0</v>
      </c>
      <c r="U669">
        <f>indirect(address(669,20))+indirect(address(667,21))-indirect(address(668,21))</f>
        <v>0</v>
      </c>
      <c r="V669">
        <f>indirect(address(669,21))+indirect(address(667,22))-indirect(address(668,22))</f>
        <v>0</v>
      </c>
      <c r="W669">
        <f>indirect(address(669,22))+indirect(address(667,23))-indirect(address(668,23))</f>
        <v>0</v>
      </c>
      <c r="X669">
        <f>indirect(address(669,23))+indirect(address(667,24))-indirect(address(668,24))</f>
        <v>0</v>
      </c>
      <c r="Y669">
        <f>indirect(address(669,24))+indirect(address(667,25))-indirect(address(668,25))</f>
        <v>0</v>
      </c>
      <c r="Z669">
        <f>indirect(address(669,25))+indirect(address(667,26))-indirect(address(668,26))</f>
        <v>0</v>
      </c>
      <c r="AA669">
        <f>indirect(address(669,26))+indirect(address(667,27))-indirect(address(668,27))</f>
        <v>0</v>
      </c>
      <c r="AB669">
        <f>indirect(address(669,27))+indirect(address(667,28))-indirect(address(668,28))</f>
        <v>0</v>
      </c>
      <c r="AC669">
        <f>indirect(address(669,28))+indirect(address(667,29))-indirect(address(668,29))</f>
        <v>0</v>
      </c>
      <c r="AD669">
        <f>indirect(address(669,29))+indirect(address(667,30))-indirect(address(668,30))</f>
        <v>0</v>
      </c>
      <c r="AE669">
        <f>indirect(address(669,30))+indirect(address(667,31))-indirect(address(668,31))</f>
        <v>0</v>
      </c>
      <c r="AF669">
        <f>indirect(address(669,31))+indirect(address(667,32))-indirect(address(668,32))</f>
        <v>0</v>
      </c>
      <c r="AG669">
        <f>indirect(address(669,32))+indirect(address(667,33))-indirect(address(668,33))</f>
        <v>0</v>
      </c>
      <c r="AH669">
        <f>indirect(address(669,33))+indirect(address(667,34))-indirect(address(668,34))</f>
        <v>0</v>
      </c>
      <c r="AI669">
        <f>indirect(address(669,34))+indirect(address(667,35))-indirect(address(668,35))</f>
        <v>0</v>
      </c>
      <c r="AJ669">
        <f>indirect(address(669,35))+indirect(address(667,36))-indirect(address(668,36))</f>
        <v>0</v>
      </c>
      <c r="AK669">
        <f>indirect(address(669,36))+indirect(address(667,37))-indirect(address(668,37))</f>
        <v>0</v>
      </c>
      <c r="AL669">
        <f>indirect(address(669,37))+indirect(address(667,38))-indirect(address(668,38))</f>
        <v>0</v>
      </c>
      <c r="AM669">
        <f>indirect(address(669,38))+indirect(address(667,39))-indirect(address(668,39))</f>
        <v>0</v>
      </c>
      <c r="AN669">
        <f>indirect(address(669,39))+indirect(address(667,40))-indirect(address(668,40))</f>
        <v>0</v>
      </c>
      <c r="AO669">
        <f>indirect(address(669,40))+indirect(address(667,41))-indirect(address(668,41))</f>
        <v>0</v>
      </c>
    </row>
    <row r="670" spans="1:41">
      <c r="I670" t="s">
        <v>14</v>
      </c>
      <c r="AO670">
        <f>sum(j670:an670)</f>
        <v>0</v>
      </c>
    </row>
    <row r="671" spans="1:41">
      <c r="I671" t="s">
        <v>15</v>
      </c>
      <c r="J671">
        <f>sumif(Plan!B:B,"262-000000-054",Plan!j:j)</f>
        <v>0</v>
      </c>
      <c r="K671">
        <f>sumif(Plan!B:B,"262-000000-054",Plan!k:k)</f>
        <v>0</v>
      </c>
      <c r="L671">
        <f>sumif(Plan!B:B,"262-000000-054",Plan!l:l)</f>
        <v>0</v>
      </c>
      <c r="M671">
        <f>sumif(Plan!B:B,"262-000000-054",Plan!m:m)</f>
        <v>0</v>
      </c>
      <c r="N671">
        <f>sumif(Plan!B:B,"262-000000-054",Plan!n:n)</f>
        <v>0</v>
      </c>
      <c r="O671">
        <f>sumif(Plan!B:B,"262-000000-054",Plan!o:o)</f>
        <v>0</v>
      </c>
      <c r="P671">
        <f>sumif(Plan!B:B,"262-000000-054",Plan!p:p)</f>
        <v>0</v>
      </c>
      <c r="Q671">
        <f>sumif(Plan!B:B,"262-000000-054",Plan!q:q)</f>
        <v>0</v>
      </c>
      <c r="R671">
        <f>sumif(Plan!B:B,"262-000000-054",Plan!r:r)</f>
        <v>0</v>
      </c>
      <c r="S671">
        <f>sumif(Plan!B:B,"262-000000-054",Plan!s:s)</f>
        <v>0</v>
      </c>
      <c r="T671">
        <f>sumif(Plan!B:B,"262-000000-054",Plan!t:t)</f>
        <v>0</v>
      </c>
      <c r="U671">
        <f>sumif(Plan!B:B,"262-000000-054",Plan!u:u)</f>
        <v>0</v>
      </c>
      <c r="V671">
        <f>sumif(Plan!B:B,"262-000000-054",Plan!v:v)</f>
        <v>0</v>
      </c>
      <c r="W671">
        <f>sumif(Plan!B:B,"262-000000-054",Plan!w:w)</f>
        <v>0</v>
      </c>
      <c r="X671">
        <f>sumif(Plan!B:B,"262-000000-054",Plan!x:x)</f>
        <v>0</v>
      </c>
      <c r="Y671">
        <f>sumif(Plan!B:B,"262-000000-054",Plan!y:y)</f>
        <v>0</v>
      </c>
      <c r="Z671">
        <f>sumif(Plan!B:B,"262-000000-054",Plan!z:z)</f>
        <v>0</v>
      </c>
      <c r="AA671">
        <f>sumif(Plan!B:B,"262-000000-054",Plan!aa:aa)</f>
        <v>0</v>
      </c>
      <c r="AB671">
        <f>sumif(Plan!B:B,"262-000000-054",Plan!ab:ab)</f>
        <v>0</v>
      </c>
      <c r="AC671">
        <f>sumif(Plan!B:B,"262-000000-054",Plan!ac:ac)</f>
        <v>0</v>
      </c>
      <c r="AD671">
        <f>sumif(Plan!B:B,"262-000000-054",Plan!ad:ad)</f>
        <v>0</v>
      </c>
      <c r="AE671">
        <f>sumif(Plan!B:B,"262-000000-054",Plan!ae:ae)</f>
        <v>0</v>
      </c>
      <c r="AF671">
        <f>sumif(Plan!B:B,"262-000000-054",Plan!af:af)</f>
        <v>0</v>
      </c>
      <c r="AG671">
        <f>sumif(Plan!B:B,"262-000000-054",Plan!ag:ag)</f>
        <v>0</v>
      </c>
      <c r="AH671">
        <f>sumif(Plan!B:B,"262-000000-054",Plan!ah:ah)</f>
        <v>0</v>
      </c>
      <c r="AI671">
        <f>sumif(Plan!B:B,"262-000000-054",Plan!ai:ai)</f>
        <v>0</v>
      </c>
      <c r="AJ671">
        <f>sumif(Plan!B:B,"262-000000-054",Plan!aj:aj)</f>
        <v>0</v>
      </c>
      <c r="AK671">
        <f>sumif(Plan!B:B,"262-000000-054",Plan!ak:ak)</f>
        <v>0</v>
      </c>
      <c r="AL671">
        <f>sumif(Plan!B:B,"262-000000-054",Plan!al:al)</f>
        <v>0</v>
      </c>
      <c r="AM671">
        <f>sumif(Plan!B:B,"262-000000-054",Plan!am:am)</f>
        <v>0</v>
      </c>
      <c r="AN671">
        <f>sumif(Plan!B:B,"262-000000-054",Plan!an:an)</f>
        <v>0</v>
      </c>
      <c r="AO671">
        <f>sumif(Plan!B:B,"262-000000-054",Plan!ao:ao)</f>
        <v>0</v>
      </c>
    </row>
    <row r="672" spans="1:41">
      <c r="A672" t="s">
        <v>22</v>
      </c>
      <c r="B672" t="s">
        <v>424</v>
      </c>
      <c r="C672" t="s">
        <v>425</v>
      </c>
      <c r="E672">
        <v>1</v>
      </c>
      <c r="F672" t="s">
        <v>13</v>
      </c>
      <c r="H672" t="s">
        <v>16</v>
      </c>
      <c r="J672">
        <f>indirect(address(672,9))+indirect(address(670,10))-indirect(address(671,10))</f>
        <v>0</v>
      </c>
      <c r="K672">
        <f>indirect(address(672,10))+indirect(address(670,11))-indirect(address(671,11))</f>
        <v>0</v>
      </c>
      <c r="L672">
        <f>indirect(address(672,11))+indirect(address(670,12))-indirect(address(671,12))</f>
        <v>0</v>
      </c>
      <c r="M672">
        <f>indirect(address(672,12))+indirect(address(670,13))-indirect(address(671,13))</f>
        <v>0</v>
      </c>
      <c r="N672">
        <f>indirect(address(672,13))+indirect(address(670,14))-indirect(address(671,14))</f>
        <v>0</v>
      </c>
      <c r="O672">
        <f>indirect(address(672,14))+indirect(address(670,15))-indirect(address(671,15))</f>
        <v>0</v>
      </c>
      <c r="P672">
        <f>indirect(address(672,15))+indirect(address(670,16))-indirect(address(671,16))</f>
        <v>0</v>
      </c>
      <c r="Q672">
        <f>indirect(address(672,16))+indirect(address(670,17))-indirect(address(671,17))</f>
        <v>0</v>
      </c>
      <c r="R672">
        <f>indirect(address(672,17))+indirect(address(670,18))-indirect(address(671,18))</f>
        <v>0</v>
      </c>
      <c r="S672">
        <f>indirect(address(672,18))+indirect(address(670,19))-indirect(address(671,19))</f>
        <v>0</v>
      </c>
      <c r="T672">
        <f>indirect(address(672,19))+indirect(address(670,20))-indirect(address(671,20))</f>
        <v>0</v>
      </c>
      <c r="U672">
        <f>indirect(address(672,20))+indirect(address(670,21))-indirect(address(671,21))</f>
        <v>0</v>
      </c>
      <c r="V672">
        <f>indirect(address(672,21))+indirect(address(670,22))-indirect(address(671,22))</f>
        <v>0</v>
      </c>
      <c r="W672">
        <f>indirect(address(672,22))+indirect(address(670,23))-indirect(address(671,23))</f>
        <v>0</v>
      </c>
      <c r="X672">
        <f>indirect(address(672,23))+indirect(address(670,24))-indirect(address(671,24))</f>
        <v>0</v>
      </c>
      <c r="Y672">
        <f>indirect(address(672,24))+indirect(address(670,25))-indirect(address(671,25))</f>
        <v>0</v>
      </c>
      <c r="Z672">
        <f>indirect(address(672,25))+indirect(address(670,26))-indirect(address(671,26))</f>
        <v>0</v>
      </c>
      <c r="AA672">
        <f>indirect(address(672,26))+indirect(address(670,27))-indirect(address(671,27))</f>
        <v>0</v>
      </c>
      <c r="AB672">
        <f>indirect(address(672,27))+indirect(address(670,28))-indirect(address(671,28))</f>
        <v>0</v>
      </c>
      <c r="AC672">
        <f>indirect(address(672,28))+indirect(address(670,29))-indirect(address(671,29))</f>
        <v>0</v>
      </c>
      <c r="AD672">
        <f>indirect(address(672,29))+indirect(address(670,30))-indirect(address(671,30))</f>
        <v>0</v>
      </c>
      <c r="AE672">
        <f>indirect(address(672,30))+indirect(address(670,31))-indirect(address(671,31))</f>
        <v>0</v>
      </c>
      <c r="AF672">
        <f>indirect(address(672,31))+indirect(address(670,32))-indirect(address(671,32))</f>
        <v>0</v>
      </c>
      <c r="AG672">
        <f>indirect(address(672,32))+indirect(address(670,33))-indirect(address(671,33))</f>
        <v>0</v>
      </c>
      <c r="AH672">
        <f>indirect(address(672,33))+indirect(address(670,34))-indirect(address(671,34))</f>
        <v>0</v>
      </c>
      <c r="AI672">
        <f>indirect(address(672,34))+indirect(address(670,35))-indirect(address(671,35))</f>
        <v>0</v>
      </c>
      <c r="AJ672">
        <f>indirect(address(672,35))+indirect(address(670,36))-indirect(address(671,36))</f>
        <v>0</v>
      </c>
      <c r="AK672">
        <f>indirect(address(672,36))+indirect(address(670,37))-indirect(address(671,37))</f>
        <v>0</v>
      </c>
      <c r="AL672">
        <f>indirect(address(672,37))+indirect(address(670,38))-indirect(address(671,38))</f>
        <v>0</v>
      </c>
      <c r="AM672">
        <f>indirect(address(672,38))+indirect(address(670,39))-indirect(address(671,39))</f>
        <v>0</v>
      </c>
      <c r="AN672">
        <f>indirect(address(672,39))+indirect(address(670,40))-indirect(address(671,40))</f>
        <v>0</v>
      </c>
      <c r="AO672">
        <f>indirect(address(672,40))+indirect(address(670,41))-indirect(address(671,41))</f>
        <v>0</v>
      </c>
    </row>
    <row r="673" spans="1:41">
      <c r="I673" t="s">
        <v>14</v>
      </c>
      <c r="AO673">
        <f>sum(j673:an673)</f>
        <v>0</v>
      </c>
    </row>
    <row r="674" spans="1:41">
      <c r="I674" t="s">
        <v>15</v>
      </c>
      <c r="J674">
        <f>sumif(Plan!B:B,"204-00923",Plan!j:j)</f>
        <v>0</v>
      </c>
      <c r="K674">
        <f>sumif(Plan!B:B,"204-00923",Plan!k:k)</f>
        <v>0</v>
      </c>
      <c r="L674">
        <f>sumif(Plan!B:B,"204-00923",Plan!l:l)</f>
        <v>0</v>
      </c>
      <c r="M674">
        <f>sumif(Plan!B:B,"204-00923",Plan!m:m)</f>
        <v>0</v>
      </c>
      <c r="N674">
        <f>sumif(Plan!B:B,"204-00923",Plan!n:n)</f>
        <v>0</v>
      </c>
      <c r="O674">
        <f>sumif(Plan!B:B,"204-00923",Plan!o:o)</f>
        <v>0</v>
      </c>
      <c r="P674">
        <f>sumif(Plan!B:B,"204-00923",Plan!p:p)</f>
        <v>0</v>
      </c>
      <c r="Q674">
        <f>sumif(Plan!B:B,"204-00923",Plan!q:q)</f>
        <v>0</v>
      </c>
      <c r="R674">
        <f>sumif(Plan!B:B,"204-00923",Plan!r:r)</f>
        <v>0</v>
      </c>
      <c r="S674">
        <f>sumif(Plan!B:B,"204-00923",Plan!s:s)</f>
        <v>0</v>
      </c>
      <c r="T674">
        <f>sumif(Plan!B:B,"204-00923",Plan!t:t)</f>
        <v>0</v>
      </c>
      <c r="U674">
        <f>sumif(Plan!B:B,"204-00923",Plan!u:u)</f>
        <v>0</v>
      </c>
      <c r="V674">
        <f>sumif(Plan!B:B,"204-00923",Plan!v:v)</f>
        <v>0</v>
      </c>
      <c r="W674">
        <f>sumif(Plan!B:B,"204-00923",Plan!w:w)</f>
        <v>0</v>
      </c>
      <c r="X674">
        <f>sumif(Plan!B:B,"204-00923",Plan!x:x)</f>
        <v>0</v>
      </c>
      <c r="Y674">
        <f>sumif(Plan!B:B,"204-00923",Plan!y:y)</f>
        <v>0</v>
      </c>
      <c r="Z674">
        <f>sumif(Plan!B:B,"204-00923",Plan!z:z)</f>
        <v>0</v>
      </c>
      <c r="AA674">
        <f>sumif(Plan!B:B,"204-00923",Plan!aa:aa)</f>
        <v>0</v>
      </c>
      <c r="AB674">
        <f>sumif(Plan!B:B,"204-00923",Plan!ab:ab)</f>
        <v>0</v>
      </c>
      <c r="AC674">
        <f>sumif(Plan!B:B,"204-00923",Plan!ac:ac)</f>
        <v>0</v>
      </c>
      <c r="AD674">
        <f>sumif(Plan!B:B,"204-00923",Plan!ad:ad)</f>
        <v>0</v>
      </c>
      <c r="AE674">
        <f>sumif(Plan!B:B,"204-00923",Plan!ae:ae)</f>
        <v>0</v>
      </c>
      <c r="AF674">
        <f>sumif(Plan!B:B,"204-00923",Plan!af:af)</f>
        <v>0</v>
      </c>
      <c r="AG674">
        <f>sumif(Plan!B:B,"204-00923",Plan!ag:ag)</f>
        <v>0</v>
      </c>
      <c r="AH674">
        <f>sumif(Plan!B:B,"204-00923",Plan!ah:ah)</f>
        <v>0</v>
      </c>
      <c r="AI674">
        <f>sumif(Plan!B:B,"204-00923",Plan!ai:ai)</f>
        <v>0</v>
      </c>
      <c r="AJ674">
        <f>sumif(Plan!B:B,"204-00923",Plan!aj:aj)</f>
        <v>0</v>
      </c>
      <c r="AK674">
        <f>sumif(Plan!B:B,"204-00923",Plan!ak:ak)</f>
        <v>0</v>
      </c>
      <c r="AL674">
        <f>sumif(Plan!B:B,"204-00923",Plan!al:al)</f>
        <v>0</v>
      </c>
      <c r="AM674">
        <f>sumif(Plan!B:B,"204-00923",Plan!am:am)</f>
        <v>0</v>
      </c>
      <c r="AN674">
        <f>sumif(Plan!B:B,"204-00923",Plan!an:an)</f>
        <v>0</v>
      </c>
      <c r="AO674">
        <f>sumif(Plan!B:B,"204-00923",Plan!ao:ao)</f>
        <v>0</v>
      </c>
    </row>
    <row r="675" spans="1:41">
      <c r="A675" t="s">
        <v>43</v>
      </c>
      <c r="B675" t="s">
        <v>426</v>
      </c>
      <c r="C675" t="s">
        <v>427</v>
      </c>
      <c r="E675">
        <v>0.05</v>
      </c>
      <c r="F675" t="s">
        <v>13</v>
      </c>
      <c r="H675" t="s">
        <v>16</v>
      </c>
      <c r="J675">
        <f>indirect(address(675,9))+indirect(address(673,10))-indirect(address(674,10))</f>
        <v>0</v>
      </c>
      <c r="K675">
        <f>indirect(address(675,10))+indirect(address(673,11))-indirect(address(674,11))</f>
        <v>0</v>
      </c>
      <c r="L675">
        <f>indirect(address(675,11))+indirect(address(673,12))-indirect(address(674,12))</f>
        <v>0</v>
      </c>
      <c r="M675">
        <f>indirect(address(675,12))+indirect(address(673,13))-indirect(address(674,13))</f>
        <v>0</v>
      </c>
      <c r="N675">
        <f>indirect(address(675,13))+indirect(address(673,14))-indirect(address(674,14))</f>
        <v>0</v>
      </c>
      <c r="O675">
        <f>indirect(address(675,14))+indirect(address(673,15))-indirect(address(674,15))</f>
        <v>0</v>
      </c>
      <c r="P675">
        <f>indirect(address(675,15))+indirect(address(673,16))-indirect(address(674,16))</f>
        <v>0</v>
      </c>
      <c r="Q675">
        <f>indirect(address(675,16))+indirect(address(673,17))-indirect(address(674,17))</f>
        <v>0</v>
      </c>
      <c r="R675">
        <f>indirect(address(675,17))+indirect(address(673,18))-indirect(address(674,18))</f>
        <v>0</v>
      </c>
      <c r="S675">
        <f>indirect(address(675,18))+indirect(address(673,19))-indirect(address(674,19))</f>
        <v>0</v>
      </c>
      <c r="T675">
        <f>indirect(address(675,19))+indirect(address(673,20))-indirect(address(674,20))</f>
        <v>0</v>
      </c>
      <c r="U675">
        <f>indirect(address(675,20))+indirect(address(673,21))-indirect(address(674,21))</f>
        <v>0</v>
      </c>
      <c r="V675">
        <f>indirect(address(675,21))+indirect(address(673,22))-indirect(address(674,22))</f>
        <v>0</v>
      </c>
      <c r="W675">
        <f>indirect(address(675,22))+indirect(address(673,23))-indirect(address(674,23))</f>
        <v>0</v>
      </c>
      <c r="X675">
        <f>indirect(address(675,23))+indirect(address(673,24))-indirect(address(674,24))</f>
        <v>0</v>
      </c>
      <c r="Y675">
        <f>indirect(address(675,24))+indirect(address(673,25))-indirect(address(674,25))</f>
        <v>0</v>
      </c>
      <c r="Z675">
        <f>indirect(address(675,25))+indirect(address(673,26))-indirect(address(674,26))</f>
        <v>0</v>
      </c>
      <c r="AA675">
        <f>indirect(address(675,26))+indirect(address(673,27))-indirect(address(674,27))</f>
        <v>0</v>
      </c>
      <c r="AB675">
        <f>indirect(address(675,27))+indirect(address(673,28))-indirect(address(674,28))</f>
        <v>0</v>
      </c>
      <c r="AC675">
        <f>indirect(address(675,28))+indirect(address(673,29))-indirect(address(674,29))</f>
        <v>0</v>
      </c>
      <c r="AD675">
        <f>indirect(address(675,29))+indirect(address(673,30))-indirect(address(674,30))</f>
        <v>0</v>
      </c>
      <c r="AE675">
        <f>indirect(address(675,30))+indirect(address(673,31))-indirect(address(674,31))</f>
        <v>0</v>
      </c>
      <c r="AF675">
        <f>indirect(address(675,31))+indirect(address(673,32))-indirect(address(674,32))</f>
        <v>0</v>
      </c>
      <c r="AG675">
        <f>indirect(address(675,32))+indirect(address(673,33))-indirect(address(674,33))</f>
        <v>0</v>
      </c>
      <c r="AH675">
        <f>indirect(address(675,33))+indirect(address(673,34))-indirect(address(674,34))</f>
        <v>0</v>
      </c>
      <c r="AI675">
        <f>indirect(address(675,34))+indirect(address(673,35))-indirect(address(674,35))</f>
        <v>0</v>
      </c>
      <c r="AJ675">
        <f>indirect(address(675,35))+indirect(address(673,36))-indirect(address(674,36))</f>
        <v>0</v>
      </c>
      <c r="AK675">
        <f>indirect(address(675,36))+indirect(address(673,37))-indirect(address(674,37))</f>
        <v>0</v>
      </c>
      <c r="AL675">
        <f>indirect(address(675,37))+indirect(address(673,38))-indirect(address(674,38))</f>
        <v>0</v>
      </c>
      <c r="AM675">
        <f>indirect(address(675,38))+indirect(address(673,39))-indirect(address(674,39))</f>
        <v>0</v>
      </c>
      <c r="AN675">
        <f>indirect(address(675,39))+indirect(address(673,40))-indirect(address(674,40))</f>
        <v>0</v>
      </c>
      <c r="AO675">
        <f>indirect(address(675,40))+indirect(address(673,41))-indirect(address(674,41))</f>
        <v>0</v>
      </c>
    </row>
    <row r="676" spans="1:41">
      <c r="I676" t="s">
        <v>14</v>
      </c>
      <c r="AO676">
        <f>sum(j676:an676)</f>
        <v>0</v>
      </c>
    </row>
    <row r="677" spans="1:41">
      <c r="I677" t="s">
        <v>15</v>
      </c>
      <c r="J677">
        <f>sumif(Plan!B:B,"262-000000-049",Plan!j:j)</f>
        <v>0</v>
      </c>
      <c r="K677">
        <f>sumif(Plan!B:B,"262-000000-049",Plan!k:k)</f>
        <v>0</v>
      </c>
      <c r="L677">
        <f>sumif(Plan!B:B,"262-000000-049",Plan!l:l)</f>
        <v>0</v>
      </c>
      <c r="M677">
        <f>sumif(Plan!B:B,"262-000000-049",Plan!m:m)</f>
        <v>0</v>
      </c>
      <c r="N677">
        <f>sumif(Plan!B:B,"262-000000-049",Plan!n:n)</f>
        <v>0</v>
      </c>
      <c r="O677">
        <f>sumif(Plan!B:B,"262-000000-049",Plan!o:o)</f>
        <v>0</v>
      </c>
      <c r="P677">
        <f>sumif(Plan!B:B,"262-000000-049",Plan!p:p)</f>
        <v>0</v>
      </c>
      <c r="Q677">
        <f>sumif(Plan!B:B,"262-000000-049",Plan!q:q)</f>
        <v>0</v>
      </c>
      <c r="R677">
        <f>sumif(Plan!B:B,"262-000000-049",Plan!r:r)</f>
        <v>0</v>
      </c>
      <c r="S677">
        <f>sumif(Plan!B:B,"262-000000-049",Plan!s:s)</f>
        <v>0</v>
      </c>
      <c r="T677">
        <f>sumif(Plan!B:B,"262-000000-049",Plan!t:t)</f>
        <v>0</v>
      </c>
      <c r="U677">
        <f>sumif(Plan!B:B,"262-000000-049",Plan!u:u)</f>
        <v>0</v>
      </c>
      <c r="V677">
        <f>sumif(Plan!B:B,"262-000000-049",Plan!v:v)</f>
        <v>0</v>
      </c>
      <c r="W677">
        <f>sumif(Plan!B:B,"262-000000-049",Plan!w:w)</f>
        <v>0</v>
      </c>
      <c r="X677">
        <f>sumif(Plan!B:B,"262-000000-049",Plan!x:x)</f>
        <v>0</v>
      </c>
      <c r="Y677">
        <f>sumif(Plan!B:B,"262-000000-049",Plan!y:y)</f>
        <v>0</v>
      </c>
      <c r="Z677">
        <f>sumif(Plan!B:B,"262-000000-049",Plan!z:z)</f>
        <v>0</v>
      </c>
      <c r="AA677">
        <f>sumif(Plan!B:B,"262-000000-049",Plan!aa:aa)</f>
        <v>0</v>
      </c>
      <c r="AB677">
        <f>sumif(Plan!B:B,"262-000000-049",Plan!ab:ab)</f>
        <v>0</v>
      </c>
      <c r="AC677">
        <f>sumif(Plan!B:B,"262-000000-049",Plan!ac:ac)</f>
        <v>0</v>
      </c>
      <c r="AD677">
        <f>sumif(Plan!B:B,"262-000000-049",Plan!ad:ad)</f>
        <v>0</v>
      </c>
      <c r="AE677">
        <f>sumif(Plan!B:B,"262-000000-049",Plan!ae:ae)</f>
        <v>0</v>
      </c>
      <c r="AF677">
        <f>sumif(Plan!B:B,"262-000000-049",Plan!af:af)</f>
        <v>0</v>
      </c>
      <c r="AG677">
        <f>sumif(Plan!B:B,"262-000000-049",Plan!ag:ag)</f>
        <v>0</v>
      </c>
      <c r="AH677">
        <f>sumif(Plan!B:B,"262-000000-049",Plan!ah:ah)</f>
        <v>0</v>
      </c>
      <c r="AI677">
        <f>sumif(Plan!B:B,"262-000000-049",Plan!ai:ai)</f>
        <v>0</v>
      </c>
      <c r="AJ677">
        <f>sumif(Plan!B:B,"262-000000-049",Plan!aj:aj)</f>
        <v>0</v>
      </c>
      <c r="AK677">
        <f>sumif(Plan!B:B,"262-000000-049",Plan!ak:ak)</f>
        <v>0</v>
      </c>
      <c r="AL677">
        <f>sumif(Plan!B:B,"262-000000-049",Plan!al:al)</f>
        <v>0</v>
      </c>
      <c r="AM677">
        <f>sumif(Plan!B:B,"262-000000-049",Plan!am:am)</f>
        <v>0</v>
      </c>
      <c r="AN677">
        <f>sumif(Plan!B:B,"262-000000-049",Plan!an:an)</f>
        <v>0</v>
      </c>
      <c r="AO677">
        <f>sumif(Plan!B:B,"262-000000-049",Plan!ao:ao)</f>
        <v>0</v>
      </c>
    </row>
    <row r="678" spans="1:41">
      <c r="A678" t="s">
        <v>22</v>
      </c>
      <c r="B678" t="s">
        <v>430</v>
      </c>
      <c r="C678" t="s">
        <v>431</v>
      </c>
      <c r="E678">
        <v>1</v>
      </c>
      <c r="F678" t="s">
        <v>13</v>
      </c>
      <c r="H678" t="s">
        <v>16</v>
      </c>
      <c r="J678">
        <f>indirect(address(678,9))+indirect(address(676,10))-indirect(address(677,10))</f>
        <v>0</v>
      </c>
      <c r="K678">
        <f>indirect(address(678,10))+indirect(address(676,11))-indirect(address(677,11))</f>
        <v>0</v>
      </c>
      <c r="L678">
        <f>indirect(address(678,11))+indirect(address(676,12))-indirect(address(677,12))</f>
        <v>0</v>
      </c>
      <c r="M678">
        <f>indirect(address(678,12))+indirect(address(676,13))-indirect(address(677,13))</f>
        <v>0</v>
      </c>
      <c r="N678">
        <f>indirect(address(678,13))+indirect(address(676,14))-indirect(address(677,14))</f>
        <v>0</v>
      </c>
      <c r="O678">
        <f>indirect(address(678,14))+indirect(address(676,15))-indirect(address(677,15))</f>
        <v>0</v>
      </c>
      <c r="P678">
        <f>indirect(address(678,15))+indirect(address(676,16))-indirect(address(677,16))</f>
        <v>0</v>
      </c>
      <c r="Q678">
        <f>indirect(address(678,16))+indirect(address(676,17))-indirect(address(677,17))</f>
        <v>0</v>
      </c>
      <c r="R678">
        <f>indirect(address(678,17))+indirect(address(676,18))-indirect(address(677,18))</f>
        <v>0</v>
      </c>
      <c r="S678">
        <f>indirect(address(678,18))+indirect(address(676,19))-indirect(address(677,19))</f>
        <v>0</v>
      </c>
      <c r="T678">
        <f>indirect(address(678,19))+indirect(address(676,20))-indirect(address(677,20))</f>
        <v>0</v>
      </c>
      <c r="U678">
        <f>indirect(address(678,20))+indirect(address(676,21))-indirect(address(677,21))</f>
        <v>0</v>
      </c>
      <c r="V678">
        <f>indirect(address(678,21))+indirect(address(676,22))-indirect(address(677,22))</f>
        <v>0</v>
      </c>
      <c r="W678">
        <f>indirect(address(678,22))+indirect(address(676,23))-indirect(address(677,23))</f>
        <v>0</v>
      </c>
      <c r="X678">
        <f>indirect(address(678,23))+indirect(address(676,24))-indirect(address(677,24))</f>
        <v>0</v>
      </c>
      <c r="Y678">
        <f>indirect(address(678,24))+indirect(address(676,25))-indirect(address(677,25))</f>
        <v>0</v>
      </c>
      <c r="Z678">
        <f>indirect(address(678,25))+indirect(address(676,26))-indirect(address(677,26))</f>
        <v>0</v>
      </c>
      <c r="AA678">
        <f>indirect(address(678,26))+indirect(address(676,27))-indirect(address(677,27))</f>
        <v>0</v>
      </c>
      <c r="AB678">
        <f>indirect(address(678,27))+indirect(address(676,28))-indirect(address(677,28))</f>
        <v>0</v>
      </c>
      <c r="AC678">
        <f>indirect(address(678,28))+indirect(address(676,29))-indirect(address(677,29))</f>
        <v>0</v>
      </c>
      <c r="AD678">
        <f>indirect(address(678,29))+indirect(address(676,30))-indirect(address(677,30))</f>
        <v>0</v>
      </c>
      <c r="AE678">
        <f>indirect(address(678,30))+indirect(address(676,31))-indirect(address(677,31))</f>
        <v>0</v>
      </c>
      <c r="AF678">
        <f>indirect(address(678,31))+indirect(address(676,32))-indirect(address(677,32))</f>
        <v>0</v>
      </c>
      <c r="AG678">
        <f>indirect(address(678,32))+indirect(address(676,33))-indirect(address(677,33))</f>
        <v>0</v>
      </c>
      <c r="AH678">
        <f>indirect(address(678,33))+indirect(address(676,34))-indirect(address(677,34))</f>
        <v>0</v>
      </c>
      <c r="AI678">
        <f>indirect(address(678,34))+indirect(address(676,35))-indirect(address(677,35))</f>
        <v>0</v>
      </c>
      <c r="AJ678">
        <f>indirect(address(678,35))+indirect(address(676,36))-indirect(address(677,36))</f>
        <v>0</v>
      </c>
      <c r="AK678">
        <f>indirect(address(678,36))+indirect(address(676,37))-indirect(address(677,37))</f>
        <v>0</v>
      </c>
      <c r="AL678">
        <f>indirect(address(678,37))+indirect(address(676,38))-indirect(address(677,38))</f>
        <v>0</v>
      </c>
      <c r="AM678">
        <f>indirect(address(678,38))+indirect(address(676,39))-indirect(address(677,39))</f>
        <v>0</v>
      </c>
      <c r="AN678">
        <f>indirect(address(678,39))+indirect(address(676,40))-indirect(address(677,40))</f>
        <v>0</v>
      </c>
      <c r="AO678">
        <f>indirect(address(678,40))+indirect(address(676,41))-indirect(address(677,41))</f>
        <v>0</v>
      </c>
    </row>
    <row r="679" spans="1:41">
      <c r="I679" t="s">
        <v>14</v>
      </c>
      <c r="AO679">
        <f>sum(j679:an679)</f>
        <v>0</v>
      </c>
    </row>
    <row r="680" spans="1:41">
      <c r="I680" t="s">
        <v>15</v>
      </c>
      <c r="J680">
        <f>sumif(Plan!B:B,"204-00920",Plan!j:j)</f>
        <v>0</v>
      </c>
      <c r="K680">
        <f>sumif(Plan!B:B,"204-00920",Plan!k:k)</f>
        <v>0</v>
      </c>
      <c r="L680">
        <f>sumif(Plan!B:B,"204-00920",Plan!l:l)</f>
        <v>0</v>
      </c>
      <c r="M680">
        <f>sumif(Plan!B:B,"204-00920",Plan!m:m)</f>
        <v>0</v>
      </c>
      <c r="N680">
        <f>sumif(Plan!B:B,"204-00920",Plan!n:n)</f>
        <v>0</v>
      </c>
      <c r="O680">
        <f>sumif(Plan!B:B,"204-00920",Plan!o:o)</f>
        <v>0</v>
      </c>
      <c r="P680">
        <f>sumif(Plan!B:B,"204-00920",Plan!p:p)</f>
        <v>0</v>
      </c>
      <c r="Q680">
        <f>sumif(Plan!B:B,"204-00920",Plan!q:q)</f>
        <v>0</v>
      </c>
      <c r="R680">
        <f>sumif(Plan!B:B,"204-00920",Plan!r:r)</f>
        <v>0</v>
      </c>
      <c r="S680">
        <f>sumif(Plan!B:B,"204-00920",Plan!s:s)</f>
        <v>0</v>
      </c>
      <c r="T680">
        <f>sumif(Plan!B:B,"204-00920",Plan!t:t)</f>
        <v>0</v>
      </c>
      <c r="U680">
        <f>sumif(Plan!B:B,"204-00920",Plan!u:u)</f>
        <v>0</v>
      </c>
      <c r="V680">
        <f>sumif(Plan!B:B,"204-00920",Plan!v:v)</f>
        <v>0</v>
      </c>
      <c r="W680">
        <f>sumif(Plan!B:B,"204-00920",Plan!w:w)</f>
        <v>0</v>
      </c>
      <c r="X680">
        <f>sumif(Plan!B:B,"204-00920",Plan!x:x)</f>
        <v>0</v>
      </c>
      <c r="Y680">
        <f>sumif(Plan!B:B,"204-00920",Plan!y:y)</f>
        <v>0</v>
      </c>
      <c r="Z680">
        <f>sumif(Plan!B:B,"204-00920",Plan!z:z)</f>
        <v>0</v>
      </c>
      <c r="AA680">
        <f>sumif(Plan!B:B,"204-00920",Plan!aa:aa)</f>
        <v>0</v>
      </c>
      <c r="AB680">
        <f>sumif(Plan!B:B,"204-00920",Plan!ab:ab)</f>
        <v>0</v>
      </c>
      <c r="AC680">
        <f>sumif(Plan!B:B,"204-00920",Plan!ac:ac)</f>
        <v>0</v>
      </c>
      <c r="AD680">
        <f>sumif(Plan!B:B,"204-00920",Plan!ad:ad)</f>
        <v>0</v>
      </c>
      <c r="AE680">
        <f>sumif(Plan!B:B,"204-00920",Plan!ae:ae)</f>
        <v>0</v>
      </c>
      <c r="AF680">
        <f>sumif(Plan!B:B,"204-00920",Plan!af:af)</f>
        <v>0</v>
      </c>
      <c r="AG680">
        <f>sumif(Plan!B:B,"204-00920",Plan!ag:ag)</f>
        <v>0</v>
      </c>
      <c r="AH680">
        <f>sumif(Plan!B:B,"204-00920",Plan!ah:ah)</f>
        <v>0</v>
      </c>
      <c r="AI680">
        <f>sumif(Plan!B:B,"204-00920",Plan!ai:ai)</f>
        <v>0</v>
      </c>
      <c r="AJ680">
        <f>sumif(Plan!B:B,"204-00920",Plan!aj:aj)</f>
        <v>0</v>
      </c>
      <c r="AK680">
        <f>sumif(Plan!B:B,"204-00920",Plan!ak:ak)</f>
        <v>0</v>
      </c>
      <c r="AL680">
        <f>sumif(Plan!B:B,"204-00920",Plan!al:al)</f>
        <v>0</v>
      </c>
      <c r="AM680">
        <f>sumif(Plan!B:B,"204-00920",Plan!am:am)</f>
        <v>0</v>
      </c>
      <c r="AN680">
        <f>sumif(Plan!B:B,"204-00920",Plan!an:an)</f>
        <v>0</v>
      </c>
      <c r="AO680">
        <f>sumif(Plan!B:B,"204-00920",Plan!ao:ao)</f>
        <v>0</v>
      </c>
    </row>
    <row r="681" spans="1:41">
      <c r="A681" t="s">
        <v>43</v>
      </c>
      <c r="B681" t="s">
        <v>432</v>
      </c>
      <c r="C681" t="s">
        <v>433</v>
      </c>
      <c r="E681">
        <v>0.05</v>
      </c>
      <c r="F681" t="s">
        <v>13</v>
      </c>
      <c r="H681" t="s">
        <v>16</v>
      </c>
      <c r="J681">
        <f>indirect(address(681,9))+indirect(address(679,10))-indirect(address(680,10))</f>
        <v>0</v>
      </c>
      <c r="K681">
        <f>indirect(address(681,10))+indirect(address(679,11))-indirect(address(680,11))</f>
        <v>0</v>
      </c>
      <c r="L681">
        <f>indirect(address(681,11))+indirect(address(679,12))-indirect(address(680,12))</f>
        <v>0</v>
      </c>
      <c r="M681">
        <f>indirect(address(681,12))+indirect(address(679,13))-indirect(address(680,13))</f>
        <v>0</v>
      </c>
      <c r="N681">
        <f>indirect(address(681,13))+indirect(address(679,14))-indirect(address(680,14))</f>
        <v>0</v>
      </c>
      <c r="O681">
        <f>indirect(address(681,14))+indirect(address(679,15))-indirect(address(680,15))</f>
        <v>0</v>
      </c>
      <c r="P681">
        <f>indirect(address(681,15))+indirect(address(679,16))-indirect(address(680,16))</f>
        <v>0</v>
      </c>
      <c r="Q681">
        <f>indirect(address(681,16))+indirect(address(679,17))-indirect(address(680,17))</f>
        <v>0</v>
      </c>
      <c r="R681">
        <f>indirect(address(681,17))+indirect(address(679,18))-indirect(address(680,18))</f>
        <v>0</v>
      </c>
      <c r="S681">
        <f>indirect(address(681,18))+indirect(address(679,19))-indirect(address(680,19))</f>
        <v>0</v>
      </c>
      <c r="T681">
        <f>indirect(address(681,19))+indirect(address(679,20))-indirect(address(680,20))</f>
        <v>0</v>
      </c>
      <c r="U681">
        <f>indirect(address(681,20))+indirect(address(679,21))-indirect(address(680,21))</f>
        <v>0</v>
      </c>
      <c r="V681">
        <f>indirect(address(681,21))+indirect(address(679,22))-indirect(address(680,22))</f>
        <v>0</v>
      </c>
      <c r="W681">
        <f>indirect(address(681,22))+indirect(address(679,23))-indirect(address(680,23))</f>
        <v>0</v>
      </c>
      <c r="X681">
        <f>indirect(address(681,23))+indirect(address(679,24))-indirect(address(680,24))</f>
        <v>0</v>
      </c>
      <c r="Y681">
        <f>indirect(address(681,24))+indirect(address(679,25))-indirect(address(680,25))</f>
        <v>0</v>
      </c>
      <c r="Z681">
        <f>indirect(address(681,25))+indirect(address(679,26))-indirect(address(680,26))</f>
        <v>0</v>
      </c>
      <c r="AA681">
        <f>indirect(address(681,26))+indirect(address(679,27))-indirect(address(680,27))</f>
        <v>0</v>
      </c>
      <c r="AB681">
        <f>indirect(address(681,27))+indirect(address(679,28))-indirect(address(680,28))</f>
        <v>0</v>
      </c>
      <c r="AC681">
        <f>indirect(address(681,28))+indirect(address(679,29))-indirect(address(680,29))</f>
        <v>0</v>
      </c>
      <c r="AD681">
        <f>indirect(address(681,29))+indirect(address(679,30))-indirect(address(680,30))</f>
        <v>0</v>
      </c>
      <c r="AE681">
        <f>indirect(address(681,30))+indirect(address(679,31))-indirect(address(680,31))</f>
        <v>0</v>
      </c>
      <c r="AF681">
        <f>indirect(address(681,31))+indirect(address(679,32))-indirect(address(680,32))</f>
        <v>0</v>
      </c>
      <c r="AG681">
        <f>indirect(address(681,32))+indirect(address(679,33))-indirect(address(680,33))</f>
        <v>0</v>
      </c>
      <c r="AH681">
        <f>indirect(address(681,33))+indirect(address(679,34))-indirect(address(680,34))</f>
        <v>0</v>
      </c>
      <c r="AI681">
        <f>indirect(address(681,34))+indirect(address(679,35))-indirect(address(680,35))</f>
        <v>0</v>
      </c>
      <c r="AJ681">
        <f>indirect(address(681,35))+indirect(address(679,36))-indirect(address(680,36))</f>
        <v>0</v>
      </c>
      <c r="AK681">
        <f>indirect(address(681,36))+indirect(address(679,37))-indirect(address(680,37))</f>
        <v>0</v>
      </c>
      <c r="AL681">
        <f>indirect(address(681,37))+indirect(address(679,38))-indirect(address(680,38))</f>
        <v>0</v>
      </c>
      <c r="AM681">
        <f>indirect(address(681,38))+indirect(address(679,39))-indirect(address(680,39))</f>
        <v>0</v>
      </c>
      <c r="AN681">
        <f>indirect(address(681,39))+indirect(address(679,40))-indirect(address(680,40))</f>
        <v>0</v>
      </c>
      <c r="AO681">
        <f>indirect(address(681,40))+indirect(address(679,41))-indirect(address(680,41))</f>
        <v>0</v>
      </c>
    </row>
    <row r="682" spans="1:41">
      <c r="I682" t="s">
        <v>14</v>
      </c>
      <c r="AO682">
        <f>sum(j682:an682)</f>
        <v>0</v>
      </c>
    </row>
    <row r="683" spans="1:41">
      <c r="I683" t="s">
        <v>15</v>
      </c>
      <c r="J683">
        <f>sumif(Plan!B:B,"262-000000-050",Plan!j:j)</f>
        <v>0</v>
      </c>
      <c r="K683">
        <f>sumif(Plan!B:B,"262-000000-050",Plan!k:k)</f>
        <v>0</v>
      </c>
      <c r="L683">
        <f>sumif(Plan!B:B,"262-000000-050",Plan!l:l)</f>
        <v>0</v>
      </c>
      <c r="M683">
        <f>sumif(Plan!B:B,"262-000000-050",Plan!m:m)</f>
        <v>0</v>
      </c>
      <c r="N683">
        <f>sumif(Plan!B:B,"262-000000-050",Plan!n:n)</f>
        <v>0</v>
      </c>
      <c r="O683">
        <f>sumif(Plan!B:B,"262-000000-050",Plan!o:o)</f>
        <v>0</v>
      </c>
      <c r="P683">
        <f>sumif(Plan!B:B,"262-000000-050",Plan!p:p)</f>
        <v>0</v>
      </c>
      <c r="Q683">
        <f>sumif(Plan!B:B,"262-000000-050",Plan!q:q)</f>
        <v>0</v>
      </c>
      <c r="R683">
        <f>sumif(Plan!B:B,"262-000000-050",Plan!r:r)</f>
        <v>0</v>
      </c>
      <c r="S683">
        <f>sumif(Plan!B:B,"262-000000-050",Plan!s:s)</f>
        <v>0</v>
      </c>
      <c r="T683">
        <f>sumif(Plan!B:B,"262-000000-050",Plan!t:t)</f>
        <v>0</v>
      </c>
      <c r="U683">
        <f>sumif(Plan!B:B,"262-000000-050",Plan!u:u)</f>
        <v>0</v>
      </c>
      <c r="V683">
        <f>sumif(Plan!B:B,"262-000000-050",Plan!v:v)</f>
        <v>0</v>
      </c>
      <c r="W683">
        <f>sumif(Plan!B:B,"262-000000-050",Plan!w:w)</f>
        <v>0</v>
      </c>
      <c r="X683">
        <f>sumif(Plan!B:B,"262-000000-050",Plan!x:x)</f>
        <v>0</v>
      </c>
      <c r="Y683">
        <f>sumif(Plan!B:B,"262-000000-050",Plan!y:y)</f>
        <v>0</v>
      </c>
      <c r="Z683">
        <f>sumif(Plan!B:B,"262-000000-050",Plan!z:z)</f>
        <v>0</v>
      </c>
      <c r="AA683">
        <f>sumif(Plan!B:B,"262-000000-050",Plan!aa:aa)</f>
        <v>0</v>
      </c>
      <c r="AB683">
        <f>sumif(Plan!B:B,"262-000000-050",Plan!ab:ab)</f>
        <v>0</v>
      </c>
      <c r="AC683">
        <f>sumif(Plan!B:B,"262-000000-050",Plan!ac:ac)</f>
        <v>0</v>
      </c>
      <c r="AD683">
        <f>sumif(Plan!B:B,"262-000000-050",Plan!ad:ad)</f>
        <v>0</v>
      </c>
      <c r="AE683">
        <f>sumif(Plan!B:B,"262-000000-050",Plan!ae:ae)</f>
        <v>0</v>
      </c>
      <c r="AF683">
        <f>sumif(Plan!B:B,"262-000000-050",Plan!af:af)</f>
        <v>0</v>
      </c>
      <c r="AG683">
        <f>sumif(Plan!B:B,"262-000000-050",Plan!ag:ag)</f>
        <v>0</v>
      </c>
      <c r="AH683">
        <f>sumif(Plan!B:B,"262-000000-050",Plan!ah:ah)</f>
        <v>0</v>
      </c>
      <c r="AI683">
        <f>sumif(Plan!B:B,"262-000000-050",Plan!ai:ai)</f>
        <v>0</v>
      </c>
      <c r="AJ683">
        <f>sumif(Plan!B:B,"262-000000-050",Plan!aj:aj)</f>
        <v>0</v>
      </c>
      <c r="AK683">
        <f>sumif(Plan!B:B,"262-000000-050",Plan!ak:ak)</f>
        <v>0</v>
      </c>
      <c r="AL683">
        <f>sumif(Plan!B:B,"262-000000-050",Plan!al:al)</f>
        <v>0</v>
      </c>
      <c r="AM683">
        <f>sumif(Plan!B:B,"262-000000-050",Plan!am:am)</f>
        <v>0</v>
      </c>
      <c r="AN683">
        <f>sumif(Plan!B:B,"262-000000-050",Plan!an:an)</f>
        <v>0</v>
      </c>
      <c r="AO683">
        <f>sumif(Plan!B:B,"262-000000-050",Plan!ao:ao)</f>
        <v>0</v>
      </c>
    </row>
    <row r="684" spans="1:41">
      <c r="A684" t="s">
        <v>22</v>
      </c>
      <c r="B684" t="s">
        <v>436</v>
      </c>
      <c r="C684" t="s">
        <v>437</v>
      </c>
      <c r="E684">
        <v>1</v>
      </c>
      <c r="F684" t="s">
        <v>13</v>
      </c>
      <c r="H684" t="s">
        <v>16</v>
      </c>
      <c r="J684">
        <f>indirect(address(684,9))+indirect(address(682,10))-indirect(address(683,10))</f>
        <v>0</v>
      </c>
      <c r="K684">
        <f>indirect(address(684,10))+indirect(address(682,11))-indirect(address(683,11))</f>
        <v>0</v>
      </c>
      <c r="L684">
        <f>indirect(address(684,11))+indirect(address(682,12))-indirect(address(683,12))</f>
        <v>0</v>
      </c>
      <c r="M684">
        <f>indirect(address(684,12))+indirect(address(682,13))-indirect(address(683,13))</f>
        <v>0</v>
      </c>
      <c r="N684">
        <f>indirect(address(684,13))+indirect(address(682,14))-indirect(address(683,14))</f>
        <v>0</v>
      </c>
      <c r="O684">
        <f>indirect(address(684,14))+indirect(address(682,15))-indirect(address(683,15))</f>
        <v>0</v>
      </c>
      <c r="P684">
        <f>indirect(address(684,15))+indirect(address(682,16))-indirect(address(683,16))</f>
        <v>0</v>
      </c>
      <c r="Q684">
        <f>indirect(address(684,16))+indirect(address(682,17))-indirect(address(683,17))</f>
        <v>0</v>
      </c>
      <c r="R684">
        <f>indirect(address(684,17))+indirect(address(682,18))-indirect(address(683,18))</f>
        <v>0</v>
      </c>
      <c r="S684">
        <f>indirect(address(684,18))+indirect(address(682,19))-indirect(address(683,19))</f>
        <v>0</v>
      </c>
      <c r="T684">
        <f>indirect(address(684,19))+indirect(address(682,20))-indirect(address(683,20))</f>
        <v>0</v>
      </c>
      <c r="U684">
        <f>indirect(address(684,20))+indirect(address(682,21))-indirect(address(683,21))</f>
        <v>0</v>
      </c>
      <c r="V684">
        <f>indirect(address(684,21))+indirect(address(682,22))-indirect(address(683,22))</f>
        <v>0</v>
      </c>
      <c r="W684">
        <f>indirect(address(684,22))+indirect(address(682,23))-indirect(address(683,23))</f>
        <v>0</v>
      </c>
      <c r="X684">
        <f>indirect(address(684,23))+indirect(address(682,24))-indirect(address(683,24))</f>
        <v>0</v>
      </c>
      <c r="Y684">
        <f>indirect(address(684,24))+indirect(address(682,25))-indirect(address(683,25))</f>
        <v>0</v>
      </c>
      <c r="Z684">
        <f>indirect(address(684,25))+indirect(address(682,26))-indirect(address(683,26))</f>
        <v>0</v>
      </c>
      <c r="AA684">
        <f>indirect(address(684,26))+indirect(address(682,27))-indirect(address(683,27))</f>
        <v>0</v>
      </c>
      <c r="AB684">
        <f>indirect(address(684,27))+indirect(address(682,28))-indirect(address(683,28))</f>
        <v>0</v>
      </c>
      <c r="AC684">
        <f>indirect(address(684,28))+indirect(address(682,29))-indirect(address(683,29))</f>
        <v>0</v>
      </c>
      <c r="AD684">
        <f>indirect(address(684,29))+indirect(address(682,30))-indirect(address(683,30))</f>
        <v>0</v>
      </c>
      <c r="AE684">
        <f>indirect(address(684,30))+indirect(address(682,31))-indirect(address(683,31))</f>
        <v>0</v>
      </c>
      <c r="AF684">
        <f>indirect(address(684,31))+indirect(address(682,32))-indirect(address(683,32))</f>
        <v>0</v>
      </c>
      <c r="AG684">
        <f>indirect(address(684,32))+indirect(address(682,33))-indirect(address(683,33))</f>
        <v>0</v>
      </c>
      <c r="AH684">
        <f>indirect(address(684,33))+indirect(address(682,34))-indirect(address(683,34))</f>
        <v>0</v>
      </c>
      <c r="AI684">
        <f>indirect(address(684,34))+indirect(address(682,35))-indirect(address(683,35))</f>
        <v>0</v>
      </c>
      <c r="AJ684">
        <f>indirect(address(684,35))+indirect(address(682,36))-indirect(address(683,36))</f>
        <v>0</v>
      </c>
      <c r="AK684">
        <f>indirect(address(684,36))+indirect(address(682,37))-indirect(address(683,37))</f>
        <v>0</v>
      </c>
      <c r="AL684">
        <f>indirect(address(684,37))+indirect(address(682,38))-indirect(address(683,38))</f>
        <v>0</v>
      </c>
      <c r="AM684">
        <f>indirect(address(684,38))+indirect(address(682,39))-indirect(address(683,39))</f>
        <v>0</v>
      </c>
      <c r="AN684">
        <f>indirect(address(684,39))+indirect(address(682,40))-indirect(address(683,40))</f>
        <v>0</v>
      </c>
      <c r="AO684">
        <f>indirect(address(684,40))+indirect(address(682,41))-indirect(address(683,41))</f>
        <v>0</v>
      </c>
    </row>
    <row r="685" spans="1:41">
      <c r="I685" t="s">
        <v>14</v>
      </c>
      <c r="AO685">
        <f>sum(j685:an685)</f>
        <v>0</v>
      </c>
    </row>
    <row r="686" spans="1:41">
      <c r="I686" t="s">
        <v>15</v>
      </c>
      <c r="J686">
        <f>sumif(Plan!B:B,"204-00921",Plan!j:j)</f>
        <v>0</v>
      </c>
      <c r="K686">
        <f>sumif(Plan!B:B,"204-00921",Plan!k:k)</f>
        <v>0</v>
      </c>
      <c r="L686">
        <f>sumif(Plan!B:B,"204-00921",Plan!l:l)</f>
        <v>0</v>
      </c>
      <c r="M686">
        <f>sumif(Plan!B:B,"204-00921",Plan!m:m)</f>
        <v>0</v>
      </c>
      <c r="N686">
        <f>sumif(Plan!B:B,"204-00921",Plan!n:n)</f>
        <v>0</v>
      </c>
      <c r="O686">
        <f>sumif(Plan!B:B,"204-00921",Plan!o:o)</f>
        <v>0</v>
      </c>
      <c r="P686">
        <f>sumif(Plan!B:B,"204-00921",Plan!p:p)</f>
        <v>0</v>
      </c>
      <c r="Q686">
        <f>sumif(Plan!B:B,"204-00921",Plan!q:q)</f>
        <v>0</v>
      </c>
      <c r="R686">
        <f>sumif(Plan!B:B,"204-00921",Plan!r:r)</f>
        <v>0</v>
      </c>
      <c r="S686">
        <f>sumif(Plan!B:B,"204-00921",Plan!s:s)</f>
        <v>0</v>
      </c>
      <c r="T686">
        <f>sumif(Plan!B:B,"204-00921",Plan!t:t)</f>
        <v>0</v>
      </c>
      <c r="U686">
        <f>sumif(Plan!B:B,"204-00921",Plan!u:u)</f>
        <v>0</v>
      </c>
      <c r="V686">
        <f>sumif(Plan!B:B,"204-00921",Plan!v:v)</f>
        <v>0</v>
      </c>
      <c r="W686">
        <f>sumif(Plan!B:B,"204-00921",Plan!w:w)</f>
        <v>0</v>
      </c>
      <c r="X686">
        <f>sumif(Plan!B:B,"204-00921",Plan!x:x)</f>
        <v>0</v>
      </c>
      <c r="Y686">
        <f>sumif(Plan!B:B,"204-00921",Plan!y:y)</f>
        <v>0</v>
      </c>
      <c r="Z686">
        <f>sumif(Plan!B:B,"204-00921",Plan!z:z)</f>
        <v>0</v>
      </c>
      <c r="AA686">
        <f>sumif(Plan!B:B,"204-00921",Plan!aa:aa)</f>
        <v>0</v>
      </c>
      <c r="AB686">
        <f>sumif(Plan!B:B,"204-00921",Plan!ab:ab)</f>
        <v>0</v>
      </c>
      <c r="AC686">
        <f>sumif(Plan!B:B,"204-00921",Plan!ac:ac)</f>
        <v>0</v>
      </c>
      <c r="AD686">
        <f>sumif(Plan!B:B,"204-00921",Plan!ad:ad)</f>
        <v>0</v>
      </c>
      <c r="AE686">
        <f>sumif(Plan!B:B,"204-00921",Plan!ae:ae)</f>
        <v>0</v>
      </c>
      <c r="AF686">
        <f>sumif(Plan!B:B,"204-00921",Plan!af:af)</f>
        <v>0</v>
      </c>
      <c r="AG686">
        <f>sumif(Plan!B:B,"204-00921",Plan!ag:ag)</f>
        <v>0</v>
      </c>
      <c r="AH686">
        <f>sumif(Plan!B:B,"204-00921",Plan!ah:ah)</f>
        <v>0</v>
      </c>
      <c r="AI686">
        <f>sumif(Plan!B:B,"204-00921",Plan!ai:ai)</f>
        <v>0</v>
      </c>
      <c r="AJ686">
        <f>sumif(Plan!B:B,"204-00921",Plan!aj:aj)</f>
        <v>0</v>
      </c>
      <c r="AK686">
        <f>sumif(Plan!B:B,"204-00921",Plan!ak:ak)</f>
        <v>0</v>
      </c>
      <c r="AL686">
        <f>sumif(Plan!B:B,"204-00921",Plan!al:al)</f>
        <v>0</v>
      </c>
      <c r="AM686">
        <f>sumif(Plan!B:B,"204-00921",Plan!am:am)</f>
        <v>0</v>
      </c>
      <c r="AN686">
        <f>sumif(Plan!B:B,"204-00921",Plan!an:an)</f>
        <v>0</v>
      </c>
      <c r="AO686">
        <f>sumif(Plan!B:B,"204-00921",Plan!ao:ao)</f>
        <v>0</v>
      </c>
    </row>
    <row r="687" spans="1:41">
      <c r="A687" t="s">
        <v>43</v>
      </c>
      <c r="B687" t="s">
        <v>438</v>
      </c>
      <c r="C687" t="s">
        <v>439</v>
      </c>
      <c r="E687">
        <v>0.05</v>
      </c>
      <c r="F687" t="s">
        <v>13</v>
      </c>
      <c r="H687" t="s">
        <v>16</v>
      </c>
      <c r="J687">
        <f>indirect(address(687,9))+indirect(address(685,10))-indirect(address(686,10))</f>
        <v>0</v>
      </c>
      <c r="K687">
        <f>indirect(address(687,10))+indirect(address(685,11))-indirect(address(686,11))</f>
        <v>0</v>
      </c>
      <c r="L687">
        <f>indirect(address(687,11))+indirect(address(685,12))-indirect(address(686,12))</f>
        <v>0</v>
      </c>
      <c r="M687">
        <f>indirect(address(687,12))+indirect(address(685,13))-indirect(address(686,13))</f>
        <v>0</v>
      </c>
      <c r="N687">
        <f>indirect(address(687,13))+indirect(address(685,14))-indirect(address(686,14))</f>
        <v>0</v>
      </c>
      <c r="O687">
        <f>indirect(address(687,14))+indirect(address(685,15))-indirect(address(686,15))</f>
        <v>0</v>
      </c>
      <c r="P687">
        <f>indirect(address(687,15))+indirect(address(685,16))-indirect(address(686,16))</f>
        <v>0</v>
      </c>
      <c r="Q687">
        <f>indirect(address(687,16))+indirect(address(685,17))-indirect(address(686,17))</f>
        <v>0</v>
      </c>
      <c r="R687">
        <f>indirect(address(687,17))+indirect(address(685,18))-indirect(address(686,18))</f>
        <v>0</v>
      </c>
      <c r="S687">
        <f>indirect(address(687,18))+indirect(address(685,19))-indirect(address(686,19))</f>
        <v>0</v>
      </c>
      <c r="T687">
        <f>indirect(address(687,19))+indirect(address(685,20))-indirect(address(686,20))</f>
        <v>0</v>
      </c>
      <c r="U687">
        <f>indirect(address(687,20))+indirect(address(685,21))-indirect(address(686,21))</f>
        <v>0</v>
      </c>
      <c r="V687">
        <f>indirect(address(687,21))+indirect(address(685,22))-indirect(address(686,22))</f>
        <v>0</v>
      </c>
      <c r="W687">
        <f>indirect(address(687,22))+indirect(address(685,23))-indirect(address(686,23))</f>
        <v>0</v>
      </c>
      <c r="X687">
        <f>indirect(address(687,23))+indirect(address(685,24))-indirect(address(686,24))</f>
        <v>0</v>
      </c>
      <c r="Y687">
        <f>indirect(address(687,24))+indirect(address(685,25))-indirect(address(686,25))</f>
        <v>0</v>
      </c>
      <c r="Z687">
        <f>indirect(address(687,25))+indirect(address(685,26))-indirect(address(686,26))</f>
        <v>0</v>
      </c>
      <c r="AA687">
        <f>indirect(address(687,26))+indirect(address(685,27))-indirect(address(686,27))</f>
        <v>0</v>
      </c>
      <c r="AB687">
        <f>indirect(address(687,27))+indirect(address(685,28))-indirect(address(686,28))</f>
        <v>0</v>
      </c>
      <c r="AC687">
        <f>indirect(address(687,28))+indirect(address(685,29))-indirect(address(686,29))</f>
        <v>0</v>
      </c>
      <c r="AD687">
        <f>indirect(address(687,29))+indirect(address(685,30))-indirect(address(686,30))</f>
        <v>0</v>
      </c>
      <c r="AE687">
        <f>indirect(address(687,30))+indirect(address(685,31))-indirect(address(686,31))</f>
        <v>0</v>
      </c>
      <c r="AF687">
        <f>indirect(address(687,31))+indirect(address(685,32))-indirect(address(686,32))</f>
        <v>0</v>
      </c>
      <c r="AG687">
        <f>indirect(address(687,32))+indirect(address(685,33))-indirect(address(686,33))</f>
        <v>0</v>
      </c>
      <c r="AH687">
        <f>indirect(address(687,33))+indirect(address(685,34))-indirect(address(686,34))</f>
        <v>0</v>
      </c>
      <c r="AI687">
        <f>indirect(address(687,34))+indirect(address(685,35))-indirect(address(686,35))</f>
        <v>0</v>
      </c>
      <c r="AJ687">
        <f>indirect(address(687,35))+indirect(address(685,36))-indirect(address(686,36))</f>
        <v>0</v>
      </c>
      <c r="AK687">
        <f>indirect(address(687,36))+indirect(address(685,37))-indirect(address(686,37))</f>
        <v>0</v>
      </c>
      <c r="AL687">
        <f>indirect(address(687,37))+indirect(address(685,38))-indirect(address(686,38))</f>
        <v>0</v>
      </c>
      <c r="AM687">
        <f>indirect(address(687,38))+indirect(address(685,39))-indirect(address(686,39))</f>
        <v>0</v>
      </c>
      <c r="AN687">
        <f>indirect(address(687,39))+indirect(address(685,40))-indirect(address(686,40))</f>
        <v>0</v>
      </c>
      <c r="AO687">
        <f>indirect(address(687,40))+indirect(address(685,41))-indirect(address(686,41))</f>
        <v>0</v>
      </c>
    </row>
    <row r="688" spans="1:41">
      <c r="I688" t="s">
        <v>14</v>
      </c>
      <c r="AO688">
        <f>sum(j688:an688)</f>
        <v>0</v>
      </c>
    </row>
    <row r="689" spans="1:41">
      <c r="I689" t="s">
        <v>15</v>
      </c>
      <c r="J689">
        <f>sumif(Plan!B:B,"262-000000-052",Plan!j:j)</f>
        <v>0</v>
      </c>
      <c r="K689">
        <f>sumif(Plan!B:B,"262-000000-052",Plan!k:k)</f>
        <v>0</v>
      </c>
      <c r="L689">
        <f>sumif(Plan!B:B,"262-000000-052",Plan!l:l)</f>
        <v>0</v>
      </c>
      <c r="M689">
        <f>sumif(Plan!B:B,"262-000000-052",Plan!m:m)</f>
        <v>0</v>
      </c>
      <c r="N689">
        <f>sumif(Plan!B:B,"262-000000-052",Plan!n:n)</f>
        <v>0</v>
      </c>
      <c r="O689">
        <f>sumif(Plan!B:B,"262-000000-052",Plan!o:o)</f>
        <v>0</v>
      </c>
      <c r="P689">
        <f>sumif(Plan!B:B,"262-000000-052",Plan!p:p)</f>
        <v>0</v>
      </c>
      <c r="Q689">
        <f>sumif(Plan!B:B,"262-000000-052",Plan!q:q)</f>
        <v>0</v>
      </c>
      <c r="R689">
        <f>sumif(Plan!B:B,"262-000000-052",Plan!r:r)</f>
        <v>0</v>
      </c>
      <c r="S689">
        <f>sumif(Plan!B:B,"262-000000-052",Plan!s:s)</f>
        <v>0</v>
      </c>
      <c r="T689">
        <f>sumif(Plan!B:B,"262-000000-052",Plan!t:t)</f>
        <v>0</v>
      </c>
      <c r="U689">
        <f>sumif(Plan!B:B,"262-000000-052",Plan!u:u)</f>
        <v>0</v>
      </c>
      <c r="V689">
        <f>sumif(Plan!B:B,"262-000000-052",Plan!v:v)</f>
        <v>0</v>
      </c>
      <c r="W689">
        <f>sumif(Plan!B:B,"262-000000-052",Plan!w:w)</f>
        <v>0</v>
      </c>
      <c r="X689">
        <f>sumif(Plan!B:B,"262-000000-052",Plan!x:x)</f>
        <v>0</v>
      </c>
      <c r="Y689">
        <f>sumif(Plan!B:B,"262-000000-052",Plan!y:y)</f>
        <v>0</v>
      </c>
      <c r="Z689">
        <f>sumif(Plan!B:B,"262-000000-052",Plan!z:z)</f>
        <v>0</v>
      </c>
      <c r="AA689">
        <f>sumif(Plan!B:B,"262-000000-052",Plan!aa:aa)</f>
        <v>0</v>
      </c>
      <c r="AB689">
        <f>sumif(Plan!B:B,"262-000000-052",Plan!ab:ab)</f>
        <v>0</v>
      </c>
      <c r="AC689">
        <f>sumif(Plan!B:B,"262-000000-052",Plan!ac:ac)</f>
        <v>0</v>
      </c>
      <c r="AD689">
        <f>sumif(Plan!B:B,"262-000000-052",Plan!ad:ad)</f>
        <v>0</v>
      </c>
      <c r="AE689">
        <f>sumif(Plan!B:B,"262-000000-052",Plan!ae:ae)</f>
        <v>0</v>
      </c>
      <c r="AF689">
        <f>sumif(Plan!B:B,"262-000000-052",Plan!af:af)</f>
        <v>0</v>
      </c>
      <c r="AG689">
        <f>sumif(Plan!B:B,"262-000000-052",Plan!ag:ag)</f>
        <v>0</v>
      </c>
      <c r="AH689">
        <f>sumif(Plan!B:B,"262-000000-052",Plan!ah:ah)</f>
        <v>0</v>
      </c>
      <c r="AI689">
        <f>sumif(Plan!B:B,"262-000000-052",Plan!ai:ai)</f>
        <v>0</v>
      </c>
      <c r="AJ689">
        <f>sumif(Plan!B:B,"262-000000-052",Plan!aj:aj)</f>
        <v>0</v>
      </c>
      <c r="AK689">
        <f>sumif(Plan!B:B,"262-000000-052",Plan!ak:ak)</f>
        <v>0</v>
      </c>
      <c r="AL689">
        <f>sumif(Plan!B:B,"262-000000-052",Plan!al:al)</f>
        <v>0</v>
      </c>
      <c r="AM689">
        <f>sumif(Plan!B:B,"262-000000-052",Plan!am:am)</f>
        <v>0</v>
      </c>
      <c r="AN689">
        <f>sumif(Plan!B:B,"262-000000-052",Plan!an:an)</f>
        <v>0</v>
      </c>
      <c r="AO689">
        <f>sumif(Plan!B:B,"262-000000-052",Plan!ao:ao)</f>
        <v>0</v>
      </c>
    </row>
    <row r="690" spans="1:41">
      <c r="A690" t="s">
        <v>22</v>
      </c>
      <c r="B690" t="s">
        <v>442</v>
      </c>
      <c r="C690" t="s">
        <v>443</v>
      </c>
      <c r="E690">
        <v>1</v>
      </c>
      <c r="F690" t="s">
        <v>13</v>
      </c>
      <c r="H690" t="s">
        <v>16</v>
      </c>
      <c r="J690">
        <f>indirect(address(690,9))+indirect(address(688,10))-indirect(address(689,10))</f>
        <v>0</v>
      </c>
      <c r="K690">
        <f>indirect(address(690,10))+indirect(address(688,11))-indirect(address(689,11))</f>
        <v>0</v>
      </c>
      <c r="L690">
        <f>indirect(address(690,11))+indirect(address(688,12))-indirect(address(689,12))</f>
        <v>0</v>
      </c>
      <c r="M690">
        <f>indirect(address(690,12))+indirect(address(688,13))-indirect(address(689,13))</f>
        <v>0</v>
      </c>
      <c r="N690">
        <f>indirect(address(690,13))+indirect(address(688,14))-indirect(address(689,14))</f>
        <v>0</v>
      </c>
      <c r="O690">
        <f>indirect(address(690,14))+indirect(address(688,15))-indirect(address(689,15))</f>
        <v>0</v>
      </c>
      <c r="P690">
        <f>indirect(address(690,15))+indirect(address(688,16))-indirect(address(689,16))</f>
        <v>0</v>
      </c>
      <c r="Q690">
        <f>indirect(address(690,16))+indirect(address(688,17))-indirect(address(689,17))</f>
        <v>0</v>
      </c>
      <c r="R690">
        <f>indirect(address(690,17))+indirect(address(688,18))-indirect(address(689,18))</f>
        <v>0</v>
      </c>
      <c r="S690">
        <f>indirect(address(690,18))+indirect(address(688,19))-indirect(address(689,19))</f>
        <v>0</v>
      </c>
      <c r="T690">
        <f>indirect(address(690,19))+indirect(address(688,20))-indirect(address(689,20))</f>
        <v>0</v>
      </c>
      <c r="U690">
        <f>indirect(address(690,20))+indirect(address(688,21))-indirect(address(689,21))</f>
        <v>0</v>
      </c>
      <c r="V690">
        <f>indirect(address(690,21))+indirect(address(688,22))-indirect(address(689,22))</f>
        <v>0</v>
      </c>
      <c r="W690">
        <f>indirect(address(690,22))+indirect(address(688,23))-indirect(address(689,23))</f>
        <v>0</v>
      </c>
      <c r="X690">
        <f>indirect(address(690,23))+indirect(address(688,24))-indirect(address(689,24))</f>
        <v>0</v>
      </c>
      <c r="Y690">
        <f>indirect(address(690,24))+indirect(address(688,25))-indirect(address(689,25))</f>
        <v>0</v>
      </c>
      <c r="Z690">
        <f>indirect(address(690,25))+indirect(address(688,26))-indirect(address(689,26))</f>
        <v>0</v>
      </c>
      <c r="AA690">
        <f>indirect(address(690,26))+indirect(address(688,27))-indirect(address(689,27))</f>
        <v>0</v>
      </c>
      <c r="AB690">
        <f>indirect(address(690,27))+indirect(address(688,28))-indirect(address(689,28))</f>
        <v>0</v>
      </c>
      <c r="AC690">
        <f>indirect(address(690,28))+indirect(address(688,29))-indirect(address(689,29))</f>
        <v>0</v>
      </c>
      <c r="AD690">
        <f>indirect(address(690,29))+indirect(address(688,30))-indirect(address(689,30))</f>
        <v>0</v>
      </c>
      <c r="AE690">
        <f>indirect(address(690,30))+indirect(address(688,31))-indirect(address(689,31))</f>
        <v>0</v>
      </c>
      <c r="AF690">
        <f>indirect(address(690,31))+indirect(address(688,32))-indirect(address(689,32))</f>
        <v>0</v>
      </c>
      <c r="AG690">
        <f>indirect(address(690,32))+indirect(address(688,33))-indirect(address(689,33))</f>
        <v>0</v>
      </c>
      <c r="AH690">
        <f>indirect(address(690,33))+indirect(address(688,34))-indirect(address(689,34))</f>
        <v>0</v>
      </c>
      <c r="AI690">
        <f>indirect(address(690,34))+indirect(address(688,35))-indirect(address(689,35))</f>
        <v>0</v>
      </c>
      <c r="AJ690">
        <f>indirect(address(690,35))+indirect(address(688,36))-indirect(address(689,36))</f>
        <v>0</v>
      </c>
      <c r="AK690">
        <f>indirect(address(690,36))+indirect(address(688,37))-indirect(address(689,37))</f>
        <v>0</v>
      </c>
      <c r="AL690">
        <f>indirect(address(690,37))+indirect(address(688,38))-indirect(address(689,38))</f>
        <v>0</v>
      </c>
      <c r="AM690">
        <f>indirect(address(690,38))+indirect(address(688,39))-indirect(address(689,39))</f>
        <v>0</v>
      </c>
      <c r="AN690">
        <f>indirect(address(690,39))+indirect(address(688,40))-indirect(address(689,40))</f>
        <v>0</v>
      </c>
      <c r="AO690">
        <f>indirect(address(690,40))+indirect(address(688,41))-indirect(address(689,41))</f>
        <v>0</v>
      </c>
    </row>
    <row r="691" spans="1:41">
      <c r="I691" t="s">
        <v>14</v>
      </c>
      <c r="AO691">
        <f>sum(j691:an691)</f>
        <v>0</v>
      </c>
    </row>
    <row r="692" spans="1:41">
      <c r="I692" t="s">
        <v>15</v>
      </c>
      <c r="J692">
        <f>sumif(Plan!B:B,"204-00924",Plan!j:j)</f>
        <v>0</v>
      </c>
      <c r="K692">
        <f>sumif(Plan!B:B,"204-00924",Plan!k:k)</f>
        <v>0</v>
      </c>
      <c r="L692">
        <f>sumif(Plan!B:B,"204-00924",Plan!l:l)</f>
        <v>0</v>
      </c>
      <c r="M692">
        <f>sumif(Plan!B:B,"204-00924",Plan!m:m)</f>
        <v>0</v>
      </c>
      <c r="N692">
        <f>sumif(Plan!B:B,"204-00924",Plan!n:n)</f>
        <v>0</v>
      </c>
      <c r="O692">
        <f>sumif(Plan!B:B,"204-00924",Plan!o:o)</f>
        <v>0</v>
      </c>
      <c r="P692">
        <f>sumif(Plan!B:B,"204-00924",Plan!p:p)</f>
        <v>0</v>
      </c>
      <c r="Q692">
        <f>sumif(Plan!B:B,"204-00924",Plan!q:q)</f>
        <v>0</v>
      </c>
      <c r="R692">
        <f>sumif(Plan!B:B,"204-00924",Plan!r:r)</f>
        <v>0</v>
      </c>
      <c r="S692">
        <f>sumif(Plan!B:B,"204-00924",Plan!s:s)</f>
        <v>0</v>
      </c>
      <c r="T692">
        <f>sumif(Plan!B:B,"204-00924",Plan!t:t)</f>
        <v>0</v>
      </c>
      <c r="U692">
        <f>sumif(Plan!B:B,"204-00924",Plan!u:u)</f>
        <v>0</v>
      </c>
      <c r="V692">
        <f>sumif(Plan!B:B,"204-00924",Plan!v:v)</f>
        <v>0</v>
      </c>
      <c r="W692">
        <f>sumif(Plan!B:B,"204-00924",Plan!w:w)</f>
        <v>0</v>
      </c>
      <c r="X692">
        <f>sumif(Plan!B:B,"204-00924",Plan!x:x)</f>
        <v>0</v>
      </c>
      <c r="Y692">
        <f>sumif(Plan!B:B,"204-00924",Plan!y:y)</f>
        <v>0</v>
      </c>
      <c r="Z692">
        <f>sumif(Plan!B:B,"204-00924",Plan!z:z)</f>
        <v>0</v>
      </c>
      <c r="AA692">
        <f>sumif(Plan!B:B,"204-00924",Plan!aa:aa)</f>
        <v>0</v>
      </c>
      <c r="AB692">
        <f>sumif(Plan!B:B,"204-00924",Plan!ab:ab)</f>
        <v>0</v>
      </c>
      <c r="AC692">
        <f>sumif(Plan!B:B,"204-00924",Plan!ac:ac)</f>
        <v>0</v>
      </c>
      <c r="AD692">
        <f>sumif(Plan!B:B,"204-00924",Plan!ad:ad)</f>
        <v>0</v>
      </c>
      <c r="AE692">
        <f>sumif(Plan!B:B,"204-00924",Plan!ae:ae)</f>
        <v>0</v>
      </c>
      <c r="AF692">
        <f>sumif(Plan!B:B,"204-00924",Plan!af:af)</f>
        <v>0</v>
      </c>
      <c r="AG692">
        <f>sumif(Plan!B:B,"204-00924",Plan!ag:ag)</f>
        <v>0</v>
      </c>
      <c r="AH692">
        <f>sumif(Plan!B:B,"204-00924",Plan!ah:ah)</f>
        <v>0</v>
      </c>
      <c r="AI692">
        <f>sumif(Plan!B:B,"204-00924",Plan!ai:ai)</f>
        <v>0</v>
      </c>
      <c r="AJ692">
        <f>sumif(Plan!B:B,"204-00924",Plan!aj:aj)</f>
        <v>0</v>
      </c>
      <c r="AK692">
        <f>sumif(Plan!B:B,"204-00924",Plan!ak:ak)</f>
        <v>0</v>
      </c>
      <c r="AL692">
        <f>sumif(Plan!B:B,"204-00924",Plan!al:al)</f>
        <v>0</v>
      </c>
      <c r="AM692">
        <f>sumif(Plan!B:B,"204-00924",Plan!am:am)</f>
        <v>0</v>
      </c>
      <c r="AN692">
        <f>sumif(Plan!B:B,"204-00924",Plan!an:an)</f>
        <v>0</v>
      </c>
      <c r="AO692">
        <f>sumif(Plan!B:B,"204-00924",Plan!ao:ao)</f>
        <v>0</v>
      </c>
    </row>
    <row r="693" spans="1:41">
      <c r="A693" t="s">
        <v>43</v>
      </c>
      <c r="B693" t="s">
        <v>444</v>
      </c>
      <c r="C693" t="s">
        <v>445</v>
      </c>
      <c r="E693">
        <v>0.05</v>
      </c>
      <c r="F693" t="s">
        <v>13</v>
      </c>
      <c r="H693" t="s">
        <v>16</v>
      </c>
      <c r="J693">
        <f>indirect(address(693,9))+indirect(address(691,10))-indirect(address(692,10))</f>
        <v>0</v>
      </c>
      <c r="K693">
        <f>indirect(address(693,10))+indirect(address(691,11))-indirect(address(692,11))</f>
        <v>0</v>
      </c>
      <c r="L693">
        <f>indirect(address(693,11))+indirect(address(691,12))-indirect(address(692,12))</f>
        <v>0</v>
      </c>
      <c r="M693">
        <f>indirect(address(693,12))+indirect(address(691,13))-indirect(address(692,13))</f>
        <v>0</v>
      </c>
      <c r="N693">
        <f>indirect(address(693,13))+indirect(address(691,14))-indirect(address(692,14))</f>
        <v>0</v>
      </c>
      <c r="O693">
        <f>indirect(address(693,14))+indirect(address(691,15))-indirect(address(692,15))</f>
        <v>0</v>
      </c>
      <c r="P693">
        <f>indirect(address(693,15))+indirect(address(691,16))-indirect(address(692,16))</f>
        <v>0</v>
      </c>
      <c r="Q693">
        <f>indirect(address(693,16))+indirect(address(691,17))-indirect(address(692,17))</f>
        <v>0</v>
      </c>
      <c r="R693">
        <f>indirect(address(693,17))+indirect(address(691,18))-indirect(address(692,18))</f>
        <v>0</v>
      </c>
      <c r="S693">
        <f>indirect(address(693,18))+indirect(address(691,19))-indirect(address(692,19))</f>
        <v>0</v>
      </c>
      <c r="T693">
        <f>indirect(address(693,19))+indirect(address(691,20))-indirect(address(692,20))</f>
        <v>0</v>
      </c>
      <c r="U693">
        <f>indirect(address(693,20))+indirect(address(691,21))-indirect(address(692,21))</f>
        <v>0</v>
      </c>
      <c r="V693">
        <f>indirect(address(693,21))+indirect(address(691,22))-indirect(address(692,22))</f>
        <v>0</v>
      </c>
      <c r="W693">
        <f>indirect(address(693,22))+indirect(address(691,23))-indirect(address(692,23))</f>
        <v>0</v>
      </c>
      <c r="X693">
        <f>indirect(address(693,23))+indirect(address(691,24))-indirect(address(692,24))</f>
        <v>0</v>
      </c>
      <c r="Y693">
        <f>indirect(address(693,24))+indirect(address(691,25))-indirect(address(692,25))</f>
        <v>0</v>
      </c>
      <c r="Z693">
        <f>indirect(address(693,25))+indirect(address(691,26))-indirect(address(692,26))</f>
        <v>0</v>
      </c>
      <c r="AA693">
        <f>indirect(address(693,26))+indirect(address(691,27))-indirect(address(692,27))</f>
        <v>0</v>
      </c>
      <c r="AB693">
        <f>indirect(address(693,27))+indirect(address(691,28))-indirect(address(692,28))</f>
        <v>0</v>
      </c>
      <c r="AC693">
        <f>indirect(address(693,28))+indirect(address(691,29))-indirect(address(692,29))</f>
        <v>0</v>
      </c>
      <c r="AD693">
        <f>indirect(address(693,29))+indirect(address(691,30))-indirect(address(692,30))</f>
        <v>0</v>
      </c>
      <c r="AE693">
        <f>indirect(address(693,30))+indirect(address(691,31))-indirect(address(692,31))</f>
        <v>0</v>
      </c>
      <c r="AF693">
        <f>indirect(address(693,31))+indirect(address(691,32))-indirect(address(692,32))</f>
        <v>0</v>
      </c>
      <c r="AG693">
        <f>indirect(address(693,32))+indirect(address(691,33))-indirect(address(692,33))</f>
        <v>0</v>
      </c>
      <c r="AH693">
        <f>indirect(address(693,33))+indirect(address(691,34))-indirect(address(692,34))</f>
        <v>0</v>
      </c>
      <c r="AI693">
        <f>indirect(address(693,34))+indirect(address(691,35))-indirect(address(692,35))</f>
        <v>0</v>
      </c>
      <c r="AJ693">
        <f>indirect(address(693,35))+indirect(address(691,36))-indirect(address(692,36))</f>
        <v>0</v>
      </c>
      <c r="AK693">
        <f>indirect(address(693,36))+indirect(address(691,37))-indirect(address(692,37))</f>
        <v>0</v>
      </c>
      <c r="AL693">
        <f>indirect(address(693,37))+indirect(address(691,38))-indirect(address(692,38))</f>
        <v>0</v>
      </c>
      <c r="AM693">
        <f>indirect(address(693,38))+indirect(address(691,39))-indirect(address(692,39))</f>
        <v>0</v>
      </c>
      <c r="AN693">
        <f>indirect(address(693,39))+indirect(address(691,40))-indirect(address(692,40))</f>
        <v>0</v>
      </c>
      <c r="AO693">
        <f>indirect(address(693,40))+indirect(address(691,41))-indirect(address(692,41))</f>
        <v>0</v>
      </c>
    </row>
    <row r="694" spans="1:41">
      <c r="I694" t="s">
        <v>14</v>
      </c>
      <c r="AO694">
        <f>sum(j694:an694)</f>
        <v>0</v>
      </c>
    </row>
    <row r="695" spans="1:41">
      <c r="I695" t="s">
        <v>15</v>
      </c>
      <c r="J695">
        <f>sumif(Plan!B:B,"262-000000-051",Plan!j:j)</f>
        <v>0</v>
      </c>
      <c r="K695">
        <f>sumif(Plan!B:B,"262-000000-051",Plan!k:k)</f>
        <v>0</v>
      </c>
      <c r="L695">
        <f>sumif(Plan!B:B,"262-000000-051",Plan!l:l)</f>
        <v>0</v>
      </c>
      <c r="M695">
        <f>sumif(Plan!B:B,"262-000000-051",Plan!m:m)</f>
        <v>0</v>
      </c>
      <c r="N695">
        <f>sumif(Plan!B:B,"262-000000-051",Plan!n:n)</f>
        <v>0</v>
      </c>
      <c r="O695">
        <f>sumif(Plan!B:B,"262-000000-051",Plan!o:o)</f>
        <v>0</v>
      </c>
      <c r="P695">
        <f>sumif(Plan!B:B,"262-000000-051",Plan!p:p)</f>
        <v>0</v>
      </c>
      <c r="Q695">
        <f>sumif(Plan!B:B,"262-000000-051",Plan!q:q)</f>
        <v>0</v>
      </c>
      <c r="R695">
        <f>sumif(Plan!B:B,"262-000000-051",Plan!r:r)</f>
        <v>0</v>
      </c>
      <c r="S695">
        <f>sumif(Plan!B:B,"262-000000-051",Plan!s:s)</f>
        <v>0</v>
      </c>
      <c r="T695">
        <f>sumif(Plan!B:B,"262-000000-051",Plan!t:t)</f>
        <v>0</v>
      </c>
      <c r="U695">
        <f>sumif(Plan!B:B,"262-000000-051",Plan!u:u)</f>
        <v>0</v>
      </c>
      <c r="V695">
        <f>sumif(Plan!B:B,"262-000000-051",Plan!v:v)</f>
        <v>0</v>
      </c>
      <c r="W695">
        <f>sumif(Plan!B:B,"262-000000-051",Plan!w:w)</f>
        <v>0</v>
      </c>
      <c r="X695">
        <f>sumif(Plan!B:B,"262-000000-051",Plan!x:x)</f>
        <v>0</v>
      </c>
      <c r="Y695">
        <f>sumif(Plan!B:B,"262-000000-051",Plan!y:y)</f>
        <v>0</v>
      </c>
      <c r="Z695">
        <f>sumif(Plan!B:B,"262-000000-051",Plan!z:z)</f>
        <v>0</v>
      </c>
      <c r="AA695">
        <f>sumif(Plan!B:B,"262-000000-051",Plan!aa:aa)</f>
        <v>0</v>
      </c>
      <c r="AB695">
        <f>sumif(Plan!B:B,"262-000000-051",Plan!ab:ab)</f>
        <v>0</v>
      </c>
      <c r="AC695">
        <f>sumif(Plan!B:B,"262-000000-051",Plan!ac:ac)</f>
        <v>0</v>
      </c>
      <c r="AD695">
        <f>sumif(Plan!B:B,"262-000000-051",Plan!ad:ad)</f>
        <v>0</v>
      </c>
      <c r="AE695">
        <f>sumif(Plan!B:B,"262-000000-051",Plan!ae:ae)</f>
        <v>0</v>
      </c>
      <c r="AF695">
        <f>sumif(Plan!B:B,"262-000000-051",Plan!af:af)</f>
        <v>0</v>
      </c>
      <c r="AG695">
        <f>sumif(Plan!B:B,"262-000000-051",Plan!ag:ag)</f>
        <v>0</v>
      </c>
      <c r="AH695">
        <f>sumif(Plan!B:B,"262-000000-051",Plan!ah:ah)</f>
        <v>0</v>
      </c>
      <c r="AI695">
        <f>sumif(Plan!B:B,"262-000000-051",Plan!ai:ai)</f>
        <v>0</v>
      </c>
      <c r="AJ695">
        <f>sumif(Plan!B:B,"262-000000-051",Plan!aj:aj)</f>
        <v>0</v>
      </c>
      <c r="AK695">
        <f>sumif(Plan!B:B,"262-000000-051",Plan!ak:ak)</f>
        <v>0</v>
      </c>
      <c r="AL695">
        <f>sumif(Plan!B:B,"262-000000-051",Plan!al:al)</f>
        <v>0</v>
      </c>
      <c r="AM695">
        <f>sumif(Plan!B:B,"262-000000-051",Plan!am:am)</f>
        <v>0</v>
      </c>
      <c r="AN695">
        <f>sumif(Plan!B:B,"262-000000-051",Plan!an:an)</f>
        <v>0</v>
      </c>
      <c r="AO695">
        <f>sumif(Plan!B:B,"262-000000-051",Plan!ao:ao)</f>
        <v>0</v>
      </c>
    </row>
    <row r="696" spans="1:41">
      <c r="A696" t="s">
        <v>22</v>
      </c>
      <c r="B696" t="s">
        <v>448</v>
      </c>
      <c r="C696" t="s">
        <v>449</v>
      </c>
      <c r="E696">
        <v>1</v>
      </c>
      <c r="F696" t="s">
        <v>13</v>
      </c>
      <c r="H696" t="s">
        <v>16</v>
      </c>
      <c r="J696">
        <f>indirect(address(696,9))+indirect(address(694,10))-indirect(address(695,10))</f>
        <v>0</v>
      </c>
      <c r="K696">
        <f>indirect(address(696,10))+indirect(address(694,11))-indirect(address(695,11))</f>
        <v>0</v>
      </c>
      <c r="L696">
        <f>indirect(address(696,11))+indirect(address(694,12))-indirect(address(695,12))</f>
        <v>0</v>
      </c>
      <c r="M696">
        <f>indirect(address(696,12))+indirect(address(694,13))-indirect(address(695,13))</f>
        <v>0</v>
      </c>
      <c r="N696">
        <f>indirect(address(696,13))+indirect(address(694,14))-indirect(address(695,14))</f>
        <v>0</v>
      </c>
      <c r="O696">
        <f>indirect(address(696,14))+indirect(address(694,15))-indirect(address(695,15))</f>
        <v>0</v>
      </c>
      <c r="P696">
        <f>indirect(address(696,15))+indirect(address(694,16))-indirect(address(695,16))</f>
        <v>0</v>
      </c>
      <c r="Q696">
        <f>indirect(address(696,16))+indirect(address(694,17))-indirect(address(695,17))</f>
        <v>0</v>
      </c>
      <c r="R696">
        <f>indirect(address(696,17))+indirect(address(694,18))-indirect(address(695,18))</f>
        <v>0</v>
      </c>
      <c r="S696">
        <f>indirect(address(696,18))+indirect(address(694,19))-indirect(address(695,19))</f>
        <v>0</v>
      </c>
      <c r="T696">
        <f>indirect(address(696,19))+indirect(address(694,20))-indirect(address(695,20))</f>
        <v>0</v>
      </c>
      <c r="U696">
        <f>indirect(address(696,20))+indirect(address(694,21))-indirect(address(695,21))</f>
        <v>0</v>
      </c>
      <c r="V696">
        <f>indirect(address(696,21))+indirect(address(694,22))-indirect(address(695,22))</f>
        <v>0</v>
      </c>
      <c r="W696">
        <f>indirect(address(696,22))+indirect(address(694,23))-indirect(address(695,23))</f>
        <v>0</v>
      </c>
      <c r="X696">
        <f>indirect(address(696,23))+indirect(address(694,24))-indirect(address(695,24))</f>
        <v>0</v>
      </c>
      <c r="Y696">
        <f>indirect(address(696,24))+indirect(address(694,25))-indirect(address(695,25))</f>
        <v>0</v>
      </c>
      <c r="Z696">
        <f>indirect(address(696,25))+indirect(address(694,26))-indirect(address(695,26))</f>
        <v>0</v>
      </c>
      <c r="AA696">
        <f>indirect(address(696,26))+indirect(address(694,27))-indirect(address(695,27))</f>
        <v>0</v>
      </c>
      <c r="AB696">
        <f>indirect(address(696,27))+indirect(address(694,28))-indirect(address(695,28))</f>
        <v>0</v>
      </c>
      <c r="AC696">
        <f>indirect(address(696,28))+indirect(address(694,29))-indirect(address(695,29))</f>
        <v>0</v>
      </c>
      <c r="AD696">
        <f>indirect(address(696,29))+indirect(address(694,30))-indirect(address(695,30))</f>
        <v>0</v>
      </c>
      <c r="AE696">
        <f>indirect(address(696,30))+indirect(address(694,31))-indirect(address(695,31))</f>
        <v>0</v>
      </c>
      <c r="AF696">
        <f>indirect(address(696,31))+indirect(address(694,32))-indirect(address(695,32))</f>
        <v>0</v>
      </c>
      <c r="AG696">
        <f>indirect(address(696,32))+indirect(address(694,33))-indirect(address(695,33))</f>
        <v>0</v>
      </c>
      <c r="AH696">
        <f>indirect(address(696,33))+indirect(address(694,34))-indirect(address(695,34))</f>
        <v>0</v>
      </c>
      <c r="AI696">
        <f>indirect(address(696,34))+indirect(address(694,35))-indirect(address(695,35))</f>
        <v>0</v>
      </c>
      <c r="AJ696">
        <f>indirect(address(696,35))+indirect(address(694,36))-indirect(address(695,36))</f>
        <v>0</v>
      </c>
      <c r="AK696">
        <f>indirect(address(696,36))+indirect(address(694,37))-indirect(address(695,37))</f>
        <v>0</v>
      </c>
      <c r="AL696">
        <f>indirect(address(696,37))+indirect(address(694,38))-indirect(address(695,38))</f>
        <v>0</v>
      </c>
      <c r="AM696">
        <f>indirect(address(696,38))+indirect(address(694,39))-indirect(address(695,39))</f>
        <v>0</v>
      </c>
      <c r="AN696">
        <f>indirect(address(696,39))+indirect(address(694,40))-indirect(address(695,40))</f>
        <v>0</v>
      </c>
      <c r="AO696">
        <f>indirect(address(696,40))+indirect(address(694,41))-indirect(address(695,41))</f>
        <v>0</v>
      </c>
    </row>
    <row r="697" spans="1:41">
      <c r="I697" t="s">
        <v>14</v>
      </c>
      <c r="AO697">
        <f>sum(j697:an697)</f>
        <v>0</v>
      </c>
    </row>
    <row r="698" spans="1:41">
      <c r="I698" t="s">
        <v>15</v>
      </c>
      <c r="J698">
        <f>sumif(Plan!B:B,"204-00925",Plan!j:j)</f>
        <v>0</v>
      </c>
      <c r="K698">
        <f>sumif(Plan!B:B,"204-00925",Plan!k:k)</f>
        <v>0</v>
      </c>
      <c r="L698">
        <f>sumif(Plan!B:B,"204-00925",Plan!l:l)</f>
        <v>0</v>
      </c>
      <c r="M698">
        <f>sumif(Plan!B:B,"204-00925",Plan!m:m)</f>
        <v>0</v>
      </c>
      <c r="N698">
        <f>sumif(Plan!B:B,"204-00925",Plan!n:n)</f>
        <v>0</v>
      </c>
      <c r="O698">
        <f>sumif(Plan!B:B,"204-00925",Plan!o:o)</f>
        <v>0</v>
      </c>
      <c r="P698">
        <f>sumif(Plan!B:B,"204-00925",Plan!p:p)</f>
        <v>0</v>
      </c>
      <c r="Q698">
        <f>sumif(Plan!B:B,"204-00925",Plan!q:q)</f>
        <v>0</v>
      </c>
      <c r="R698">
        <f>sumif(Plan!B:B,"204-00925",Plan!r:r)</f>
        <v>0</v>
      </c>
      <c r="S698">
        <f>sumif(Plan!B:B,"204-00925",Plan!s:s)</f>
        <v>0</v>
      </c>
      <c r="T698">
        <f>sumif(Plan!B:B,"204-00925",Plan!t:t)</f>
        <v>0</v>
      </c>
      <c r="U698">
        <f>sumif(Plan!B:B,"204-00925",Plan!u:u)</f>
        <v>0</v>
      </c>
      <c r="V698">
        <f>sumif(Plan!B:B,"204-00925",Plan!v:v)</f>
        <v>0</v>
      </c>
      <c r="W698">
        <f>sumif(Plan!B:B,"204-00925",Plan!w:w)</f>
        <v>0</v>
      </c>
      <c r="X698">
        <f>sumif(Plan!B:B,"204-00925",Plan!x:x)</f>
        <v>0</v>
      </c>
      <c r="Y698">
        <f>sumif(Plan!B:B,"204-00925",Plan!y:y)</f>
        <v>0</v>
      </c>
      <c r="Z698">
        <f>sumif(Plan!B:B,"204-00925",Plan!z:z)</f>
        <v>0</v>
      </c>
      <c r="AA698">
        <f>sumif(Plan!B:B,"204-00925",Plan!aa:aa)</f>
        <v>0</v>
      </c>
      <c r="AB698">
        <f>sumif(Plan!B:B,"204-00925",Plan!ab:ab)</f>
        <v>0</v>
      </c>
      <c r="AC698">
        <f>sumif(Plan!B:B,"204-00925",Plan!ac:ac)</f>
        <v>0</v>
      </c>
      <c r="AD698">
        <f>sumif(Plan!B:B,"204-00925",Plan!ad:ad)</f>
        <v>0</v>
      </c>
      <c r="AE698">
        <f>sumif(Plan!B:B,"204-00925",Plan!ae:ae)</f>
        <v>0</v>
      </c>
      <c r="AF698">
        <f>sumif(Plan!B:B,"204-00925",Plan!af:af)</f>
        <v>0</v>
      </c>
      <c r="AG698">
        <f>sumif(Plan!B:B,"204-00925",Plan!ag:ag)</f>
        <v>0</v>
      </c>
      <c r="AH698">
        <f>sumif(Plan!B:B,"204-00925",Plan!ah:ah)</f>
        <v>0</v>
      </c>
      <c r="AI698">
        <f>sumif(Plan!B:B,"204-00925",Plan!ai:ai)</f>
        <v>0</v>
      </c>
      <c r="AJ698">
        <f>sumif(Plan!B:B,"204-00925",Plan!aj:aj)</f>
        <v>0</v>
      </c>
      <c r="AK698">
        <f>sumif(Plan!B:B,"204-00925",Plan!ak:ak)</f>
        <v>0</v>
      </c>
      <c r="AL698">
        <f>sumif(Plan!B:B,"204-00925",Plan!al:al)</f>
        <v>0</v>
      </c>
      <c r="AM698">
        <f>sumif(Plan!B:B,"204-00925",Plan!am:am)</f>
        <v>0</v>
      </c>
      <c r="AN698">
        <f>sumif(Plan!B:B,"204-00925",Plan!an:an)</f>
        <v>0</v>
      </c>
      <c r="AO698">
        <f>sumif(Plan!B:B,"204-00925",Plan!ao:ao)</f>
        <v>0</v>
      </c>
    </row>
    <row r="699" spans="1:41">
      <c r="A699" t="s">
        <v>43</v>
      </c>
      <c r="B699" t="s">
        <v>450</v>
      </c>
      <c r="C699" t="s">
        <v>451</v>
      </c>
      <c r="E699">
        <v>0.05</v>
      </c>
      <c r="F699" t="s">
        <v>13</v>
      </c>
      <c r="H699" t="s">
        <v>16</v>
      </c>
      <c r="J699">
        <f>indirect(address(699,9))+indirect(address(697,10))-indirect(address(698,10))</f>
        <v>0</v>
      </c>
      <c r="K699">
        <f>indirect(address(699,10))+indirect(address(697,11))-indirect(address(698,11))</f>
        <v>0</v>
      </c>
      <c r="L699">
        <f>indirect(address(699,11))+indirect(address(697,12))-indirect(address(698,12))</f>
        <v>0</v>
      </c>
      <c r="M699">
        <f>indirect(address(699,12))+indirect(address(697,13))-indirect(address(698,13))</f>
        <v>0</v>
      </c>
      <c r="N699">
        <f>indirect(address(699,13))+indirect(address(697,14))-indirect(address(698,14))</f>
        <v>0</v>
      </c>
      <c r="O699">
        <f>indirect(address(699,14))+indirect(address(697,15))-indirect(address(698,15))</f>
        <v>0</v>
      </c>
      <c r="P699">
        <f>indirect(address(699,15))+indirect(address(697,16))-indirect(address(698,16))</f>
        <v>0</v>
      </c>
      <c r="Q699">
        <f>indirect(address(699,16))+indirect(address(697,17))-indirect(address(698,17))</f>
        <v>0</v>
      </c>
      <c r="R699">
        <f>indirect(address(699,17))+indirect(address(697,18))-indirect(address(698,18))</f>
        <v>0</v>
      </c>
      <c r="S699">
        <f>indirect(address(699,18))+indirect(address(697,19))-indirect(address(698,19))</f>
        <v>0</v>
      </c>
      <c r="T699">
        <f>indirect(address(699,19))+indirect(address(697,20))-indirect(address(698,20))</f>
        <v>0</v>
      </c>
      <c r="U699">
        <f>indirect(address(699,20))+indirect(address(697,21))-indirect(address(698,21))</f>
        <v>0</v>
      </c>
      <c r="V699">
        <f>indirect(address(699,21))+indirect(address(697,22))-indirect(address(698,22))</f>
        <v>0</v>
      </c>
      <c r="W699">
        <f>indirect(address(699,22))+indirect(address(697,23))-indirect(address(698,23))</f>
        <v>0</v>
      </c>
      <c r="X699">
        <f>indirect(address(699,23))+indirect(address(697,24))-indirect(address(698,24))</f>
        <v>0</v>
      </c>
      <c r="Y699">
        <f>indirect(address(699,24))+indirect(address(697,25))-indirect(address(698,25))</f>
        <v>0</v>
      </c>
      <c r="Z699">
        <f>indirect(address(699,25))+indirect(address(697,26))-indirect(address(698,26))</f>
        <v>0</v>
      </c>
      <c r="AA699">
        <f>indirect(address(699,26))+indirect(address(697,27))-indirect(address(698,27))</f>
        <v>0</v>
      </c>
      <c r="AB699">
        <f>indirect(address(699,27))+indirect(address(697,28))-indirect(address(698,28))</f>
        <v>0</v>
      </c>
      <c r="AC699">
        <f>indirect(address(699,28))+indirect(address(697,29))-indirect(address(698,29))</f>
        <v>0</v>
      </c>
      <c r="AD699">
        <f>indirect(address(699,29))+indirect(address(697,30))-indirect(address(698,30))</f>
        <v>0</v>
      </c>
      <c r="AE699">
        <f>indirect(address(699,30))+indirect(address(697,31))-indirect(address(698,31))</f>
        <v>0</v>
      </c>
      <c r="AF699">
        <f>indirect(address(699,31))+indirect(address(697,32))-indirect(address(698,32))</f>
        <v>0</v>
      </c>
      <c r="AG699">
        <f>indirect(address(699,32))+indirect(address(697,33))-indirect(address(698,33))</f>
        <v>0</v>
      </c>
      <c r="AH699">
        <f>indirect(address(699,33))+indirect(address(697,34))-indirect(address(698,34))</f>
        <v>0</v>
      </c>
      <c r="AI699">
        <f>indirect(address(699,34))+indirect(address(697,35))-indirect(address(698,35))</f>
        <v>0</v>
      </c>
      <c r="AJ699">
        <f>indirect(address(699,35))+indirect(address(697,36))-indirect(address(698,36))</f>
        <v>0</v>
      </c>
      <c r="AK699">
        <f>indirect(address(699,36))+indirect(address(697,37))-indirect(address(698,37))</f>
        <v>0</v>
      </c>
      <c r="AL699">
        <f>indirect(address(699,37))+indirect(address(697,38))-indirect(address(698,38))</f>
        <v>0</v>
      </c>
      <c r="AM699">
        <f>indirect(address(699,38))+indirect(address(697,39))-indirect(address(698,39))</f>
        <v>0</v>
      </c>
      <c r="AN699">
        <f>indirect(address(699,39))+indirect(address(697,40))-indirect(address(698,40))</f>
        <v>0</v>
      </c>
      <c r="AO699">
        <f>indirect(address(699,40))+indirect(address(697,41))-indirect(address(698,41))</f>
        <v>0</v>
      </c>
    </row>
    <row r="700" spans="1:41">
      <c r="I700" t="s">
        <v>14</v>
      </c>
      <c r="AO700">
        <f>sum(j700:an700)</f>
        <v>0</v>
      </c>
    </row>
    <row r="701" spans="1:41">
      <c r="I701" t="s">
        <v>15</v>
      </c>
      <c r="J701">
        <f>sumif(Plan!B:B,"822-096517-100",Plan!j:j)</f>
        <v>0</v>
      </c>
      <c r="K701">
        <f>sumif(Plan!B:B,"822-096517-100",Plan!k:k)</f>
        <v>0</v>
      </c>
      <c r="L701">
        <f>sumif(Plan!B:B,"822-096517-100",Plan!l:l)</f>
        <v>0</v>
      </c>
      <c r="M701">
        <f>sumif(Plan!B:B,"822-096517-100",Plan!m:m)</f>
        <v>0</v>
      </c>
      <c r="N701">
        <f>sumif(Plan!B:B,"822-096517-100",Plan!n:n)</f>
        <v>0</v>
      </c>
      <c r="O701">
        <f>sumif(Plan!B:B,"822-096517-100",Plan!o:o)</f>
        <v>0</v>
      </c>
      <c r="P701">
        <f>sumif(Plan!B:B,"822-096517-100",Plan!p:p)</f>
        <v>0</v>
      </c>
      <c r="Q701">
        <f>sumif(Plan!B:B,"822-096517-100",Plan!q:q)</f>
        <v>0</v>
      </c>
      <c r="R701">
        <f>sumif(Plan!B:B,"822-096517-100",Plan!r:r)</f>
        <v>0</v>
      </c>
      <c r="S701">
        <f>sumif(Plan!B:B,"822-096517-100",Plan!s:s)</f>
        <v>0</v>
      </c>
      <c r="T701">
        <f>sumif(Plan!B:B,"822-096517-100",Plan!t:t)</f>
        <v>0</v>
      </c>
      <c r="U701">
        <f>sumif(Plan!B:B,"822-096517-100",Plan!u:u)</f>
        <v>0</v>
      </c>
      <c r="V701">
        <f>sumif(Plan!B:B,"822-096517-100",Plan!v:v)</f>
        <v>0</v>
      </c>
      <c r="W701">
        <f>sumif(Plan!B:B,"822-096517-100",Plan!w:w)</f>
        <v>0</v>
      </c>
      <c r="X701">
        <f>sumif(Plan!B:B,"822-096517-100",Plan!x:x)</f>
        <v>0</v>
      </c>
      <c r="Y701">
        <f>sumif(Plan!B:B,"822-096517-100",Plan!y:y)</f>
        <v>0</v>
      </c>
      <c r="Z701">
        <f>sumif(Plan!B:B,"822-096517-100",Plan!z:z)</f>
        <v>0</v>
      </c>
      <c r="AA701">
        <f>sumif(Plan!B:B,"822-096517-100",Plan!aa:aa)</f>
        <v>0</v>
      </c>
      <c r="AB701">
        <f>sumif(Plan!B:B,"822-096517-100",Plan!ab:ab)</f>
        <v>0</v>
      </c>
      <c r="AC701">
        <f>sumif(Plan!B:B,"822-096517-100",Plan!ac:ac)</f>
        <v>0</v>
      </c>
      <c r="AD701">
        <f>sumif(Plan!B:B,"822-096517-100",Plan!ad:ad)</f>
        <v>0</v>
      </c>
      <c r="AE701">
        <f>sumif(Plan!B:B,"822-096517-100",Plan!ae:ae)</f>
        <v>0</v>
      </c>
      <c r="AF701">
        <f>sumif(Plan!B:B,"822-096517-100",Plan!af:af)</f>
        <v>0</v>
      </c>
      <c r="AG701">
        <f>sumif(Plan!B:B,"822-096517-100",Plan!ag:ag)</f>
        <v>0</v>
      </c>
      <c r="AH701">
        <f>sumif(Plan!B:B,"822-096517-100",Plan!ah:ah)</f>
        <v>0</v>
      </c>
      <c r="AI701">
        <f>sumif(Plan!B:B,"822-096517-100",Plan!ai:ai)</f>
        <v>0</v>
      </c>
      <c r="AJ701">
        <f>sumif(Plan!B:B,"822-096517-100",Plan!aj:aj)</f>
        <v>0</v>
      </c>
      <c r="AK701">
        <f>sumif(Plan!B:B,"822-096517-100",Plan!ak:ak)</f>
        <v>0</v>
      </c>
      <c r="AL701">
        <f>sumif(Plan!B:B,"822-096517-100",Plan!al:al)</f>
        <v>0</v>
      </c>
      <c r="AM701">
        <f>sumif(Plan!B:B,"822-096517-100",Plan!am:am)</f>
        <v>0</v>
      </c>
      <c r="AN701">
        <f>sumif(Plan!B:B,"822-096517-100",Plan!an:an)</f>
        <v>0</v>
      </c>
      <c r="AO701">
        <f>sumif(Plan!B:B,"822-096517-100",Plan!ao:ao)</f>
        <v>0</v>
      </c>
    </row>
    <row r="702" spans="1:41">
      <c r="A702" t="s">
        <v>17</v>
      </c>
      <c r="B702" t="s">
        <v>453</v>
      </c>
      <c r="C702" t="s">
        <v>454</v>
      </c>
      <c r="E702">
        <v>1</v>
      </c>
      <c r="F702" t="s">
        <v>13</v>
      </c>
      <c r="H702" t="s">
        <v>16</v>
      </c>
      <c r="J702">
        <f>indirect(address(702,9))+indirect(address(700,10))-indirect(address(701,10))</f>
        <v>0</v>
      </c>
      <c r="K702">
        <f>indirect(address(702,10))+indirect(address(700,11))-indirect(address(701,11))</f>
        <v>0</v>
      </c>
      <c r="L702">
        <f>indirect(address(702,11))+indirect(address(700,12))-indirect(address(701,12))</f>
        <v>0</v>
      </c>
      <c r="M702">
        <f>indirect(address(702,12))+indirect(address(700,13))-indirect(address(701,13))</f>
        <v>0</v>
      </c>
      <c r="N702">
        <f>indirect(address(702,13))+indirect(address(700,14))-indirect(address(701,14))</f>
        <v>0</v>
      </c>
      <c r="O702">
        <f>indirect(address(702,14))+indirect(address(700,15))-indirect(address(701,15))</f>
        <v>0</v>
      </c>
      <c r="P702">
        <f>indirect(address(702,15))+indirect(address(700,16))-indirect(address(701,16))</f>
        <v>0</v>
      </c>
      <c r="Q702">
        <f>indirect(address(702,16))+indirect(address(700,17))-indirect(address(701,17))</f>
        <v>0</v>
      </c>
      <c r="R702">
        <f>indirect(address(702,17))+indirect(address(700,18))-indirect(address(701,18))</f>
        <v>0</v>
      </c>
      <c r="S702">
        <f>indirect(address(702,18))+indirect(address(700,19))-indirect(address(701,19))</f>
        <v>0</v>
      </c>
      <c r="T702">
        <f>indirect(address(702,19))+indirect(address(700,20))-indirect(address(701,20))</f>
        <v>0</v>
      </c>
      <c r="U702">
        <f>indirect(address(702,20))+indirect(address(700,21))-indirect(address(701,21))</f>
        <v>0</v>
      </c>
      <c r="V702">
        <f>indirect(address(702,21))+indirect(address(700,22))-indirect(address(701,22))</f>
        <v>0</v>
      </c>
      <c r="W702">
        <f>indirect(address(702,22))+indirect(address(700,23))-indirect(address(701,23))</f>
        <v>0</v>
      </c>
      <c r="X702">
        <f>indirect(address(702,23))+indirect(address(700,24))-indirect(address(701,24))</f>
        <v>0</v>
      </c>
      <c r="Y702">
        <f>indirect(address(702,24))+indirect(address(700,25))-indirect(address(701,25))</f>
        <v>0</v>
      </c>
      <c r="Z702">
        <f>indirect(address(702,25))+indirect(address(700,26))-indirect(address(701,26))</f>
        <v>0</v>
      </c>
      <c r="AA702">
        <f>indirect(address(702,26))+indirect(address(700,27))-indirect(address(701,27))</f>
        <v>0</v>
      </c>
      <c r="AB702">
        <f>indirect(address(702,27))+indirect(address(700,28))-indirect(address(701,28))</f>
        <v>0</v>
      </c>
      <c r="AC702">
        <f>indirect(address(702,28))+indirect(address(700,29))-indirect(address(701,29))</f>
        <v>0</v>
      </c>
      <c r="AD702">
        <f>indirect(address(702,29))+indirect(address(700,30))-indirect(address(701,30))</f>
        <v>0</v>
      </c>
      <c r="AE702">
        <f>indirect(address(702,30))+indirect(address(700,31))-indirect(address(701,31))</f>
        <v>0</v>
      </c>
      <c r="AF702">
        <f>indirect(address(702,31))+indirect(address(700,32))-indirect(address(701,32))</f>
        <v>0</v>
      </c>
      <c r="AG702">
        <f>indirect(address(702,32))+indirect(address(700,33))-indirect(address(701,33))</f>
        <v>0</v>
      </c>
      <c r="AH702">
        <f>indirect(address(702,33))+indirect(address(700,34))-indirect(address(701,34))</f>
        <v>0</v>
      </c>
      <c r="AI702">
        <f>indirect(address(702,34))+indirect(address(700,35))-indirect(address(701,35))</f>
        <v>0</v>
      </c>
      <c r="AJ702">
        <f>indirect(address(702,35))+indirect(address(700,36))-indirect(address(701,36))</f>
        <v>0</v>
      </c>
      <c r="AK702">
        <f>indirect(address(702,36))+indirect(address(700,37))-indirect(address(701,37))</f>
        <v>0</v>
      </c>
      <c r="AL702">
        <f>indirect(address(702,37))+indirect(address(700,38))-indirect(address(701,38))</f>
        <v>0</v>
      </c>
      <c r="AM702">
        <f>indirect(address(702,38))+indirect(address(700,39))-indirect(address(701,39))</f>
        <v>0</v>
      </c>
      <c r="AN702">
        <f>indirect(address(702,39))+indirect(address(700,40))-indirect(address(701,40))</f>
        <v>0</v>
      </c>
      <c r="AO702">
        <f>indirect(address(702,40))+indirect(address(700,41))-indirect(address(701,41))</f>
        <v>0</v>
      </c>
    </row>
    <row r="703" spans="1:41">
      <c r="I703" t="s">
        <v>14</v>
      </c>
      <c r="AO703">
        <f>sum(j703:an703)</f>
        <v>0</v>
      </c>
    </row>
    <row r="704" spans="1:41">
      <c r="I704" t="s">
        <v>15</v>
      </c>
      <c r="J704">
        <f>sumif(Plan!B:B,"262-000000-059",Plan!j:j)</f>
        <v>0</v>
      </c>
      <c r="K704">
        <f>sumif(Plan!B:B,"262-000000-059",Plan!k:k)</f>
        <v>0</v>
      </c>
      <c r="L704">
        <f>sumif(Plan!B:B,"262-000000-059",Plan!l:l)</f>
        <v>0</v>
      </c>
      <c r="M704">
        <f>sumif(Plan!B:B,"262-000000-059",Plan!m:m)</f>
        <v>0</v>
      </c>
      <c r="N704">
        <f>sumif(Plan!B:B,"262-000000-059",Plan!n:n)</f>
        <v>0</v>
      </c>
      <c r="O704">
        <f>sumif(Plan!B:B,"262-000000-059",Plan!o:o)</f>
        <v>0</v>
      </c>
      <c r="P704">
        <f>sumif(Plan!B:B,"262-000000-059",Plan!p:p)</f>
        <v>0</v>
      </c>
      <c r="Q704">
        <f>sumif(Plan!B:B,"262-000000-059",Plan!q:q)</f>
        <v>0</v>
      </c>
      <c r="R704">
        <f>sumif(Plan!B:B,"262-000000-059",Plan!r:r)</f>
        <v>0</v>
      </c>
      <c r="S704">
        <f>sumif(Plan!B:B,"262-000000-059",Plan!s:s)</f>
        <v>0</v>
      </c>
      <c r="T704">
        <f>sumif(Plan!B:B,"262-000000-059",Plan!t:t)</f>
        <v>0</v>
      </c>
      <c r="U704">
        <f>sumif(Plan!B:B,"262-000000-059",Plan!u:u)</f>
        <v>0</v>
      </c>
      <c r="V704">
        <f>sumif(Plan!B:B,"262-000000-059",Plan!v:v)</f>
        <v>0</v>
      </c>
      <c r="W704">
        <f>sumif(Plan!B:B,"262-000000-059",Plan!w:w)</f>
        <v>0</v>
      </c>
      <c r="X704">
        <f>sumif(Plan!B:B,"262-000000-059",Plan!x:x)</f>
        <v>0</v>
      </c>
      <c r="Y704">
        <f>sumif(Plan!B:B,"262-000000-059",Plan!y:y)</f>
        <v>0</v>
      </c>
      <c r="Z704">
        <f>sumif(Plan!B:B,"262-000000-059",Plan!z:z)</f>
        <v>0</v>
      </c>
      <c r="AA704">
        <f>sumif(Plan!B:B,"262-000000-059",Plan!aa:aa)</f>
        <v>0</v>
      </c>
      <c r="AB704">
        <f>sumif(Plan!B:B,"262-000000-059",Plan!ab:ab)</f>
        <v>0</v>
      </c>
      <c r="AC704">
        <f>sumif(Plan!B:B,"262-000000-059",Plan!ac:ac)</f>
        <v>0</v>
      </c>
      <c r="AD704">
        <f>sumif(Plan!B:B,"262-000000-059",Plan!ad:ad)</f>
        <v>0</v>
      </c>
      <c r="AE704">
        <f>sumif(Plan!B:B,"262-000000-059",Plan!ae:ae)</f>
        <v>0</v>
      </c>
      <c r="AF704">
        <f>sumif(Plan!B:B,"262-000000-059",Plan!af:af)</f>
        <v>0</v>
      </c>
      <c r="AG704">
        <f>sumif(Plan!B:B,"262-000000-059",Plan!ag:ag)</f>
        <v>0</v>
      </c>
      <c r="AH704">
        <f>sumif(Plan!B:B,"262-000000-059",Plan!ah:ah)</f>
        <v>0</v>
      </c>
      <c r="AI704">
        <f>sumif(Plan!B:B,"262-000000-059",Plan!ai:ai)</f>
        <v>0</v>
      </c>
      <c r="AJ704">
        <f>sumif(Plan!B:B,"262-000000-059",Plan!aj:aj)</f>
        <v>0</v>
      </c>
      <c r="AK704">
        <f>sumif(Plan!B:B,"262-000000-059",Plan!ak:ak)</f>
        <v>0</v>
      </c>
      <c r="AL704">
        <f>sumif(Plan!B:B,"262-000000-059",Plan!al:al)</f>
        <v>0</v>
      </c>
      <c r="AM704">
        <f>sumif(Plan!B:B,"262-000000-059",Plan!am:am)</f>
        <v>0</v>
      </c>
      <c r="AN704">
        <f>sumif(Plan!B:B,"262-000000-059",Plan!an:an)</f>
        <v>0</v>
      </c>
      <c r="AO704">
        <f>sumif(Plan!B:B,"262-000000-059",Plan!ao:ao)</f>
        <v>0</v>
      </c>
    </row>
    <row r="705" spans="1:41">
      <c r="A705" t="s">
        <v>22</v>
      </c>
      <c r="B705" t="s">
        <v>455</v>
      </c>
      <c r="C705" t="s">
        <v>456</v>
      </c>
      <c r="E705">
        <v>1</v>
      </c>
      <c r="F705" t="s">
        <v>13</v>
      </c>
      <c r="H705" t="s">
        <v>16</v>
      </c>
      <c r="J705">
        <f>indirect(address(705,9))+indirect(address(703,10))-indirect(address(704,10))</f>
        <v>0</v>
      </c>
      <c r="K705">
        <f>indirect(address(705,10))+indirect(address(703,11))-indirect(address(704,11))</f>
        <v>0</v>
      </c>
      <c r="L705">
        <f>indirect(address(705,11))+indirect(address(703,12))-indirect(address(704,12))</f>
        <v>0</v>
      </c>
      <c r="M705">
        <f>indirect(address(705,12))+indirect(address(703,13))-indirect(address(704,13))</f>
        <v>0</v>
      </c>
      <c r="N705">
        <f>indirect(address(705,13))+indirect(address(703,14))-indirect(address(704,14))</f>
        <v>0</v>
      </c>
      <c r="O705">
        <f>indirect(address(705,14))+indirect(address(703,15))-indirect(address(704,15))</f>
        <v>0</v>
      </c>
      <c r="P705">
        <f>indirect(address(705,15))+indirect(address(703,16))-indirect(address(704,16))</f>
        <v>0</v>
      </c>
      <c r="Q705">
        <f>indirect(address(705,16))+indirect(address(703,17))-indirect(address(704,17))</f>
        <v>0</v>
      </c>
      <c r="R705">
        <f>indirect(address(705,17))+indirect(address(703,18))-indirect(address(704,18))</f>
        <v>0</v>
      </c>
      <c r="S705">
        <f>indirect(address(705,18))+indirect(address(703,19))-indirect(address(704,19))</f>
        <v>0</v>
      </c>
      <c r="T705">
        <f>indirect(address(705,19))+indirect(address(703,20))-indirect(address(704,20))</f>
        <v>0</v>
      </c>
      <c r="U705">
        <f>indirect(address(705,20))+indirect(address(703,21))-indirect(address(704,21))</f>
        <v>0</v>
      </c>
      <c r="V705">
        <f>indirect(address(705,21))+indirect(address(703,22))-indirect(address(704,22))</f>
        <v>0</v>
      </c>
      <c r="W705">
        <f>indirect(address(705,22))+indirect(address(703,23))-indirect(address(704,23))</f>
        <v>0</v>
      </c>
      <c r="X705">
        <f>indirect(address(705,23))+indirect(address(703,24))-indirect(address(704,24))</f>
        <v>0</v>
      </c>
      <c r="Y705">
        <f>indirect(address(705,24))+indirect(address(703,25))-indirect(address(704,25))</f>
        <v>0</v>
      </c>
      <c r="Z705">
        <f>indirect(address(705,25))+indirect(address(703,26))-indirect(address(704,26))</f>
        <v>0</v>
      </c>
      <c r="AA705">
        <f>indirect(address(705,26))+indirect(address(703,27))-indirect(address(704,27))</f>
        <v>0</v>
      </c>
      <c r="AB705">
        <f>indirect(address(705,27))+indirect(address(703,28))-indirect(address(704,28))</f>
        <v>0</v>
      </c>
      <c r="AC705">
        <f>indirect(address(705,28))+indirect(address(703,29))-indirect(address(704,29))</f>
        <v>0</v>
      </c>
      <c r="AD705">
        <f>indirect(address(705,29))+indirect(address(703,30))-indirect(address(704,30))</f>
        <v>0</v>
      </c>
      <c r="AE705">
        <f>indirect(address(705,30))+indirect(address(703,31))-indirect(address(704,31))</f>
        <v>0</v>
      </c>
      <c r="AF705">
        <f>indirect(address(705,31))+indirect(address(703,32))-indirect(address(704,32))</f>
        <v>0</v>
      </c>
      <c r="AG705">
        <f>indirect(address(705,32))+indirect(address(703,33))-indirect(address(704,33))</f>
        <v>0</v>
      </c>
      <c r="AH705">
        <f>indirect(address(705,33))+indirect(address(703,34))-indirect(address(704,34))</f>
        <v>0</v>
      </c>
      <c r="AI705">
        <f>indirect(address(705,34))+indirect(address(703,35))-indirect(address(704,35))</f>
        <v>0</v>
      </c>
      <c r="AJ705">
        <f>indirect(address(705,35))+indirect(address(703,36))-indirect(address(704,36))</f>
        <v>0</v>
      </c>
      <c r="AK705">
        <f>indirect(address(705,36))+indirect(address(703,37))-indirect(address(704,37))</f>
        <v>0</v>
      </c>
      <c r="AL705">
        <f>indirect(address(705,37))+indirect(address(703,38))-indirect(address(704,38))</f>
        <v>0</v>
      </c>
      <c r="AM705">
        <f>indirect(address(705,38))+indirect(address(703,39))-indirect(address(704,39))</f>
        <v>0</v>
      </c>
      <c r="AN705">
        <f>indirect(address(705,39))+indirect(address(703,40))-indirect(address(704,40))</f>
        <v>0</v>
      </c>
      <c r="AO705">
        <f>indirect(address(705,40))+indirect(address(703,41))-indirect(address(704,41))</f>
        <v>0</v>
      </c>
    </row>
    <row r="706" spans="1:41">
      <c r="I706" t="s">
        <v>14</v>
      </c>
      <c r="AO706">
        <f>sum(j706:an706)</f>
        <v>0</v>
      </c>
    </row>
    <row r="707" spans="1:41">
      <c r="I707" t="s">
        <v>15</v>
      </c>
      <c r="J707">
        <f>sumif(Plan!B:B,"243-100600-000",Plan!j:j)</f>
        <v>0</v>
      </c>
      <c r="K707">
        <f>sumif(Plan!B:B,"243-100600-000",Plan!k:k)</f>
        <v>0</v>
      </c>
      <c r="L707">
        <f>sumif(Plan!B:B,"243-100600-000",Plan!l:l)</f>
        <v>0</v>
      </c>
      <c r="M707">
        <f>sumif(Plan!B:B,"243-100600-000",Plan!m:m)</f>
        <v>0</v>
      </c>
      <c r="N707">
        <f>sumif(Plan!B:B,"243-100600-000",Plan!n:n)</f>
        <v>0</v>
      </c>
      <c r="O707">
        <f>sumif(Plan!B:B,"243-100600-000",Plan!o:o)</f>
        <v>0</v>
      </c>
      <c r="P707">
        <f>sumif(Plan!B:B,"243-100600-000",Plan!p:p)</f>
        <v>0</v>
      </c>
      <c r="Q707">
        <f>sumif(Plan!B:B,"243-100600-000",Plan!q:q)</f>
        <v>0</v>
      </c>
      <c r="R707">
        <f>sumif(Plan!B:B,"243-100600-000",Plan!r:r)</f>
        <v>0</v>
      </c>
      <c r="S707">
        <f>sumif(Plan!B:B,"243-100600-000",Plan!s:s)</f>
        <v>0</v>
      </c>
      <c r="T707">
        <f>sumif(Plan!B:B,"243-100600-000",Plan!t:t)</f>
        <v>0</v>
      </c>
      <c r="U707">
        <f>sumif(Plan!B:B,"243-100600-000",Plan!u:u)</f>
        <v>0</v>
      </c>
      <c r="V707">
        <f>sumif(Plan!B:B,"243-100600-000",Plan!v:v)</f>
        <v>0</v>
      </c>
      <c r="W707">
        <f>sumif(Plan!B:B,"243-100600-000",Plan!w:w)</f>
        <v>0</v>
      </c>
      <c r="X707">
        <f>sumif(Plan!B:B,"243-100600-000",Plan!x:x)</f>
        <v>0</v>
      </c>
      <c r="Y707">
        <f>sumif(Plan!B:B,"243-100600-000",Plan!y:y)</f>
        <v>0</v>
      </c>
      <c r="Z707">
        <f>sumif(Plan!B:B,"243-100600-000",Plan!z:z)</f>
        <v>0</v>
      </c>
      <c r="AA707">
        <f>sumif(Plan!B:B,"243-100600-000",Plan!aa:aa)</f>
        <v>0</v>
      </c>
      <c r="AB707">
        <f>sumif(Plan!B:B,"243-100600-000",Plan!ab:ab)</f>
        <v>0</v>
      </c>
      <c r="AC707">
        <f>sumif(Plan!B:B,"243-100600-000",Plan!ac:ac)</f>
        <v>0</v>
      </c>
      <c r="AD707">
        <f>sumif(Plan!B:B,"243-100600-000",Plan!ad:ad)</f>
        <v>0</v>
      </c>
      <c r="AE707">
        <f>sumif(Plan!B:B,"243-100600-000",Plan!ae:ae)</f>
        <v>0</v>
      </c>
      <c r="AF707">
        <f>sumif(Plan!B:B,"243-100600-000",Plan!af:af)</f>
        <v>0</v>
      </c>
      <c r="AG707">
        <f>sumif(Plan!B:B,"243-100600-000",Plan!ag:ag)</f>
        <v>0</v>
      </c>
      <c r="AH707">
        <f>sumif(Plan!B:B,"243-100600-000",Plan!ah:ah)</f>
        <v>0</v>
      </c>
      <c r="AI707">
        <f>sumif(Plan!B:B,"243-100600-000",Plan!ai:ai)</f>
        <v>0</v>
      </c>
      <c r="AJ707">
        <f>sumif(Plan!B:B,"243-100600-000",Plan!aj:aj)</f>
        <v>0</v>
      </c>
      <c r="AK707">
        <f>sumif(Plan!B:B,"243-100600-000",Plan!ak:ak)</f>
        <v>0</v>
      </c>
      <c r="AL707">
        <f>sumif(Plan!B:B,"243-100600-000",Plan!al:al)</f>
        <v>0</v>
      </c>
      <c r="AM707">
        <f>sumif(Plan!B:B,"243-100600-000",Plan!am:am)</f>
        <v>0</v>
      </c>
      <c r="AN707">
        <f>sumif(Plan!B:B,"243-100600-000",Plan!an:an)</f>
        <v>0</v>
      </c>
      <c r="AO707">
        <f>sumif(Plan!B:B,"243-100600-000",Plan!ao:ao)</f>
        <v>0</v>
      </c>
    </row>
    <row r="708" spans="1:41">
      <c r="A708" t="s">
        <v>78</v>
      </c>
      <c r="B708" t="s">
        <v>457</v>
      </c>
      <c r="C708" t="s">
        <v>458</v>
      </c>
      <c r="E708">
        <v>0.005</v>
      </c>
      <c r="F708" t="s">
        <v>13</v>
      </c>
      <c r="H708" t="s">
        <v>16</v>
      </c>
      <c r="J708">
        <f>indirect(address(708,9))+indirect(address(706,10))-indirect(address(707,10))</f>
        <v>0</v>
      </c>
      <c r="K708">
        <f>indirect(address(708,10))+indirect(address(706,11))-indirect(address(707,11))</f>
        <v>0</v>
      </c>
      <c r="L708">
        <f>indirect(address(708,11))+indirect(address(706,12))-indirect(address(707,12))</f>
        <v>0</v>
      </c>
      <c r="M708">
        <f>indirect(address(708,12))+indirect(address(706,13))-indirect(address(707,13))</f>
        <v>0</v>
      </c>
      <c r="N708">
        <f>indirect(address(708,13))+indirect(address(706,14))-indirect(address(707,14))</f>
        <v>0</v>
      </c>
      <c r="O708">
        <f>indirect(address(708,14))+indirect(address(706,15))-indirect(address(707,15))</f>
        <v>0</v>
      </c>
      <c r="P708">
        <f>indirect(address(708,15))+indirect(address(706,16))-indirect(address(707,16))</f>
        <v>0</v>
      </c>
      <c r="Q708">
        <f>indirect(address(708,16))+indirect(address(706,17))-indirect(address(707,17))</f>
        <v>0</v>
      </c>
      <c r="R708">
        <f>indirect(address(708,17))+indirect(address(706,18))-indirect(address(707,18))</f>
        <v>0</v>
      </c>
      <c r="S708">
        <f>indirect(address(708,18))+indirect(address(706,19))-indirect(address(707,19))</f>
        <v>0</v>
      </c>
      <c r="T708">
        <f>indirect(address(708,19))+indirect(address(706,20))-indirect(address(707,20))</f>
        <v>0</v>
      </c>
      <c r="U708">
        <f>indirect(address(708,20))+indirect(address(706,21))-indirect(address(707,21))</f>
        <v>0</v>
      </c>
      <c r="V708">
        <f>indirect(address(708,21))+indirect(address(706,22))-indirect(address(707,22))</f>
        <v>0</v>
      </c>
      <c r="W708">
        <f>indirect(address(708,22))+indirect(address(706,23))-indirect(address(707,23))</f>
        <v>0</v>
      </c>
      <c r="X708">
        <f>indirect(address(708,23))+indirect(address(706,24))-indirect(address(707,24))</f>
        <v>0</v>
      </c>
      <c r="Y708">
        <f>indirect(address(708,24))+indirect(address(706,25))-indirect(address(707,25))</f>
        <v>0</v>
      </c>
      <c r="Z708">
        <f>indirect(address(708,25))+indirect(address(706,26))-indirect(address(707,26))</f>
        <v>0</v>
      </c>
      <c r="AA708">
        <f>indirect(address(708,26))+indirect(address(706,27))-indirect(address(707,27))</f>
        <v>0</v>
      </c>
      <c r="AB708">
        <f>indirect(address(708,27))+indirect(address(706,28))-indirect(address(707,28))</f>
        <v>0</v>
      </c>
      <c r="AC708">
        <f>indirect(address(708,28))+indirect(address(706,29))-indirect(address(707,29))</f>
        <v>0</v>
      </c>
      <c r="AD708">
        <f>indirect(address(708,29))+indirect(address(706,30))-indirect(address(707,30))</f>
        <v>0</v>
      </c>
      <c r="AE708">
        <f>indirect(address(708,30))+indirect(address(706,31))-indirect(address(707,31))</f>
        <v>0</v>
      </c>
      <c r="AF708">
        <f>indirect(address(708,31))+indirect(address(706,32))-indirect(address(707,32))</f>
        <v>0</v>
      </c>
      <c r="AG708">
        <f>indirect(address(708,32))+indirect(address(706,33))-indirect(address(707,33))</f>
        <v>0</v>
      </c>
      <c r="AH708">
        <f>indirect(address(708,33))+indirect(address(706,34))-indirect(address(707,34))</f>
        <v>0</v>
      </c>
      <c r="AI708">
        <f>indirect(address(708,34))+indirect(address(706,35))-indirect(address(707,35))</f>
        <v>0</v>
      </c>
      <c r="AJ708">
        <f>indirect(address(708,35))+indirect(address(706,36))-indirect(address(707,36))</f>
        <v>0</v>
      </c>
      <c r="AK708">
        <f>indirect(address(708,36))+indirect(address(706,37))-indirect(address(707,37))</f>
        <v>0</v>
      </c>
      <c r="AL708">
        <f>indirect(address(708,37))+indirect(address(706,38))-indirect(address(707,38))</f>
        <v>0</v>
      </c>
      <c r="AM708">
        <f>indirect(address(708,38))+indirect(address(706,39))-indirect(address(707,39))</f>
        <v>0</v>
      </c>
      <c r="AN708">
        <f>indirect(address(708,39))+indirect(address(706,40))-indirect(address(707,40))</f>
        <v>0</v>
      </c>
      <c r="AO708">
        <f>indirect(address(708,40))+indirect(address(706,41))-indirect(address(707,41))</f>
        <v>0</v>
      </c>
    </row>
    <row r="709" spans="1:41">
      <c r="I709" t="s">
        <v>14</v>
      </c>
      <c r="AO709">
        <f>sum(j709:an709)</f>
        <v>0</v>
      </c>
    </row>
    <row r="710" spans="1:41">
      <c r="I710" t="s">
        <v>15</v>
      </c>
      <c r="J710">
        <f>sumif(Plan!B:B,"204-00935",Plan!j:j)</f>
        <v>0</v>
      </c>
      <c r="K710">
        <f>sumif(Plan!B:B,"204-00935",Plan!k:k)</f>
        <v>0</v>
      </c>
      <c r="L710">
        <f>sumif(Plan!B:B,"204-00935",Plan!l:l)</f>
        <v>0</v>
      </c>
      <c r="M710">
        <f>sumif(Plan!B:B,"204-00935",Plan!m:m)</f>
        <v>0</v>
      </c>
      <c r="N710">
        <f>sumif(Plan!B:B,"204-00935",Plan!n:n)</f>
        <v>0</v>
      </c>
      <c r="O710">
        <f>sumif(Plan!B:B,"204-00935",Plan!o:o)</f>
        <v>0</v>
      </c>
      <c r="P710">
        <f>sumif(Plan!B:B,"204-00935",Plan!p:p)</f>
        <v>0</v>
      </c>
      <c r="Q710">
        <f>sumif(Plan!B:B,"204-00935",Plan!q:q)</f>
        <v>0</v>
      </c>
      <c r="R710">
        <f>sumif(Plan!B:B,"204-00935",Plan!r:r)</f>
        <v>0</v>
      </c>
      <c r="S710">
        <f>sumif(Plan!B:B,"204-00935",Plan!s:s)</f>
        <v>0</v>
      </c>
      <c r="T710">
        <f>sumif(Plan!B:B,"204-00935",Plan!t:t)</f>
        <v>0</v>
      </c>
      <c r="U710">
        <f>sumif(Plan!B:B,"204-00935",Plan!u:u)</f>
        <v>0</v>
      </c>
      <c r="V710">
        <f>sumif(Plan!B:B,"204-00935",Plan!v:v)</f>
        <v>0</v>
      </c>
      <c r="W710">
        <f>sumif(Plan!B:B,"204-00935",Plan!w:w)</f>
        <v>0</v>
      </c>
      <c r="X710">
        <f>sumif(Plan!B:B,"204-00935",Plan!x:x)</f>
        <v>0</v>
      </c>
      <c r="Y710">
        <f>sumif(Plan!B:B,"204-00935",Plan!y:y)</f>
        <v>0</v>
      </c>
      <c r="Z710">
        <f>sumif(Plan!B:B,"204-00935",Plan!z:z)</f>
        <v>0</v>
      </c>
      <c r="AA710">
        <f>sumif(Plan!B:B,"204-00935",Plan!aa:aa)</f>
        <v>0</v>
      </c>
      <c r="AB710">
        <f>sumif(Plan!B:B,"204-00935",Plan!ab:ab)</f>
        <v>0</v>
      </c>
      <c r="AC710">
        <f>sumif(Plan!B:B,"204-00935",Plan!ac:ac)</f>
        <v>0</v>
      </c>
      <c r="AD710">
        <f>sumif(Plan!B:B,"204-00935",Plan!ad:ad)</f>
        <v>0</v>
      </c>
      <c r="AE710">
        <f>sumif(Plan!B:B,"204-00935",Plan!ae:ae)</f>
        <v>0</v>
      </c>
      <c r="AF710">
        <f>sumif(Plan!B:B,"204-00935",Plan!af:af)</f>
        <v>0</v>
      </c>
      <c r="AG710">
        <f>sumif(Plan!B:B,"204-00935",Plan!ag:ag)</f>
        <v>0</v>
      </c>
      <c r="AH710">
        <f>sumif(Plan!B:B,"204-00935",Plan!ah:ah)</f>
        <v>0</v>
      </c>
      <c r="AI710">
        <f>sumif(Plan!B:B,"204-00935",Plan!ai:ai)</f>
        <v>0</v>
      </c>
      <c r="AJ710">
        <f>sumif(Plan!B:B,"204-00935",Plan!aj:aj)</f>
        <v>0</v>
      </c>
      <c r="AK710">
        <f>sumif(Plan!B:B,"204-00935",Plan!ak:ak)</f>
        <v>0</v>
      </c>
      <c r="AL710">
        <f>sumif(Plan!B:B,"204-00935",Plan!al:al)</f>
        <v>0</v>
      </c>
      <c r="AM710">
        <f>sumif(Plan!B:B,"204-00935",Plan!am:am)</f>
        <v>0</v>
      </c>
      <c r="AN710">
        <f>sumif(Plan!B:B,"204-00935",Plan!an:an)</f>
        <v>0</v>
      </c>
      <c r="AO710">
        <f>sumif(Plan!B:B,"204-00935",Plan!ao:ao)</f>
        <v>0</v>
      </c>
    </row>
    <row r="711" spans="1:41">
      <c r="A711" t="s">
        <v>43</v>
      </c>
      <c r="B711" t="s">
        <v>459</v>
      </c>
      <c r="C711" t="s">
        <v>460</v>
      </c>
      <c r="E711">
        <v>0.05</v>
      </c>
      <c r="F711" t="s">
        <v>13</v>
      </c>
      <c r="H711" t="s">
        <v>16</v>
      </c>
      <c r="J711">
        <f>indirect(address(711,9))+indirect(address(709,10))-indirect(address(710,10))</f>
        <v>0</v>
      </c>
      <c r="K711">
        <f>indirect(address(711,10))+indirect(address(709,11))-indirect(address(710,11))</f>
        <v>0</v>
      </c>
      <c r="L711">
        <f>indirect(address(711,11))+indirect(address(709,12))-indirect(address(710,12))</f>
        <v>0</v>
      </c>
      <c r="M711">
        <f>indirect(address(711,12))+indirect(address(709,13))-indirect(address(710,13))</f>
        <v>0</v>
      </c>
      <c r="N711">
        <f>indirect(address(711,13))+indirect(address(709,14))-indirect(address(710,14))</f>
        <v>0</v>
      </c>
      <c r="O711">
        <f>indirect(address(711,14))+indirect(address(709,15))-indirect(address(710,15))</f>
        <v>0</v>
      </c>
      <c r="P711">
        <f>indirect(address(711,15))+indirect(address(709,16))-indirect(address(710,16))</f>
        <v>0</v>
      </c>
      <c r="Q711">
        <f>indirect(address(711,16))+indirect(address(709,17))-indirect(address(710,17))</f>
        <v>0</v>
      </c>
      <c r="R711">
        <f>indirect(address(711,17))+indirect(address(709,18))-indirect(address(710,18))</f>
        <v>0</v>
      </c>
      <c r="S711">
        <f>indirect(address(711,18))+indirect(address(709,19))-indirect(address(710,19))</f>
        <v>0</v>
      </c>
      <c r="T711">
        <f>indirect(address(711,19))+indirect(address(709,20))-indirect(address(710,20))</f>
        <v>0</v>
      </c>
      <c r="U711">
        <f>indirect(address(711,20))+indirect(address(709,21))-indirect(address(710,21))</f>
        <v>0</v>
      </c>
      <c r="V711">
        <f>indirect(address(711,21))+indirect(address(709,22))-indirect(address(710,22))</f>
        <v>0</v>
      </c>
      <c r="W711">
        <f>indirect(address(711,22))+indirect(address(709,23))-indirect(address(710,23))</f>
        <v>0</v>
      </c>
      <c r="X711">
        <f>indirect(address(711,23))+indirect(address(709,24))-indirect(address(710,24))</f>
        <v>0</v>
      </c>
      <c r="Y711">
        <f>indirect(address(711,24))+indirect(address(709,25))-indirect(address(710,25))</f>
        <v>0</v>
      </c>
      <c r="Z711">
        <f>indirect(address(711,25))+indirect(address(709,26))-indirect(address(710,26))</f>
        <v>0</v>
      </c>
      <c r="AA711">
        <f>indirect(address(711,26))+indirect(address(709,27))-indirect(address(710,27))</f>
        <v>0</v>
      </c>
      <c r="AB711">
        <f>indirect(address(711,27))+indirect(address(709,28))-indirect(address(710,28))</f>
        <v>0</v>
      </c>
      <c r="AC711">
        <f>indirect(address(711,28))+indirect(address(709,29))-indirect(address(710,29))</f>
        <v>0</v>
      </c>
      <c r="AD711">
        <f>indirect(address(711,29))+indirect(address(709,30))-indirect(address(710,30))</f>
        <v>0</v>
      </c>
      <c r="AE711">
        <f>indirect(address(711,30))+indirect(address(709,31))-indirect(address(710,31))</f>
        <v>0</v>
      </c>
      <c r="AF711">
        <f>indirect(address(711,31))+indirect(address(709,32))-indirect(address(710,32))</f>
        <v>0</v>
      </c>
      <c r="AG711">
        <f>indirect(address(711,32))+indirect(address(709,33))-indirect(address(710,33))</f>
        <v>0</v>
      </c>
      <c r="AH711">
        <f>indirect(address(711,33))+indirect(address(709,34))-indirect(address(710,34))</f>
        <v>0</v>
      </c>
      <c r="AI711">
        <f>indirect(address(711,34))+indirect(address(709,35))-indirect(address(710,35))</f>
        <v>0</v>
      </c>
      <c r="AJ711">
        <f>indirect(address(711,35))+indirect(address(709,36))-indirect(address(710,36))</f>
        <v>0</v>
      </c>
      <c r="AK711">
        <f>indirect(address(711,36))+indirect(address(709,37))-indirect(address(710,37))</f>
        <v>0</v>
      </c>
      <c r="AL711">
        <f>indirect(address(711,37))+indirect(address(709,38))-indirect(address(710,38))</f>
        <v>0</v>
      </c>
      <c r="AM711">
        <f>indirect(address(711,38))+indirect(address(709,39))-indirect(address(710,39))</f>
        <v>0</v>
      </c>
      <c r="AN711">
        <f>indirect(address(711,39))+indirect(address(709,40))-indirect(address(710,40))</f>
        <v>0</v>
      </c>
      <c r="AO711">
        <f>indirect(address(711,40))+indirect(address(709,41))-indirect(address(710,41))</f>
        <v>0</v>
      </c>
    </row>
    <row r="712" spans="1:41">
      <c r="I712" t="s">
        <v>14</v>
      </c>
      <c r="AO712">
        <f>sum(j712:an712)</f>
        <v>0</v>
      </c>
    </row>
    <row r="713" spans="1:41">
      <c r="I713" t="s">
        <v>15</v>
      </c>
      <c r="J713">
        <f>sumif(Plan!B:B,"822-096517-200",Plan!j:j)</f>
        <v>0</v>
      </c>
      <c r="K713">
        <f>sumif(Plan!B:B,"822-096517-200",Plan!k:k)</f>
        <v>0</v>
      </c>
      <c r="L713">
        <f>sumif(Plan!B:B,"822-096517-200",Plan!l:l)</f>
        <v>0</v>
      </c>
      <c r="M713">
        <f>sumif(Plan!B:B,"822-096517-200",Plan!m:m)</f>
        <v>0</v>
      </c>
      <c r="N713">
        <f>sumif(Plan!B:B,"822-096517-200",Plan!n:n)</f>
        <v>0</v>
      </c>
      <c r="O713">
        <f>sumif(Plan!B:B,"822-096517-200",Plan!o:o)</f>
        <v>0</v>
      </c>
      <c r="P713">
        <f>sumif(Plan!B:B,"822-096517-200",Plan!p:p)</f>
        <v>0</v>
      </c>
      <c r="Q713">
        <f>sumif(Plan!B:B,"822-096517-200",Plan!q:q)</f>
        <v>0</v>
      </c>
      <c r="R713">
        <f>sumif(Plan!B:B,"822-096517-200",Plan!r:r)</f>
        <v>0</v>
      </c>
      <c r="S713">
        <f>sumif(Plan!B:B,"822-096517-200",Plan!s:s)</f>
        <v>0</v>
      </c>
      <c r="T713">
        <f>sumif(Plan!B:B,"822-096517-200",Plan!t:t)</f>
        <v>0</v>
      </c>
      <c r="U713">
        <f>sumif(Plan!B:B,"822-096517-200",Plan!u:u)</f>
        <v>0</v>
      </c>
      <c r="V713">
        <f>sumif(Plan!B:B,"822-096517-200",Plan!v:v)</f>
        <v>0</v>
      </c>
      <c r="W713">
        <f>sumif(Plan!B:B,"822-096517-200",Plan!w:w)</f>
        <v>0</v>
      </c>
      <c r="X713">
        <f>sumif(Plan!B:B,"822-096517-200",Plan!x:x)</f>
        <v>0</v>
      </c>
      <c r="Y713">
        <f>sumif(Plan!B:B,"822-096517-200",Plan!y:y)</f>
        <v>0</v>
      </c>
      <c r="Z713">
        <f>sumif(Plan!B:B,"822-096517-200",Plan!z:z)</f>
        <v>0</v>
      </c>
      <c r="AA713">
        <f>sumif(Plan!B:B,"822-096517-200",Plan!aa:aa)</f>
        <v>0</v>
      </c>
      <c r="AB713">
        <f>sumif(Plan!B:B,"822-096517-200",Plan!ab:ab)</f>
        <v>0</v>
      </c>
      <c r="AC713">
        <f>sumif(Plan!B:B,"822-096517-200",Plan!ac:ac)</f>
        <v>0</v>
      </c>
      <c r="AD713">
        <f>sumif(Plan!B:B,"822-096517-200",Plan!ad:ad)</f>
        <v>0</v>
      </c>
      <c r="AE713">
        <f>sumif(Plan!B:B,"822-096517-200",Plan!ae:ae)</f>
        <v>0</v>
      </c>
      <c r="AF713">
        <f>sumif(Plan!B:B,"822-096517-200",Plan!af:af)</f>
        <v>0</v>
      </c>
      <c r="AG713">
        <f>sumif(Plan!B:B,"822-096517-200",Plan!ag:ag)</f>
        <v>0</v>
      </c>
      <c r="AH713">
        <f>sumif(Plan!B:B,"822-096517-200",Plan!ah:ah)</f>
        <v>0</v>
      </c>
      <c r="AI713">
        <f>sumif(Plan!B:B,"822-096517-200",Plan!ai:ai)</f>
        <v>0</v>
      </c>
      <c r="AJ713">
        <f>sumif(Plan!B:B,"822-096517-200",Plan!aj:aj)</f>
        <v>0</v>
      </c>
      <c r="AK713">
        <f>sumif(Plan!B:B,"822-096517-200",Plan!ak:ak)</f>
        <v>0</v>
      </c>
      <c r="AL713">
        <f>sumif(Plan!B:B,"822-096517-200",Plan!al:al)</f>
        <v>0</v>
      </c>
      <c r="AM713">
        <f>sumif(Plan!B:B,"822-096517-200",Plan!am:am)</f>
        <v>0</v>
      </c>
      <c r="AN713">
        <f>sumif(Plan!B:B,"822-096517-200",Plan!an:an)</f>
        <v>0</v>
      </c>
      <c r="AO713">
        <f>sumif(Plan!B:B,"822-096517-200",Plan!ao:ao)</f>
        <v>0</v>
      </c>
    </row>
    <row r="714" spans="1:41">
      <c r="A714" t="s">
        <v>17</v>
      </c>
      <c r="B714" t="s">
        <v>462</v>
      </c>
      <c r="C714" t="s">
        <v>463</v>
      </c>
      <c r="E714">
        <v>1</v>
      </c>
      <c r="F714" t="s">
        <v>13</v>
      </c>
      <c r="H714" t="s">
        <v>16</v>
      </c>
      <c r="J714">
        <f>indirect(address(714,9))+indirect(address(712,10))-indirect(address(713,10))</f>
        <v>0</v>
      </c>
      <c r="K714">
        <f>indirect(address(714,10))+indirect(address(712,11))-indirect(address(713,11))</f>
        <v>0</v>
      </c>
      <c r="L714">
        <f>indirect(address(714,11))+indirect(address(712,12))-indirect(address(713,12))</f>
        <v>0</v>
      </c>
      <c r="M714">
        <f>indirect(address(714,12))+indirect(address(712,13))-indirect(address(713,13))</f>
        <v>0</v>
      </c>
      <c r="N714">
        <f>indirect(address(714,13))+indirect(address(712,14))-indirect(address(713,14))</f>
        <v>0</v>
      </c>
      <c r="O714">
        <f>indirect(address(714,14))+indirect(address(712,15))-indirect(address(713,15))</f>
        <v>0</v>
      </c>
      <c r="P714">
        <f>indirect(address(714,15))+indirect(address(712,16))-indirect(address(713,16))</f>
        <v>0</v>
      </c>
      <c r="Q714">
        <f>indirect(address(714,16))+indirect(address(712,17))-indirect(address(713,17))</f>
        <v>0</v>
      </c>
      <c r="R714">
        <f>indirect(address(714,17))+indirect(address(712,18))-indirect(address(713,18))</f>
        <v>0</v>
      </c>
      <c r="S714">
        <f>indirect(address(714,18))+indirect(address(712,19))-indirect(address(713,19))</f>
        <v>0</v>
      </c>
      <c r="T714">
        <f>indirect(address(714,19))+indirect(address(712,20))-indirect(address(713,20))</f>
        <v>0</v>
      </c>
      <c r="U714">
        <f>indirect(address(714,20))+indirect(address(712,21))-indirect(address(713,21))</f>
        <v>0</v>
      </c>
      <c r="V714">
        <f>indirect(address(714,21))+indirect(address(712,22))-indirect(address(713,22))</f>
        <v>0</v>
      </c>
      <c r="W714">
        <f>indirect(address(714,22))+indirect(address(712,23))-indirect(address(713,23))</f>
        <v>0</v>
      </c>
      <c r="X714">
        <f>indirect(address(714,23))+indirect(address(712,24))-indirect(address(713,24))</f>
        <v>0</v>
      </c>
      <c r="Y714">
        <f>indirect(address(714,24))+indirect(address(712,25))-indirect(address(713,25))</f>
        <v>0</v>
      </c>
      <c r="Z714">
        <f>indirect(address(714,25))+indirect(address(712,26))-indirect(address(713,26))</f>
        <v>0</v>
      </c>
      <c r="AA714">
        <f>indirect(address(714,26))+indirect(address(712,27))-indirect(address(713,27))</f>
        <v>0</v>
      </c>
      <c r="AB714">
        <f>indirect(address(714,27))+indirect(address(712,28))-indirect(address(713,28))</f>
        <v>0</v>
      </c>
      <c r="AC714">
        <f>indirect(address(714,28))+indirect(address(712,29))-indirect(address(713,29))</f>
        <v>0</v>
      </c>
      <c r="AD714">
        <f>indirect(address(714,29))+indirect(address(712,30))-indirect(address(713,30))</f>
        <v>0</v>
      </c>
      <c r="AE714">
        <f>indirect(address(714,30))+indirect(address(712,31))-indirect(address(713,31))</f>
        <v>0</v>
      </c>
      <c r="AF714">
        <f>indirect(address(714,31))+indirect(address(712,32))-indirect(address(713,32))</f>
        <v>0</v>
      </c>
      <c r="AG714">
        <f>indirect(address(714,32))+indirect(address(712,33))-indirect(address(713,33))</f>
        <v>0</v>
      </c>
      <c r="AH714">
        <f>indirect(address(714,33))+indirect(address(712,34))-indirect(address(713,34))</f>
        <v>0</v>
      </c>
      <c r="AI714">
        <f>indirect(address(714,34))+indirect(address(712,35))-indirect(address(713,35))</f>
        <v>0</v>
      </c>
      <c r="AJ714">
        <f>indirect(address(714,35))+indirect(address(712,36))-indirect(address(713,36))</f>
        <v>0</v>
      </c>
      <c r="AK714">
        <f>indirect(address(714,36))+indirect(address(712,37))-indirect(address(713,37))</f>
        <v>0</v>
      </c>
      <c r="AL714">
        <f>indirect(address(714,37))+indirect(address(712,38))-indirect(address(713,38))</f>
        <v>0</v>
      </c>
      <c r="AM714">
        <f>indirect(address(714,38))+indirect(address(712,39))-indirect(address(713,39))</f>
        <v>0</v>
      </c>
      <c r="AN714">
        <f>indirect(address(714,39))+indirect(address(712,40))-indirect(address(713,40))</f>
        <v>0</v>
      </c>
      <c r="AO714">
        <f>indirect(address(714,40))+indirect(address(712,41))-indirect(address(713,41))</f>
        <v>0</v>
      </c>
    </row>
    <row r="715" spans="1:41">
      <c r="I715" t="s">
        <v>14</v>
      </c>
      <c r="AO715">
        <f>sum(j715:an715)</f>
        <v>0</v>
      </c>
    </row>
    <row r="716" spans="1:41">
      <c r="I716" t="s">
        <v>15</v>
      </c>
      <c r="J716">
        <f>sumif(Plan!B:B,"262-000000-060",Plan!j:j)</f>
        <v>0</v>
      </c>
      <c r="K716">
        <f>sumif(Plan!B:B,"262-000000-060",Plan!k:k)</f>
        <v>0</v>
      </c>
      <c r="L716">
        <f>sumif(Plan!B:B,"262-000000-060",Plan!l:l)</f>
        <v>0</v>
      </c>
      <c r="M716">
        <f>sumif(Plan!B:B,"262-000000-060",Plan!m:m)</f>
        <v>0</v>
      </c>
      <c r="N716">
        <f>sumif(Plan!B:B,"262-000000-060",Plan!n:n)</f>
        <v>0</v>
      </c>
      <c r="O716">
        <f>sumif(Plan!B:B,"262-000000-060",Plan!o:o)</f>
        <v>0</v>
      </c>
      <c r="P716">
        <f>sumif(Plan!B:B,"262-000000-060",Plan!p:p)</f>
        <v>0</v>
      </c>
      <c r="Q716">
        <f>sumif(Plan!B:B,"262-000000-060",Plan!q:q)</f>
        <v>0</v>
      </c>
      <c r="R716">
        <f>sumif(Plan!B:B,"262-000000-060",Plan!r:r)</f>
        <v>0</v>
      </c>
      <c r="S716">
        <f>sumif(Plan!B:B,"262-000000-060",Plan!s:s)</f>
        <v>0</v>
      </c>
      <c r="T716">
        <f>sumif(Plan!B:B,"262-000000-060",Plan!t:t)</f>
        <v>0</v>
      </c>
      <c r="U716">
        <f>sumif(Plan!B:B,"262-000000-060",Plan!u:u)</f>
        <v>0</v>
      </c>
      <c r="V716">
        <f>sumif(Plan!B:B,"262-000000-060",Plan!v:v)</f>
        <v>0</v>
      </c>
      <c r="W716">
        <f>sumif(Plan!B:B,"262-000000-060",Plan!w:w)</f>
        <v>0</v>
      </c>
      <c r="X716">
        <f>sumif(Plan!B:B,"262-000000-060",Plan!x:x)</f>
        <v>0</v>
      </c>
      <c r="Y716">
        <f>sumif(Plan!B:B,"262-000000-060",Plan!y:y)</f>
        <v>0</v>
      </c>
      <c r="Z716">
        <f>sumif(Plan!B:B,"262-000000-060",Plan!z:z)</f>
        <v>0</v>
      </c>
      <c r="AA716">
        <f>sumif(Plan!B:B,"262-000000-060",Plan!aa:aa)</f>
        <v>0</v>
      </c>
      <c r="AB716">
        <f>sumif(Plan!B:B,"262-000000-060",Plan!ab:ab)</f>
        <v>0</v>
      </c>
      <c r="AC716">
        <f>sumif(Plan!B:B,"262-000000-060",Plan!ac:ac)</f>
        <v>0</v>
      </c>
      <c r="AD716">
        <f>sumif(Plan!B:B,"262-000000-060",Plan!ad:ad)</f>
        <v>0</v>
      </c>
      <c r="AE716">
        <f>sumif(Plan!B:B,"262-000000-060",Plan!ae:ae)</f>
        <v>0</v>
      </c>
      <c r="AF716">
        <f>sumif(Plan!B:B,"262-000000-060",Plan!af:af)</f>
        <v>0</v>
      </c>
      <c r="AG716">
        <f>sumif(Plan!B:B,"262-000000-060",Plan!ag:ag)</f>
        <v>0</v>
      </c>
      <c r="AH716">
        <f>sumif(Plan!B:B,"262-000000-060",Plan!ah:ah)</f>
        <v>0</v>
      </c>
      <c r="AI716">
        <f>sumif(Plan!B:B,"262-000000-060",Plan!ai:ai)</f>
        <v>0</v>
      </c>
      <c r="AJ716">
        <f>sumif(Plan!B:B,"262-000000-060",Plan!aj:aj)</f>
        <v>0</v>
      </c>
      <c r="AK716">
        <f>sumif(Plan!B:B,"262-000000-060",Plan!ak:ak)</f>
        <v>0</v>
      </c>
      <c r="AL716">
        <f>sumif(Plan!B:B,"262-000000-060",Plan!al:al)</f>
        <v>0</v>
      </c>
      <c r="AM716">
        <f>sumif(Plan!B:B,"262-000000-060",Plan!am:am)</f>
        <v>0</v>
      </c>
      <c r="AN716">
        <f>sumif(Plan!B:B,"262-000000-060",Plan!an:an)</f>
        <v>0</v>
      </c>
      <c r="AO716">
        <f>sumif(Plan!B:B,"262-000000-060",Plan!ao:ao)</f>
        <v>0</v>
      </c>
    </row>
    <row r="717" spans="1:41">
      <c r="A717" t="s">
        <v>22</v>
      </c>
      <c r="B717" t="s">
        <v>464</v>
      </c>
      <c r="C717" t="s">
        <v>465</v>
      </c>
      <c r="E717">
        <v>1</v>
      </c>
      <c r="F717" t="s">
        <v>13</v>
      </c>
      <c r="H717" t="s">
        <v>16</v>
      </c>
      <c r="J717">
        <f>indirect(address(717,9))+indirect(address(715,10))-indirect(address(716,10))</f>
        <v>0</v>
      </c>
      <c r="K717">
        <f>indirect(address(717,10))+indirect(address(715,11))-indirect(address(716,11))</f>
        <v>0</v>
      </c>
      <c r="L717">
        <f>indirect(address(717,11))+indirect(address(715,12))-indirect(address(716,12))</f>
        <v>0</v>
      </c>
      <c r="M717">
        <f>indirect(address(717,12))+indirect(address(715,13))-indirect(address(716,13))</f>
        <v>0</v>
      </c>
      <c r="N717">
        <f>indirect(address(717,13))+indirect(address(715,14))-indirect(address(716,14))</f>
        <v>0</v>
      </c>
      <c r="O717">
        <f>indirect(address(717,14))+indirect(address(715,15))-indirect(address(716,15))</f>
        <v>0</v>
      </c>
      <c r="P717">
        <f>indirect(address(717,15))+indirect(address(715,16))-indirect(address(716,16))</f>
        <v>0</v>
      </c>
      <c r="Q717">
        <f>indirect(address(717,16))+indirect(address(715,17))-indirect(address(716,17))</f>
        <v>0</v>
      </c>
      <c r="R717">
        <f>indirect(address(717,17))+indirect(address(715,18))-indirect(address(716,18))</f>
        <v>0</v>
      </c>
      <c r="S717">
        <f>indirect(address(717,18))+indirect(address(715,19))-indirect(address(716,19))</f>
        <v>0</v>
      </c>
      <c r="T717">
        <f>indirect(address(717,19))+indirect(address(715,20))-indirect(address(716,20))</f>
        <v>0</v>
      </c>
      <c r="U717">
        <f>indirect(address(717,20))+indirect(address(715,21))-indirect(address(716,21))</f>
        <v>0</v>
      </c>
      <c r="V717">
        <f>indirect(address(717,21))+indirect(address(715,22))-indirect(address(716,22))</f>
        <v>0</v>
      </c>
      <c r="W717">
        <f>indirect(address(717,22))+indirect(address(715,23))-indirect(address(716,23))</f>
        <v>0</v>
      </c>
      <c r="X717">
        <f>indirect(address(717,23))+indirect(address(715,24))-indirect(address(716,24))</f>
        <v>0</v>
      </c>
      <c r="Y717">
        <f>indirect(address(717,24))+indirect(address(715,25))-indirect(address(716,25))</f>
        <v>0</v>
      </c>
      <c r="Z717">
        <f>indirect(address(717,25))+indirect(address(715,26))-indirect(address(716,26))</f>
        <v>0</v>
      </c>
      <c r="AA717">
        <f>indirect(address(717,26))+indirect(address(715,27))-indirect(address(716,27))</f>
        <v>0</v>
      </c>
      <c r="AB717">
        <f>indirect(address(717,27))+indirect(address(715,28))-indirect(address(716,28))</f>
        <v>0</v>
      </c>
      <c r="AC717">
        <f>indirect(address(717,28))+indirect(address(715,29))-indirect(address(716,29))</f>
        <v>0</v>
      </c>
      <c r="AD717">
        <f>indirect(address(717,29))+indirect(address(715,30))-indirect(address(716,30))</f>
        <v>0</v>
      </c>
      <c r="AE717">
        <f>indirect(address(717,30))+indirect(address(715,31))-indirect(address(716,31))</f>
        <v>0</v>
      </c>
      <c r="AF717">
        <f>indirect(address(717,31))+indirect(address(715,32))-indirect(address(716,32))</f>
        <v>0</v>
      </c>
      <c r="AG717">
        <f>indirect(address(717,32))+indirect(address(715,33))-indirect(address(716,33))</f>
        <v>0</v>
      </c>
      <c r="AH717">
        <f>indirect(address(717,33))+indirect(address(715,34))-indirect(address(716,34))</f>
        <v>0</v>
      </c>
      <c r="AI717">
        <f>indirect(address(717,34))+indirect(address(715,35))-indirect(address(716,35))</f>
        <v>0</v>
      </c>
      <c r="AJ717">
        <f>indirect(address(717,35))+indirect(address(715,36))-indirect(address(716,36))</f>
        <v>0</v>
      </c>
      <c r="AK717">
        <f>indirect(address(717,36))+indirect(address(715,37))-indirect(address(716,37))</f>
        <v>0</v>
      </c>
      <c r="AL717">
        <f>indirect(address(717,37))+indirect(address(715,38))-indirect(address(716,38))</f>
        <v>0</v>
      </c>
      <c r="AM717">
        <f>indirect(address(717,38))+indirect(address(715,39))-indirect(address(716,39))</f>
        <v>0</v>
      </c>
      <c r="AN717">
        <f>indirect(address(717,39))+indirect(address(715,40))-indirect(address(716,40))</f>
        <v>0</v>
      </c>
      <c r="AO717">
        <f>indirect(address(717,40))+indirect(address(715,41))-indirect(address(716,41))</f>
        <v>0</v>
      </c>
    </row>
    <row r="718" spans="1:41">
      <c r="I718" t="s">
        <v>14</v>
      </c>
      <c r="AO718">
        <f>sum(j718:an718)</f>
        <v>0</v>
      </c>
    </row>
    <row r="719" spans="1:41">
      <c r="I719" t="s">
        <v>15</v>
      </c>
      <c r="J719">
        <f>sumif(Plan!B:B,"204-00936",Plan!j:j)</f>
        <v>0</v>
      </c>
      <c r="K719">
        <f>sumif(Plan!B:B,"204-00936",Plan!k:k)</f>
        <v>0</v>
      </c>
      <c r="L719">
        <f>sumif(Plan!B:B,"204-00936",Plan!l:l)</f>
        <v>0</v>
      </c>
      <c r="M719">
        <f>sumif(Plan!B:B,"204-00936",Plan!m:m)</f>
        <v>0</v>
      </c>
      <c r="N719">
        <f>sumif(Plan!B:B,"204-00936",Plan!n:n)</f>
        <v>0</v>
      </c>
      <c r="O719">
        <f>sumif(Plan!B:B,"204-00936",Plan!o:o)</f>
        <v>0</v>
      </c>
      <c r="P719">
        <f>sumif(Plan!B:B,"204-00936",Plan!p:p)</f>
        <v>0</v>
      </c>
      <c r="Q719">
        <f>sumif(Plan!B:B,"204-00936",Plan!q:q)</f>
        <v>0</v>
      </c>
      <c r="R719">
        <f>sumif(Plan!B:B,"204-00936",Plan!r:r)</f>
        <v>0</v>
      </c>
      <c r="S719">
        <f>sumif(Plan!B:B,"204-00936",Plan!s:s)</f>
        <v>0</v>
      </c>
      <c r="T719">
        <f>sumif(Plan!B:B,"204-00936",Plan!t:t)</f>
        <v>0</v>
      </c>
      <c r="U719">
        <f>sumif(Plan!B:B,"204-00936",Plan!u:u)</f>
        <v>0</v>
      </c>
      <c r="V719">
        <f>sumif(Plan!B:B,"204-00936",Plan!v:v)</f>
        <v>0</v>
      </c>
      <c r="W719">
        <f>sumif(Plan!B:B,"204-00936",Plan!w:w)</f>
        <v>0</v>
      </c>
      <c r="X719">
        <f>sumif(Plan!B:B,"204-00936",Plan!x:x)</f>
        <v>0</v>
      </c>
      <c r="Y719">
        <f>sumif(Plan!B:B,"204-00936",Plan!y:y)</f>
        <v>0</v>
      </c>
      <c r="Z719">
        <f>sumif(Plan!B:B,"204-00936",Plan!z:z)</f>
        <v>0</v>
      </c>
      <c r="AA719">
        <f>sumif(Plan!B:B,"204-00936",Plan!aa:aa)</f>
        <v>0</v>
      </c>
      <c r="AB719">
        <f>sumif(Plan!B:B,"204-00936",Plan!ab:ab)</f>
        <v>0</v>
      </c>
      <c r="AC719">
        <f>sumif(Plan!B:B,"204-00936",Plan!ac:ac)</f>
        <v>0</v>
      </c>
      <c r="AD719">
        <f>sumif(Plan!B:B,"204-00936",Plan!ad:ad)</f>
        <v>0</v>
      </c>
      <c r="AE719">
        <f>sumif(Plan!B:B,"204-00936",Plan!ae:ae)</f>
        <v>0</v>
      </c>
      <c r="AF719">
        <f>sumif(Plan!B:B,"204-00936",Plan!af:af)</f>
        <v>0</v>
      </c>
      <c r="AG719">
        <f>sumif(Plan!B:B,"204-00936",Plan!ag:ag)</f>
        <v>0</v>
      </c>
      <c r="AH719">
        <f>sumif(Plan!B:B,"204-00936",Plan!ah:ah)</f>
        <v>0</v>
      </c>
      <c r="AI719">
        <f>sumif(Plan!B:B,"204-00936",Plan!ai:ai)</f>
        <v>0</v>
      </c>
      <c r="AJ719">
        <f>sumif(Plan!B:B,"204-00936",Plan!aj:aj)</f>
        <v>0</v>
      </c>
      <c r="AK719">
        <f>sumif(Plan!B:B,"204-00936",Plan!ak:ak)</f>
        <v>0</v>
      </c>
      <c r="AL719">
        <f>sumif(Plan!B:B,"204-00936",Plan!al:al)</f>
        <v>0</v>
      </c>
      <c r="AM719">
        <f>sumif(Plan!B:B,"204-00936",Plan!am:am)</f>
        <v>0</v>
      </c>
      <c r="AN719">
        <f>sumif(Plan!B:B,"204-00936",Plan!an:an)</f>
        <v>0</v>
      </c>
      <c r="AO719">
        <f>sumif(Plan!B:B,"204-00936",Plan!ao:ao)</f>
        <v>0</v>
      </c>
    </row>
    <row r="720" spans="1:41">
      <c r="A720" t="s">
        <v>43</v>
      </c>
      <c r="B720" t="s">
        <v>466</v>
      </c>
      <c r="C720" t="s">
        <v>467</v>
      </c>
      <c r="E720">
        <v>0.05</v>
      </c>
      <c r="F720" t="s">
        <v>13</v>
      </c>
      <c r="H720" t="s">
        <v>16</v>
      </c>
      <c r="J720">
        <f>indirect(address(720,9))+indirect(address(718,10))-indirect(address(719,10))</f>
        <v>0</v>
      </c>
      <c r="K720">
        <f>indirect(address(720,10))+indirect(address(718,11))-indirect(address(719,11))</f>
        <v>0</v>
      </c>
      <c r="L720">
        <f>indirect(address(720,11))+indirect(address(718,12))-indirect(address(719,12))</f>
        <v>0</v>
      </c>
      <c r="M720">
        <f>indirect(address(720,12))+indirect(address(718,13))-indirect(address(719,13))</f>
        <v>0</v>
      </c>
      <c r="N720">
        <f>indirect(address(720,13))+indirect(address(718,14))-indirect(address(719,14))</f>
        <v>0</v>
      </c>
      <c r="O720">
        <f>indirect(address(720,14))+indirect(address(718,15))-indirect(address(719,15))</f>
        <v>0</v>
      </c>
      <c r="P720">
        <f>indirect(address(720,15))+indirect(address(718,16))-indirect(address(719,16))</f>
        <v>0</v>
      </c>
      <c r="Q720">
        <f>indirect(address(720,16))+indirect(address(718,17))-indirect(address(719,17))</f>
        <v>0</v>
      </c>
      <c r="R720">
        <f>indirect(address(720,17))+indirect(address(718,18))-indirect(address(719,18))</f>
        <v>0</v>
      </c>
      <c r="S720">
        <f>indirect(address(720,18))+indirect(address(718,19))-indirect(address(719,19))</f>
        <v>0</v>
      </c>
      <c r="T720">
        <f>indirect(address(720,19))+indirect(address(718,20))-indirect(address(719,20))</f>
        <v>0</v>
      </c>
      <c r="U720">
        <f>indirect(address(720,20))+indirect(address(718,21))-indirect(address(719,21))</f>
        <v>0</v>
      </c>
      <c r="V720">
        <f>indirect(address(720,21))+indirect(address(718,22))-indirect(address(719,22))</f>
        <v>0</v>
      </c>
      <c r="W720">
        <f>indirect(address(720,22))+indirect(address(718,23))-indirect(address(719,23))</f>
        <v>0</v>
      </c>
      <c r="X720">
        <f>indirect(address(720,23))+indirect(address(718,24))-indirect(address(719,24))</f>
        <v>0</v>
      </c>
      <c r="Y720">
        <f>indirect(address(720,24))+indirect(address(718,25))-indirect(address(719,25))</f>
        <v>0</v>
      </c>
      <c r="Z720">
        <f>indirect(address(720,25))+indirect(address(718,26))-indirect(address(719,26))</f>
        <v>0</v>
      </c>
      <c r="AA720">
        <f>indirect(address(720,26))+indirect(address(718,27))-indirect(address(719,27))</f>
        <v>0</v>
      </c>
      <c r="AB720">
        <f>indirect(address(720,27))+indirect(address(718,28))-indirect(address(719,28))</f>
        <v>0</v>
      </c>
      <c r="AC720">
        <f>indirect(address(720,28))+indirect(address(718,29))-indirect(address(719,29))</f>
        <v>0</v>
      </c>
      <c r="AD720">
        <f>indirect(address(720,29))+indirect(address(718,30))-indirect(address(719,30))</f>
        <v>0</v>
      </c>
      <c r="AE720">
        <f>indirect(address(720,30))+indirect(address(718,31))-indirect(address(719,31))</f>
        <v>0</v>
      </c>
      <c r="AF720">
        <f>indirect(address(720,31))+indirect(address(718,32))-indirect(address(719,32))</f>
        <v>0</v>
      </c>
      <c r="AG720">
        <f>indirect(address(720,32))+indirect(address(718,33))-indirect(address(719,33))</f>
        <v>0</v>
      </c>
      <c r="AH720">
        <f>indirect(address(720,33))+indirect(address(718,34))-indirect(address(719,34))</f>
        <v>0</v>
      </c>
      <c r="AI720">
        <f>indirect(address(720,34))+indirect(address(718,35))-indirect(address(719,35))</f>
        <v>0</v>
      </c>
      <c r="AJ720">
        <f>indirect(address(720,35))+indirect(address(718,36))-indirect(address(719,36))</f>
        <v>0</v>
      </c>
      <c r="AK720">
        <f>indirect(address(720,36))+indirect(address(718,37))-indirect(address(719,37))</f>
        <v>0</v>
      </c>
      <c r="AL720">
        <f>indirect(address(720,37))+indirect(address(718,38))-indirect(address(719,38))</f>
        <v>0</v>
      </c>
      <c r="AM720">
        <f>indirect(address(720,38))+indirect(address(718,39))-indirect(address(719,39))</f>
        <v>0</v>
      </c>
      <c r="AN720">
        <f>indirect(address(720,39))+indirect(address(718,40))-indirect(address(719,40))</f>
        <v>0</v>
      </c>
      <c r="AO720">
        <f>indirect(address(720,40))+indirect(address(718,41))-indirect(address(719,41))</f>
        <v>0</v>
      </c>
    </row>
    <row r="721" spans="1:41">
      <c r="I721" t="s">
        <v>14</v>
      </c>
      <c r="AO721">
        <f>sum(j721:an721)</f>
        <v>0</v>
      </c>
    </row>
    <row r="722" spans="1:41">
      <c r="I722" t="s">
        <v>15</v>
      </c>
      <c r="J722">
        <f>sumif(Plan!B:B,"262-000000-055",Plan!j:j)</f>
        <v>0</v>
      </c>
      <c r="K722">
        <f>sumif(Plan!B:B,"262-000000-055",Plan!k:k)</f>
        <v>0</v>
      </c>
      <c r="L722">
        <f>sumif(Plan!B:B,"262-000000-055",Plan!l:l)</f>
        <v>0</v>
      </c>
      <c r="M722">
        <f>sumif(Plan!B:B,"262-000000-055",Plan!m:m)</f>
        <v>0</v>
      </c>
      <c r="N722">
        <f>sumif(Plan!B:B,"262-000000-055",Plan!n:n)</f>
        <v>0</v>
      </c>
      <c r="O722">
        <f>sumif(Plan!B:B,"262-000000-055",Plan!o:o)</f>
        <v>0</v>
      </c>
      <c r="P722">
        <f>sumif(Plan!B:B,"262-000000-055",Plan!p:p)</f>
        <v>0</v>
      </c>
      <c r="Q722">
        <f>sumif(Plan!B:B,"262-000000-055",Plan!q:q)</f>
        <v>0</v>
      </c>
      <c r="R722">
        <f>sumif(Plan!B:B,"262-000000-055",Plan!r:r)</f>
        <v>0</v>
      </c>
      <c r="S722">
        <f>sumif(Plan!B:B,"262-000000-055",Plan!s:s)</f>
        <v>0</v>
      </c>
      <c r="T722">
        <f>sumif(Plan!B:B,"262-000000-055",Plan!t:t)</f>
        <v>0</v>
      </c>
      <c r="U722">
        <f>sumif(Plan!B:B,"262-000000-055",Plan!u:u)</f>
        <v>0</v>
      </c>
      <c r="V722">
        <f>sumif(Plan!B:B,"262-000000-055",Plan!v:v)</f>
        <v>0</v>
      </c>
      <c r="W722">
        <f>sumif(Plan!B:B,"262-000000-055",Plan!w:w)</f>
        <v>0</v>
      </c>
      <c r="X722">
        <f>sumif(Plan!B:B,"262-000000-055",Plan!x:x)</f>
        <v>0</v>
      </c>
      <c r="Y722">
        <f>sumif(Plan!B:B,"262-000000-055",Plan!y:y)</f>
        <v>0</v>
      </c>
      <c r="Z722">
        <f>sumif(Plan!B:B,"262-000000-055",Plan!z:z)</f>
        <v>0</v>
      </c>
      <c r="AA722">
        <f>sumif(Plan!B:B,"262-000000-055",Plan!aa:aa)</f>
        <v>0</v>
      </c>
      <c r="AB722">
        <f>sumif(Plan!B:B,"262-000000-055",Plan!ab:ab)</f>
        <v>0</v>
      </c>
      <c r="AC722">
        <f>sumif(Plan!B:B,"262-000000-055",Plan!ac:ac)</f>
        <v>0</v>
      </c>
      <c r="AD722">
        <f>sumif(Plan!B:B,"262-000000-055",Plan!ad:ad)</f>
        <v>0</v>
      </c>
      <c r="AE722">
        <f>sumif(Plan!B:B,"262-000000-055",Plan!ae:ae)</f>
        <v>0</v>
      </c>
      <c r="AF722">
        <f>sumif(Plan!B:B,"262-000000-055",Plan!af:af)</f>
        <v>0</v>
      </c>
      <c r="AG722">
        <f>sumif(Plan!B:B,"262-000000-055",Plan!ag:ag)</f>
        <v>0</v>
      </c>
      <c r="AH722">
        <f>sumif(Plan!B:B,"262-000000-055",Plan!ah:ah)</f>
        <v>0</v>
      </c>
      <c r="AI722">
        <f>sumif(Plan!B:B,"262-000000-055",Plan!ai:ai)</f>
        <v>0</v>
      </c>
      <c r="AJ722">
        <f>sumif(Plan!B:B,"262-000000-055",Plan!aj:aj)</f>
        <v>0</v>
      </c>
      <c r="AK722">
        <f>sumif(Plan!B:B,"262-000000-055",Plan!ak:ak)</f>
        <v>0</v>
      </c>
      <c r="AL722">
        <f>sumif(Plan!B:B,"262-000000-055",Plan!al:al)</f>
        <v>0</v>
      </c>
      <c r="AM722">
        <f>sumif(Plan!B:B,"262-000000-055",Plan!am:am)</f>
        <v>0</v>
      </c>
      <c r="AN722">
        <f>sumif(Plan!B:B,"262-000000-055",Plan!an:an)</f>
        <v>0</v>
      </c>
      <c r="AO722">
        <f>sumif(Plan!B:B,"262-000000-055",Plan!ao:ao)</f>
        <v>0</v>
      </c>
    </row>
    <row r="723" spans="1:41">
      <c r="A723" t="s">
        <v>22</v>
      </c>
      <c r="B723" t="s">
        <v>469</v>
      </c>
      <c r="C723" t="s">
        <v>470</v>
      </c>
      <c r="E723">
        <v>1</v>
      </c>
      <c r="F723" t="s">
        <v>13</v>
      </c>
      <c r="H723" t="s">
        <v>16</v>
      </c>
      <c r="J723">
        <f>indirect(address(723,9))+indirect(address(721,10))-indirect(address(722,10))</f>
        <v>0</v>
      </c>
      <c r="K723">
        <f>indirect(address(723,10))+indirect(address(721,11))-indirect(address(722,11))</f>
        <v>0</v>
      </c>
      <c r="L723">
        <f>indirect(address(723,11))+indirect(address(721,12))-indirect(address(722,12))</f>
        <v>0</v>
      </c>
      <c r="M723">
        <f>indirect(address(723,12))+indirect(address(721,13))-indirect(address(722,13))</f>
        <v>0</v>
      </c>
      <c r="N723">
        <f>indirect(address(723,13))+indirect(address(721,14))-indirect(address(722,14))</f>
        <v>0</v>
      </c>
      <c r="O723">
        <f>indirect(address(723,14))+indirect(address(721,15))-indirect(address(722,15))</f>
        <v>0</v>
      </c>
      <c r="P723">
        <f>indirect(address(723,15))+indirect(address(721,16))-indirect(address(722,16))</f>
        <v>0</v>
      </c>
      <c r="Q723">
        <f>indirect(address(723,16))+indirect(address(721,17))-indirect(address(722,17))</f>
        <v>0</v>
      </c>
      <c r="R723">
        <f>indirect(address(723,17))+indirect(address(721,18))-indirect(address(722,18))</f>
        <v>0</v>
      </c>
      <c r="S723">
        <f>indirect(address(723,18))+indirect(address(721,19))-indirect(address(722,19))</f>
        <v>0</v>
      </c>
      <c r="T723">
        <f>indirect(address(723,19))+indirect(address(721,20))-indirect(address(722,20))</f>
        <v>0</v>
      </c>
      <c r="U723">
        <f>indirect(address(723,20))+indirect(address(721,21))-indirect(address(722,21))</f>
        <v>0</v>
      </c>
      <c r="V723">
        <f>indirect(address(723,21))+indirect(address(721,22))-indirect(address(722,22))</f>
        <v>0</v>
      </c>
      <c r="W723">
        <f>indirect(address(723,22))+indirect(address(721,23))-indirect(address(722,23))</f>
        <v>0</v>
      </c>
      <c r="X723">
        <f>indirect(address(723,23))+indirect(address(721,24))-indirect(address(722,24))</f>
        <v>0</v>
      </c>
      <c r="Y723">
        <f>indirect(address(723,24))+indirect(address(721,25))-indirect(address(722,25))</f>
        <v>0</v>
      </c>
      <c r="Z723">
        <f>indirect(address(723,25))+indirect(address(721,26))-indirect(address(722,26))</f>
        <v>0</v>
      </c>
      <c r="AA723">
        <f>indirect(address(723,26))+indirect(address(721,27))-indirect(address(722,27))</f>
        <v>0</v>
      </c>
      <c r="AB723">
        <f>indirect(address(723,27))+indirect(address(721,28))-indirect(address(722,28))</f>
        <v>0</v>
      </c>
      <c r="AC723">
        <f>indirect(address(723,28))+indirect(address(721,29))-indirect(address(722,29))</f>
        <v>0</v>
      </c>
      <c r="AD723">
        <f>indirect(address(723,29))+indirect(address(721,30))-indirect(address(722,30))</f>
        <v>0</v>
      </c>
      <c r="AE723">
        <f>indirect(address(723,30))+indirect(address(721,31))-indirect(address(722,31))</f>
        <v>0</v>
      </c>
      <c r="AF723">
        <f>indirect(address(723,31))+indirect(address(721,32))-indirect(address(722,32))</f>
        <v>0</v>
      </c>
      <c r="AG723">
        <f>indirect(address(723,32))+indirect(address(721,33))-indirect(address(722,33))</f>
        <v>0</v>
      </c>
      <c r="AH723">
        <f>indirect(address(723,33))+indirect(address(721,34))-indirect(address(722,34))</f>
        <v>0</v>
      </c>
      <c r="AI723">
        <f>indirect(address(723,34))+indirect(address(721,35))-indirect(address(722,35))</f>
        <v>0</v>
      </c>
      <c r="AJ723">
        <f>indirect(address(723,35))+indirect(address(721,36))-indirect(address(722,36))</f>
        <v>0</v>
      </c>
      <c r="AK723">
        <f>indirect(address(723,36))+indirect(address(721,37))-indirect(address(722,37))</f>
        <v>0</v>
      </c>
      <c r="AL723">
        <f>indirect(address(723,37))+indirect(address(721,38))-indirect(address(722,38))</f>
        <v>0</v>
      </c>
      <c r="AM723">
        <f>indirect(address(723,38))+indirect(address(721,39))-indirect(address(722,39))</f>
        <v>0</v>
      </c>
      <c r="AN723">
        <f>indirect(address(723,39))+indirect(address(721,40))-indirect(address(722,40))</f>
        <v>0</v>
      </c>
      <c r="AO723">
        <f>indirect(address(723,40))+indirect(address(721,41))-indirect(address(722,41))</f>
        <v>0</v>
      </c>
    </row>
    <row r="724" spans="1:41">
      <c r="I724" t="s">
        <v>14</v>
      </c>
      <c r="AO724">
        <f>sum(j724:an724)</f>
        <v>0</v>
      </c>
    </row>
    <row r="725" spans="1:41">
      <c r="I725" t="s">
        <v>15</v>
      </c>
      <c r="J725">
        <f>sumif(Plan!B:B,"204-00937",Plan!j:j)</f>
        <v>0</v>
      </c>
      <c r="K725">
        <f>sumif(Plan!B:B,"204-00937",Plan!k:k)</f>
        <v>0</v>
      </c>
      <c r="L725">
        <f>sumif(Plan!B:B,"204-00937",Plan!l:l)</f>
        <v>0</v>
      </c>
      <c r="M725">
        <f>sumif(Plan!B:B,"204-00937",Plan!m:m)</f>
        <v>0</v>
      </c>
      <c r="N725">
        <f>sumif(Plan!B:B,"204-00937",Plan!n:n)</f>
        <v>0</v>
      </c>
      <c r="O725">
        <f>sumif(Plan!B:B,"204-00937",Plan!o:o)</f>
        <v>0</v>
      </c>
      <c r="P725">
        <f>sumif(Plan!B:B,"204-00937",Plan!p:p)</f>
        <v>0</v>
      </c>
      <c r="Q725">
        <f>sumif(Plan!B:B,"204-00937",Plan!q:q)</f>
        <v>0</v>
      </c>
      <c r="R725">
        <f>sumif(Plan!B:B,"204-00937",Plan!r:r)</f>
        <v>0</v>
      </c>
      <c r="S725">
        <f>sumif(Plan!B:B,"204-00937",Plan!s:s)</f>
        <v>0</v>
      </c>
      <c r="T725">
        <f>sumif(Plan!B:B,"204-00937",Plan!t:t)</f>
        <v>0</v>
      </c>
      <c r="U725">
        <f>sumif(Plan!B:B,"204-00937",Plan!u:u)</f>
        <v>0</v>
      </c>
      <c r="V725">
        <f>sumif(Plan!B:B,"204-00937",Plan!v:v)</f>
        <v>0</v>
      </c>
      <c r="W725">
        <f>sumif(Plan!B:B,"204-00937",Plan!w:w)</f>
        <v>0</v>
      </c>
      <c r="X725">
        <f>sumif(Plan!B:B,"204-00937",Plan!x:x)</f>
        <v>0</v>
      </c>
      <c r="Y725">
        <f>sumif(Plan!B:B,"204-00937",Plan!y:y)</f>
        <v>0</v>
      </c>
      <c r="Z725">
        <f>sumif(Plan!B:B,"204-00937",Plan!z:z)</f>
        <v>0</v>
      </c>
      <c r="AA725">
        <f>sumif(Plan!B:B,"204-00937",Plan!aa:aa)</f>
        <v>0</v>
      </c>
      <c r="AB725">
        <f>sumif(Plan!B:B,"204-00937",Plan!ab:ab)</f>
        <v>0</v>
      </c>
      <c r="AC725">
        <f>sumif(Plan!B:B,"204-00937",Plan!ac:ac)</f>
        <v>0</v>
      </c>
      <c r="AD725">
        <f>sumif(Plan!B:B,"204-00937",Plan!ad:ad)</f>
        <v>0</v>
      </c>
      <c r="AE725">
        <f>sumif(Plan!B:B,"204-00937",Plan!ae:ae)</f>
        <v>0</v>
      </c>
      <c r="AF725">
        <f>sumif(Plan!B:B,"204-00937",Plan!af:af)</f>
        <v>0</v>
      </c>
      <c r="AG725">
        <f>sumif(Plan!B:B,"204-00937",Plan!ag:ag)</f>
        <v>0</v>
      </c>
      <c r="AH725">
        <f>sumif(Plan!B:B,"204-00937",Plan!ah:ah)</f>
        <v>0</v>
      </c>
      <c r="AI725">
        <f>sumif(Plan!B:B,"204-00937",Plan!ai:ai)</f>
        <v>0</v>
      </c>
      <c r="AJ725">
        <f>sumif(Plan!B:B,"204-00937",Plan!aj:aj)</f>
        <v>0</v>
      </c>
      <c r="AK725">
        <f>sumif(Plan!B:B,"204-00937",Plan!ak:ak)</f>
        <v>0</v>
      </c>
      <c r="AL725">
        <f>sumif(Plan!B:B,"204-00937",Plan!al:al)</f>
        <v>0</v>
      </c>
      <c r="AM725">
        <f>sumif(Plan!B:B,"204-00937",Plan!am:am)</f>
        <v>0</v>
      </c>
      <c r="AN725">
        <f>sumif(Plan!B:B,"204-00937",Plan!an:an)</f>
        <v>0</v>
      </c>
      <c r="AO725">
        <f>sumif(Plan!B:B,"204-00937",Plan!ao:ao)</f>
        <v>0</v>
      </c>
    </row>
    <row r="726" spans="1:41">
      <c r="A726" t="s">
        <v>43</v>
      </c>
      <c r="B726" t="s">
        <v>471</v>
      </c>
      <c r="C726" t="s">
        <v>472</v>
      </c>
      <c r="E726">
        <v>0.05</v>
      </c>
      <c r="F726" t="s">
        <v>13</v>
      </c>
      <c r="H726" t="s">
        <v>16</v>
      </c>
      <c r="J726">
        <f>indirect(address(726,9))+indirect(address(724,10))-indirect(address(725,10))</f>
        <v>0</v>
      </c>
      <c r="K726">
        <f>indirect(address(726,10))+indirect(address(724,11))-indirect(address(725,11))</f>
        <v>0</v>
      </c>
      <c r="L726">
        <f>indirect(address(726,11))+indirect(address(724,12))-indirect(address(725,12))</f>
        <v>0</v>
      </c>
      <c r="M726">
        <f>indirect(address(726,12))+indirect(address(724,13))-indirect(address(725,13))</f>
        <v>0</v>
      </c>
      <c r="N726">
        <f>indirect(address(726,13))+indirect(address(724,14))-indirect(address(725,14))</f>
        <v>0</v>
      </c>
      <c r="O726">
        <f>indirect(address(726,14))+indirect(address(724,15))-indirect(address(725,15))</f>
        <v>0</v>
      </c>
      <c r="P726">
        <f>indirect(address(726,15))+indirect(address(724,16))-indirect(address(725,16))</f>
        <v>0</v>
      </c>
      <c r="Q726">
        <f>indirect(address(726,16))+indirect(address(724,17))-indirect(address(725,17))</f>
        <v>0</v>
      </c>
      <c r="R726">
        <f>indirect(address(726,17))+indirect(address(724,18))-indirect(address(725,18))</f>
        <v>0</v>
      </c>
      <c r="S726">
        <f>indirect(address(726,18))+indirect(address(724,19))-indirect(address(725,19))</f>
        <v>0</v>
      </c>
      <c r="T726">
        <f>indirect(address(726,19))+indirect(address(724,20))-indirect(address(725,20))</f>
        <v>0</v>
      </c>
      <c r="U726">
        <f>indirect(address(726,20))+indirect(address(724,21))-indirect(address(725,21))</f>
        <v>0</v>
      </c>
      <c r="V726">
        <f>indirect(address(726,21))+indirect(address(724,22))-indirect(address(725,22))</f>
        <v>0</v>
      </c>
      <c r="W726">
        <f>indirect(address(726,22))+indirect(address(724,23))-indirect(address(725,23))</f>
        <v>0</v>
      </c>
      <c r="X726">
        <f>indirect(address(726,23))+indirect(address(724,24))-indirect(address(725,24))</f>
        <v>0</v>
      </c>
      <c r="Y726">
        <f>indirect(address(726,24))+indirect(address(724,25))-indirect(address(725,25))</f>
        <v>0</v>
      </c>
      <c r="Z726">
        <f>indirect(address(726,25))+indirect(address(724,26))-indirect(address(725,26))</f>
        <v>0</v>
      </c>
      <c r="AA726">
        <f>indirect(address(726,26))+indirect(address(724,27))-indirect(address(725,27))</f>
        <v>0</v>
      </c>
      <c r="AB726">
        <f>indirect(address(726,27))+indirect(address(724,28))-indirect(address(725,28))</f>
        <v>0</v>
      </c>
      <c r="AC726">
        <f>indirect(address(726,28))+indirect(address(724,29))-indirect(address(725,29))</f>
        <v>0</v>
      </c>
      <c r="AD726">
        <f>indirect(address(726,29))+indirect(address(724,30))-indirect(address(725,30))</f>
        <v>0</v>
      </c>
      <c r="AE726">
        <f>indirect(address(726,30))+indirect(address(724,31))-indirect(address(725,31))</f>
        <v>0</v>
      </c>
      <c r="AF726">
        <f>indirect(address(726,31))+indirect(address(724,32))-indirect(address(725,32))</f>
        <v>0</v>
      </c>
      <c r="AG726">
        <f>indirect(address(726,32))+indirect(address(724,33))-indirect(address(725,33))</f>
        <v>0</v>
      </c>
      <c r="AH726">
        <f>indirect(address(726,33))+indirect(address(724,34))-indirect(address(725,34))</f>
        <v>0</v>
      </c>
      <c r="AI726">
        <f>indirect(address(726,34))+indirect(address(724,35))-indirect(address(725,35))</f>
        <v>0</v>
      </c>
      <c r="AJ726">
        <f>indirect(address(726,35))+indirect(address(724,36))-indirect(address(725,36))</f>
        <v>0</v>
      </c>
      <c r="AK726">
        <f>indirect(address(726,36))+indirect(address(724,37))-indirect(address(725,37))</f>
        <v>0</v>
      </c>
      <c r="AL726">
        <f>indirect(address(726,37))+indirect(address(724,38))-indirect(address(725,38))</f>
        <v>0</v>
      </c>
      <c r="AM726">
        <f>indirect(address(726,38))+indirect(address(724,39))-indirect(address(725,39))</f>
        <v>0</v>
      </c>
      <c r="AN726">
        <f>indirect(address(726,39))+indirect(address(724,40))-indirect(address(725,40))</f>
        <v>0</v>
      </c>
      <c r="AO726">
        <f>indirect(address(726,40))+indirect(address(724,41))-indirect(address(725,41))</f>
        <v>0</v>
      </c>
    </row>
    <row r="727" spans="1:41">
      <c r="I727" t="s">
        <v>14</v>
      </c>
      <c r="AO727">
        <f>sum(j727:an727)</f>
        <v>0</v>
      </c>
    </row>
    <row r="728" spans="1:41">
      <c r="I728" t="s">
        <v>15</v>
      </c>
      <c r="J728">
        <f>sumif(Plan!B:B,"262-000000-056",Plan!j:j)</f>
        <v>0</v>
      </c>
      <c r="K728">
        <f>sumif(Plan!B:B,"262-000000-056",Plan!k:k)</f>
        <v>0</v>
      </c>
      <c r="L728">
        <f>sumif(Plan!B:B,"262-000000-056",Plan!l:l)</f>
        <v>0</v>
      </c>
      <c r="M728">
        <f>sumif(Plan!B:B,"262-000000-056",Plan!m:m)</f>
        <v>0</v>
      </c>
      <c r="N728">
        <f>sumif(Plan!B:B,"262-000000-056",Plan!n:n)</f>
        <v>0</v>
      </c>
      <c r="O728">
        <f>sumif(Plan!B:B,"262-000000-056",Plan!o:o)</f>
        <v>0</v>
      </c>
      <c r="P728">
        <f>sumif(Plan!B:B,"262-000000-056",Plan!p:p)</f>
        <v>0</v>
      </c>
      <c r="Q728">
        <f>sumif(Plan!B:B,"262-000000-056",Plan!q:q)</f>
        <v>0</v>
      </c>
      <c r="R728">
        <f>sumif(Plan!B:B,"262-000000-056",Plan!r:r)</f>
        <v>0</v>
      </c>
      <c r="S728">
        <f>sumif(Plan!B:B,"262-000000-056",Plan!s:s)</f>
        <v>0</v>
      </c>
      <c r="T728">
        <f>sumif(Plan!B:B,"262-000000-056",Plan!t:t)</f>
        <v>0</v>
      </c>
      <c r="U728">
        <f>sumif(Plan!B:B,"262-000000-056",Plan!u:u)</f>
        <v>0</v>
      </c>
      <c r="V728">
        <f>sumif(Plan!B:B,"262-000000-056",Plan!v:v)</f>
        <v>0</v>
      </c>
      <c r="W728">
        <f>sumif(Plan!B:B,"262-000000-056",Plan!w:w)</f>
        <v>0</v>
      </c>
      <c r="X728">
        <f>sumif(Plan!B:B,"262-000000-056",Plan!x:x)</f>
        <v>0</v>
      </c>
      <c r="Y728">
        <f>sumif(Plan!B:B,"262-000000-056",Plan!y:y)</f>
        <v>0</v>
      </c>
      <c r="Z728">
        <f>sumif(Plan!B:B,"262-000000-056",Plan!z:z)</f>
        <v>0</v>
      </c>
      <c r="AA728">
        <f>sumif(Plan!B:B,"262-000000-056",Plan!aa:aa)</f>
        <v>0</v>
      </c>
      <c r="AB728">
        <f>sumif(Plan!B:B,"262-000000-056",Plan!ab:ab)</f>
        <v>0</v>
      </c>
      <c r="AC728">
        <f>sumif(Plan!B:B,"262-000000-056",Plan!ac:ac)</f>
        <v>0</v>
      </c>
      <c r="AD728">
        <f>sumif(Plan!B:B,"262-000000-056",Plan!ad:ad)</f>
        <v>0</v>
      </c>
      <c r="AE728">
        <f>sumif(Plan!B:B,"262-000000-056",Plan!ae:ae)</f>
        <v>0</v>
      </c>
      <c r="AF728">
        <f>sumif(Plan!B:B,"262-000000-056",Plan!af:af)</f>
        <v>0</v>
      </c>
      <c r="AG728">
        <f>sumif(Plan!B:B,"262-000000-056",Plan!ag:ag)</f>
        <v>0</v>
      </c>
      <c r="AH728">
        <f>sumif(Plan!B:B,"262-000000-056",Plan!ah:ah)</f>
        <v>0</v>
      </c>
      <c r="AI728">
        <f>sumif(Plan!B:B,"262-000000-056",Plan!ai:ai)</f>
        <v>0</v>
      </c>
      <c r="AJ728">
        <f>sumif(Plan!B:B,"262-000000-056",Plan!aj:aj)</f>
        <v>0</v>
      </c>
      <c r="AK728">
        <f>sumif(Plan!B:B,"262-000000-056",Plan!ak:ak)</f>
        <v>0</v>
      </c>
      <c r="AL728">
        <f>sumif(Plan!B:B,"262-000000-056",Plan!al:al)</f>
        <v>0</v>
      </c>
      <c r="AM728">
        <f>sumif(Plan!B:B,"262-000000-056",Plan!am:am)</f>
        <v>0</v>
      </c>
      <c r="AN728">
        <f>sumif(Plan!B:B,"262-000000-056",Plan!an:an)</f>
        <v>0</v>
      </c>
      <c r="AO728">
        <f>sumif(Plan!B:B,"262-000000-056",Plan!ao:ao)</f>
        <v>0</v>
      </c>
    </row>
    <row r="729" spans="1:41">
      <c r="A729" t="s">
        <v>22</v>
      </c>
      <c r="B729" t="s">
        <v>474</v>
      </c>
      <c r="C729" t="s">
        <v>475</v>
      </c>
      <c r="E729">
        <v>1</v>
      </c>
      <c r="F729" t="s">
        <v>13</v>
      </c>
      <c r="H729" t="s">
        <v>16</v>
      </c>
      <c r="J729">
        <f>indirect(address(729,9))+indirect(address(727,10))-indirect(address(728,10))</f>
        <v>0</v>
      </c>
      <c r="K729">
        <f>indirect(address(729,10))+indirect(address(727,11))-indirect(address(728,11))</f>
        <v>0</v>
      </c>
      <c r="L729">
        <f>indirect(address(729,11))+indirect(address(727,12))-indirect(address(728,12))</f>
        <v>0</v>
      </c>
      <c r="M729">
        <f>indirect(address(729,12))+indirect(address(727,13))-indirect(address(728,13))</f>
        <v>0</v>
      </c>
      <c r="N729">
        <f>indirect(address(729,13))+indirect(address(727,14))-indirect(address(728,14))</f>
        <v>0</v>
      </c>
      <c r="O729">
        <f>indirect(address(729,14))+indirect(address(727,15))-indirect(address(728,15))</f>
        <v>0</v>
      </c>
      <c r="P729">
        <f>indirect(address(729,15))+indirect(address(727,16))-indirect(address(728,16))</f>
        <v>0</v>
      </c>
      <c r="Q729">
        <f>indirect(address(729,16))+indirect(address(727,17))-indirect(address(728,17))</f>
        <v>0</v>
      </c>
      <c r="R729">
        <f>indirect(address(729,17))+indirect(address(727,18))-indirect(address(728,18))</f>
        <v>0</v>
      </c>
      <c r="S729">
        <f>indirect(address(729,18))+indirect(address(727,19))-indirect(address(728,19))</f>
        <v>0</v>
      </c>
      <c r="T729">
        <f>indirect(address(729,19))+indirect(address(727,20))-indirect(address(728,20))</f>
        <v>0</v>
      </c>
      <c r="U729">
        <f>indirect(address(729,20))+indirect(address(727,21))-indirect(address(728,21))</f>
        <v>0</v>
      </c>
      <c r="V729">
        <f>indirect(address(729,21))+indirect(address(727,22))-indirect(address(728,22))</f>
        <v>0</v>
      </c>
      <c r="W729">
        <f>indirect(address(729,22))+indirect(address(727,23))-indirect(address(728,23))</f>
        <v>0</v>
      </c>
      <c r="X729">
        <f>indirect(address(729,23))+indirect(address(727,24))-indirect(address(728,24))</f>
        <v>0</v>
      </c>
      <c r="Y729">
        <f>indirect(address(729,24))+indirect(address(727,25))-indirect(address(728,25))</f>
        <v>0</v>
      </c>
      <c r="Z729">
        <f>indirect(address(729,25))+indirect(address(727,26))-indirect(address(728,26))</f>
        <v>0</v>
      </c>
      <c r="AA729">
        <f>indirect(address(729,26))+indirect(address(727,27))-indirect(address(728,27))</f>
        <v>0</v>
      </c>
      <c r="AB729">
        <f>indirect(address(729,27))+indirect(address(727,28))-indirect(address(728,28))</f>
        <v>0</v>
      </c>
      <c r="AC729">
        <f>indirect(address(729,28))+indirect(address(727,29))-indirect(address(728,29))</f>
        <v>0</v>
      </c>
      <c r="AD729">
        <f>indirect(address(729,29))+indirect(address(727,30))-indirect(address(728,30))</f>
        <v>0</v>
      </c>
      <c r="AE729">
        <f>indirect(address(729,30))+indirect(address(727,31))-indirect(address(728,31))</f>
        <v>0</v>
      </c>
      <c r="AF729">
        <f>indirect(address(729,31))+indirect(address(727,32))-indirect(address(728,32))</f>
        <v>0</v>
      </c>
      <c r="AG729">
        <f>indirect(address(729,32))+indirect(address(727,33))-indirect(address(728,33))</f>
        <v>0</v>
      </c>
      <c r="AH729">
        <f>indirect(address(729,33))+indirect(address(727,34))-indirect(address(728,34))</f>
        <v>0</v>
      </c>
      <c r="AI729">
        <f>indirect(address(729,34))+indirect(address(727,35))-indirect(address(728,35))</f>
        <v>0</v>
      </c>
      <c r="AJ729">
        <f>indirect(address(729,35))+indirect(address(727,36))-indirect(address(728,36))</f>
        <v>0</v>
      </c>
      <c r="AK729">
        <f>indirect(address(729,36))+indirect(address(727,37))-indirect(address(728,37))</f>
        <v>0</v>
      </c>
      <c r="AL729">
        <f>indirect(address(729,37))+indirect(address(727,38))-indirect(address(728,38))</f>
        <v>0</v>
      </c>
      <c r="AM729">
        <f>indirect(address(729,38))+indirect(address(727,39))-indirect(address(728,39))</f>
        <v>0</v>
      </c>
      <c r="AN729">
        <f>indirect(address(729,39))+indirect(address(727,40))-indirect(address(728,40))</f>
        <v>0</v>
      </c>
      <c r="AO729">
        <f>indirect(address(729,40))+indirect(address(727,41))-indirect(address(728,41))</f>
        <v>0</v>
      </c>
    </row>
    <row r="730" spans="1:41">
      <c r="I730" t="s">
        <v>14</v>
      </c>
      <c r="AO730">
        <f>sum(j730:an730)</f>
        <v>0</v>
      </c>
    </row>
    <row r="731" spans="1:41">
      <c r="I731" t="s">
        <v>15</v>
      </c>
      <c r="J731">
        <f>sumif(Plan!B:B,"204-00938",Plan!j:j)</f>
        <v>0</v>
      </c>
      <c r="K731">
        <f>sumif(Plan!B:B,"204-00938",Plan!k:k)</f>
        <v>0</v>
      </c>
      <c r="L731">
        <f>sumif(Plan!B:B,"204-00938",Plan!l:l)</f>
        <v>0</v>
      </c>
      <c r="M731">
        <f>sumif(Plan!B:B,"204-00938",Plan!m:m)</f>
        <v>0</v>
      </c>
      <c r="N731">
        <f>sumif(Plan!B:B,"204-00938",Plan!n:n)</f>
        <v>0</v>
      </c>
      <c r="O731">
        <f>sumif(Plan!B:B,"204-00938",Plan!o:o)</f>
        <v>0</v>
      </c>
      <c r="P731">
        <f>sumif(Plan!B:B,"204-00938",Plan!p:p)</f>
        <v>0</v>
      </c>
      <c r="Q731">
        <f>sumif(Plan!B:B,"204-00938",Plan!q:q)</f>
        <v>0</v>
      </c>
      <c r="R731">
        <f>sumif(Plan!B:B,"204-00938",Plan!r:r)</f>
        <v>0</v>
      </c>
      <c r="S731">
        <f>sumif(Plan!B:B,"204-00938",Plan!s:s)</f>
        <v>0</v>
      </c>
      <c r="T731">
        <f>sumif(Plan!B:B,"204-00938",Plan!t:t)</f>
        <v>0</v>
      </c>
      <c r="U731">
        <f>sumif(Plan!B:B,"204-00938",Plan!u:u)</f>
        <v>0</v>
      </c>
      <c r="V731">
        <f>sumif(Plan!B:B,"204-00938",Plan!v:v)</f>
        <v>0</v>
      </c>
      <c r="W731">
        <f>sumif(Plan!B:B,"204-00938",Plan!w:w)</f>
        <v>0</v>
      </c>
      <c r="X731">
        <f>sumif(Plan!B:B,"204-00938",Plan!x:x)</f>
        <v>0</v>
      </c>
      <c r="Y731">
        <f>sumif(Plan!B:B,"204-00938",Plan!y:y)</f>
        <v>0</v>
      </c>
      <c r="Z731">
        <f>sumif(Plan!B:B,"204-00938",Plan!z:z)</f>
        <v>0</v>
      </c>
      <c r="AA731">
        <f>sumif(Plan!B:B,"204-00938",Plan!aa:aa)</f>
        <v>0</v>
      </c>
      <c r="AB731">
        <f>sumif(Plan!B:B,"204-00938",Plan!ab:ab)</f>
        <v>0</v>
      </c>
      <c r="AC731">
        <f>sumif(Plan!B:B,"204-00938",Plan!ac:ac)</f>
        <v>0</v>
      </c>
      <c r="AD731">
        <f>sumif(Plan!B:B,"204-00938",Plan!ad:ad)</f>
        <v>0</v>
      </c>
      <c r="AE731">
        <f>sumif(Plan!B:B,"204-00938",Plan!ae:ae)</f>
        <v>0</v>
      </c>
      <c r="AF731">
        <f>sumif(Plan!B:B,"204-00938",Plan!af:af)</f>
        <v>0</v>
      </c>
      <c r="AG731">
        <f>sumif(Plan!B:B,"204-00938",Plan!ag:ag)</f>
        <v>0</v>
      </c>
      <c r="AH731">
        <f>sumif(Plan!B:B,"204-00938",Plan!ah:ah)</f>
        <v>0</v>
      </c>
      <c r="AI731">
        <f>sumif(Plan!B:B,"204-00938",Plan!ai:ai)</f>
        <v>0</v>
      </c>
      <c r="AJ731">
        <f>sumif(Plan!B:B,"204-00938",Plan!aj:aj)</f>
        <v>0</v>
      </c>
      <c r="AK731">
        <f>sumif(Plan!B:B,"204-00938",Plan!ak:ak)</f>
        <v>0</v>
      </c>
      <c r="AL731">
        <f>sumif(Plan!B:B,"204-00938",Plan!al:al)</f>
        <v>0</v>
      </c>
      <c r="AM731">
        <f>sumif(Plan!B:B,"204-00938",Plan!am:am)</f>
        <v>0</v>
      </c>
      <c r="AN731">
        <f>sumif(Plan!B:B,"204-00938",Plan!an:an)</f>
        <v>0</v>
      </c>
      <c r="AO731">
        <f>sumif(Plan!B:B,"204-00938",Plan!ao:ao)</f>
        <v>0</v>
      </c>
    </row>
    <row r="732" spans="1:41">
      <c r="A732" t="s">
        <v>43</v>
      </c>
      <c r="B732" t="s">
        <v>476</v>
      </c>
      <c r="C732" t="s">
        <v>477</v>
      </c>
      <c r="E732">
        <v>0.05</v>
      </c>
      <c r="F732" t="s">
        <v>13</v>
      </c>
      <c r="H732" t="s">
        <v>16</v>
      </c>
      <c r="J732">
        <f>indirect(address(732,9))+indirect(address(730,10))-indirect(address(731,10))</f>
        <v>0</v>
      </c>
      <c r="K732">
        <f>indirect(address(732,10))+indirect(address(730,11))-indirect(address(731,11))</f>
        <v>0</v>
      </c>
      <c r="L732">
        <f>indirect(address(732,11))+indirect(address(730,12))-indirect(address(731,12))</f>
        <v>0</v>
      </c>
      <c r="M732">
        <f>indirect(address(732,12))+indirect(address(730,13))-indirect(address(731,13))</f>
        <v>0</v>
      </c>
      <c r="N732">
        <f>indirect(address(732,13))+indirect(address(730,14))-indirect(address(731,14))</f>
        <v>0</v>
      </c>
      <c r="O732">
        <f>indirect(address(732,14))+indirect(address(730,15))-indirect(address(731,15))</f>
        <v>0</v>
      </c>
      <c r="P732">
        <f>indirect(address(732,15))+indirect(address(730,16))-indirect(address(731,16))</f>
        <v>0</v>
      </c>
      <c r="Q732">
        <f>indirect(address(732,16))+indirect(address(730,17))-indirect(address(731,17))</f>
        <v>0</v>
      </c>
      <c r="R732">
        <f>indirect(address(732,17))+indirect(address(730,18))-indirect(address(731,18))</f>
        <v>0</v>
      </c>
      <c r="S732">
        <f>indirect(address(732,18))+indirect(address(730,19))-indirect(address(731,19))</f>
        <v>0</v>
      </c>
      <c r="T732">
        <f>indirect(address(732,19))+indirect(address(730,20))-indirect(address(731,20))</f>
        <v>0</v>
      </c>
      <c r="U732">
        <f>indirect(address(732,20))+indirect(address(730,21))-indirect(address(731,21))</f>
        <v>0</v>
      </c>
      <c r="V732">
        <f>indirect(address(732,21))+indirect(address(730,22))-indirect(address(731,22))</f>
        <v>0</v>
      </c>
      <c r="W732">
        <f>indirect(address(732,22))+indirect(address(730,23))-indirect(address(731,23))</f>
        <v>0</v>
      </c>
      <c r="X732">
        <f>indirect(address(732,23))+indirect(address(730,24))-indirect(address(731,24))</f>
        <v>0</v>
      </c>
      <c r="Y732">
        <f>indirect(address(732,24))+indirect(address(730,25))-indirect(address(731,25))</f>
        <v>0</v>
      </c>
      <c r="Z732">
        <f>indirect(address(732,25))+indirect(address(730,26))-indirect(address(731,26))</f>
        <v>0</v>
      </c>
      <c r="AA732">
        <f>indirect(address(732,26))+indirect(address(730,27))-indirect(address(731,27))</f>
        <v>0</v>
      </c>
      <c r="AB732">
        <f>indirect(address(732,27))+indirect(address(730,28))-indirect(address(731,28))</f>
        <v>0</v>
      </c>
      <c r="AC732">
        <f>indirect(address(732,28))+indirect(address(730,29))-indirect(address(731,29))</f>
        <v>0</v>
      </c>
      <c r="AD732">
        <f>indirect(address(732,29))+indirect(address(730,30))-indirect(address(731,30))</f>
        <v>0</v>
      </c>
      <c r="AE732">
        <f>indirect(address(732,30))+indirect(address(730,31))-indirect(address(731,31))</f>
        <v>0</v>
      </c>
      <c r="AF732">
        <f>indirect(address(732,31))+indirect(address(730,32))-indirect(address(731,32))</f>
        <v>0</v>
      </c>
      <c r="AG732">
        <f>indirect(address(732,32))+indirect(address(730,33))-indirect(address(731,33))</f>
        <v>0</v>
      </c>
      <c r="AH732">
        <f>indirect(address(732,33))+indirect(address(730,34))-indirect(address(731,34))</f>
        <v>0</v>
      </c>
      <c r="AI732">
        <f>indirect(address(732,34))+indirect(address(730,35))-indirect(address(731,35))</f>
        <v>0</v>
      </c>
      <c r="AJ732">
        <f>indirect(address(732,35))+indirect(address(730,36))-indirect(address(731,36))</f>
        <v>0</v>
      </c>
      <c r="AK732">
        <f>indirect(address(732,36))+indirect(address(730,37))-indirect(address(731,37))</f>
        <v>0</v>
      </c>
      <c r="AL732">
        <f>indirect(address(732,37))+indirect(address(730,38))-indirect(address(731,38))</f>
        <v>0</v>
      </c>
      <c r="AM732">
        <f>indirect(address(732,38))+indirect(address(730,39))-indirect(address(731,39))</f>
        <v>0</v>
      </c>
      <c r="AN732">
        <f>indirect(address(732,39))+indirect(address(730,40))-indirect(address(731,40))</f>
        <v>0</v>
      </c>
      <c r="AO732">
        <f>indirect(address(732,40))+indirect(address(730,41))-indirect(address(731,41))</f>
        <v>0</v>
      </c>
    </row>
    <row r="733" spans="1:41">
      <c r="I733" t="s">
        <v>14</v>
      </c>
      <c r="AO733">
        <f>sum(j733:an733)</f>
        <v>0</v>
      </c>
    </row>
    <row r="734" spans="1:41">
      <c r="I734" t="s">
        <v>15</v>
      </c>
      <c r="J734">
        <f>sumif(Plan!B:B,"262-000000-058",Plan!j:j)</f>
        <v>0</v>
      </c>
      <c r="K734">
        <f>sumif(Plan!B:B,"262-000000-058",Plan!k:k)</f>
        <v>0</v>
      </c>
      <c r="L734">
        <f>sumif(Plan!B:B,"262-000000-058",Plan!l:l)</f>
        <v>0</v>
      </c>
      <c r="M734">
        <f>sumif(Plan!B:B,"262-000000-058",Plan!m:m)</f>
        <v>0</v>
      </c>
      <c r="N734">
        <f>sumif(Plan!B:B,"262-000000-058",Plan!n:n)</f>
        <v>0</v>
      </c>
      <c r="O734">
        <f>sumif(Plan!B:B,"262-000000-058",Plan!o:o)</f>
        <v>0</v>
      </c>
      <c r="P734">
        <f>sumif(Plan!B:B,"262-000000-058",Plan!p:p)</f>
        <v>0</v>
      </c>
      <c r="Q734">
        <f>sumif(Plan!B:B,"262-000000-058",Plan!q:q)</f>
        <v>0</v>
      </c>
      <c r="R734">
        <f>sumif(Plan!B:B,"262-000000-058",Plan!r:r)</f>
        <v>0</v>
      </c>
      <c r="S734">
        <f>sumif(Plan!B:B,"262-000000-058",Plan!s:s)</f>
        <v>0</v>
      </c>
      <c r="T734">
        <f>sumif(Plan!B:B,"262-000000-058",Plan!t:t)</f>
        <v>0</v>
      </c>
      <c r="U734">
        <f>sumif(Plan!B:B,"262-000000-058",Plan!u:u)</f>
        <v>0</v>
      </c>
      <c r="V734">
        <f>sumif(Plan!B:B,"262-000000-058",Plan!v:v)</f>
        <v>0</v>
      </c>
      <c r="W734">
        <f>sumif(Plan!B:B,"262-000000-058",Plan!w:w)</f>
        <v>0</v>
      </c>
      <c r="X734">
        <f>sumif(Plan!B:B,"262-000000-058",Plan!x:x)</f>
        <v>0</v>
      </c>
      <c r="Y734">
        <f>sumif(Plan!B:B,"262-000000-058",Plan!y:y)</f>
        <v>0</v>
      </c>
      <c r="Z734">
        <f>sumif(Plan!B:B,"262-000000-058",Plan!z:z)</f>
        <v>0</v>
      </c>
      <c r="AA734">
        <f>sumif(Plan!B:B,"262-000000-058",Plan!aa:aa)</f>
        <v>0</v>
      </c>
      <c r="AB734">
        <f>sumif(Plan!B:B,"262-000000-058",Plan!ab:ab)</f>
        <v>0</v>
      </c>
      <c r="AC734">
        <f>sumif(Plan!B:B,"262-000000-058",Plan!ac:ac)</f>
        <v>0</v>
      </c>
      <c r="AD734">
        <f>sumif(Plan!B:B,"262-000000-058",Plan!ad:ad)</f>
        <v>0</v>
      </c>
      <c r="AE734">
        <f>sumif(Plan!B:B,"262-000000-058",Plan!ae:ae)</f>
        <v>0</v>
      </c>
      <c r="AF734">
        <f>sumif(Plan!B:B,"262-000000-058",Plan!af:af)</f>
        <v>0</v>
      </c>
      <c r="AG734">
        <f>sumif(Plan!B:B,"262-000000-058",Plan!ag:ag)</f>
        <v>0</v>
      </c>
      <c r="AH734">
        <f>sumif(Plan!B:B,"262-000000-058",Plan!ah:ah)</f>
        <v>0</v>
      </c>
      <c r="AI734">
        <f>sumif(Plan!B:B,"262-000000-058",Plan!ai:ai)</f>
        <v>0</v>
      </c>
      <c r="AJ734">
        <f>sumif(Plan!B:B,"262-000000-058",Plan!aj:aj)</f>
        <v>0</v>
      </c>
      <c r="AK734">
        <f>sumif(Plan!B:B,"262-000000-058",Plan!ak:ak)</f>
        <v>0</v>
      </c>
      <c r="AL734">
        <f>sumif(Plan!B:B,"262-000000-058",Plan!al:al)</f>
        <v>0</v>
      </c>
      <c r="AM734">
        <f>sumif(Plan!B:B,"262-000000-058",Plan!am:am)</f>
        <v>0</v>
      </c>
      <c r="AN734">
        <f>sumif(Plan!B:B,"262-000000-058",Plan!an:an)</f>
        <v>0</v>
      </c>
      <c r="AO734">
        <f>sumif(Plan!B:B,"262-000000-058",Plan!ao:ao)</f>
        <v>0</v>
      </c>
    </row>
    <row r="735" spans="1:41">
      <c r="A735" t="s">
        <v>22</v>
      </c>
      <c r="B735" t="s">
        <v>479</v>
      </c>
      <c r="C735" t="s">
        <v>443</v>
      </c>
      <c r="E735">
        <v>1</v>
      </c>
      <c r="F735" t="s">
        <v>13</v>
      </c>
      <c r="H735" t="s">
        <v>16</v>
      </c>
      <c r="J735">
        <f>indirect(address(735,9))+indirect(address(733,10))-indirect(address(734,10))</f>
        <v>0</v>
      </c>
      <c r="K735">
        <f>indirect(address(735,10))+indirect(address(733,11))-indirect(address(734,11))</f>
        <v>0</v>
      </c>
      <c r="L735">
        <f>indirect(address(735,11))+indirect(address(733,12))-indirect(address(734,12))</f>
        <v>0</v>
      </c>
      <c r="M735">
        <f>indirect(address(735,12))+indirect(address(733,13))-indirect(address(734,13))</f>
        <v>0</v>
      </c>
      <c r="N735">
        <f>indirect(address(735,13))+indirect(address(733,14))-indirect(address(734,14))</f>
        <v>0</v>
      </c>
      <c r="O735">
        <f>indirect(address(735,14))+indirect(address(733,15))-indirect(address(734,15))</f>
        <v>0</v>
      </c>
      <c r="P735">
        <f>indirect(address(735,15))+indirect(address(733,16))-indirect(address(734,16))</f>
        <v>0</v>
      </c>
      <c r="Q735">
        <f>indirect(address(735,16))+indirect(address(733,17))-indirect(address(734,17))</f>
        <v>0</v>
      </c>
      <c r="R735">
        <f>indirect(address(735,17))+indirect(address(733,18))-indirect(address(734,18))</f>
        <v>0</v>
      </c>
      <c r="S735">
        <f>indirect(address(735,18))+indirect(address(733,19))-indirect(address(734,19))</f>
        <v>0</v>
      </c>
      <c r="T735">
        <f>indirect(address(735,19))+indirect(address(733,20))-indirect(address(734,20))</f>
        <v>0</v>
      </c>
      <c r="U735">
        <f>indirect(address(735,20))+indirect(address(733,21))-indirect(address(734,21))</f>
        <v>0</v>
      </c>
      <c r="V735">
        <f>indirect(address(735,21))+indirect(address(733,22))-indirect(address(734,22))</f>
        <v>0</v>
      </c>
      <c r="W735">
        <f>indirect(address(735,22))+indirect(address(733,23))-indirect(address(734,23))</f>
        <v>0</v>
      </c>
      <c r="X735">
        <f>indirect(address(735,23))+indirect(address(733,24))-indirect(address(734,24))</f>
        <v>0</v>
      </c>
      <c r="Y735">
        <f>indirect(address(735,24))+indirect(address(733,25))-indirect(address(734,25))</f>
        <v>0</v>
      </c>
      <c r="Z735">
        <f>indirect(address(735,25))+indirect(address(733,26))-indirect(address(734,26))</f>
        <v>0</v>
      </c>
      <c r="AA735">
        <f>indirect(address(735,26))+indirect(address(733,27))-indirect(address(734,27))</f>
        <v>0</v>
      </c>
      <c r="AB735">
        <f>indirect(address(735,27))+indirect(address(733,28))-indirect(address(734,28))</f>
        <v>0</v>
      </c>
      <c r="AC735">
        <f>indirect(address(735,28))+indirect(address(733,29))-indirect(address(734,29))</f>
        <v>0</v>
      </c>
      <c r="AD735">
        <f>indirect(address(735,29))+indirect(address(733,30))-indirect(address(734,30))</f>
        <v>0</v>
      </c>
      <c r="AE735">
        <f>indirect(address(735,30))+indirect(address(733,31))-indirect(address(734,31))</f>
        <v>0</v>
      </c>
      <c r="AF735">
        <f>indirect(address(735,31))+indirect(address(733,32))-indirect(address(734,32))</f>
        <v>0</v>
      </c>
      <c r="AG735">
        <f>indirect(address(735,32))+indirect(address(733,33))-indirect(address(734,33))</f>
        <v>0</v>
      </c>
      <c r="AH735">
        <f>indirect(address(735,33))+indirect(address(733,34))-indirect(address(734,34))</f>
        <v>0</v>
      </c>
      <c r="AI735">
        <f>indirect(address(735,34))+indirect(address(733,35))-indirect(address(734,35))</f>
        <v>0</v>
      </c>
      <c r="AJ735">
        <f>indirect(address(735,35))+indirect(address(733,36))-indirect(address(734,36))</f>
        <v>0</v>
      </c>
      <c r="AK735">
        <f>indirect(address(735,36))+indirect(address(733,37))-indirect(address(734,37))</f>
        <v>0</v>
      </c>
      <c r="AL735">
        <f>indirect(address(735,37))+indirect(address(733,38))-indirect(address(734,38))</f>
        <v>0</v>
      </c>
      <c r="AM735">
        <f>indirect(address(735,38))+indirect(address(733,39))-indirect(address(734,39))</f>
        <v>0</v>
      </c>
      <c r="AN735">
        <f>indirect(address(735,39))+indirect(address(733,40))-indirect(address(734,40))</f>
        <v>0</v>
      </c>
      <c r="AO735">
        <f>indirect(address(735,40))+indirect(address(733,41))-indirect(address(734,41))</f>
        <v>0</v>
      </c>
    </row>
    <row r="736" spans="1:41">
      <c r="I736" t="s">
        <v>14</v>
      </c>
      <c r="AO736">
        <f>sum(j736:an736)</f>
        <v>0</v>
      </c>
    </row>
    <row r="737" spans="1:41">
      <c r="I737" t="s">
        <v>15</v>
      </c>
      <c r="J737">
        <f>sumif(Plan!B:B,"204-00933",Plan!j:j)</f>
        <v>0</v>
      </c>
      <c r="K737">
        <f>sumif(Plan!B:B,"204-00933",Plan!k:k)</f>
        <v>0</v>
      </c>
      <c r="L737">
        <f>sumif(Plan!B:B,"204-00933",Plan!l:l)</f>
        <v>0</v>
      </c>
      <c r="M737">
        <f>sumif(Plan!B:B,"204-00933",Plan!m:m)</f>
        <v>0</v>
      </c>
      <c r="N737">
        <f>sumif(Plan!B:B,"204-00933",Plan!n:n)</f>
        <v>0</v>
      </c>
      <c r="O737">
        <f>sumif(Plan!B:B,"204-00933",Plan!o:o)</f>
        <v>0</v>
      </c>
      <c r="P737">
        <f>sumif(Plan!B:B,"204-00933",Plan!p:p)</f>
        <v>0</v>
      </c>
      <c r="Q737">
        <f>sumif(Plan!B:B,"204-00933",Plan!q:q)</f>
        <v>0</v>
      </c>
      <c r="R737">
        <f>sumif(Plan!B:B,"204-00933",Plan!r:r)</f>
        <v>0</v>
      </c>
      <c r="S737">
        <f>sumif(Plan!B:B,"204-00933",Plan!s:s)</f>
        <v>0</v>
      </c>
      <c r="T737">
        <f>sumif(Plan!B:B,"204-00933",Plan!t:t)</f>
        <v>0</v>
      </c>
      <c r="U737">
        <f>sumif(Plan!B:B,"204-00933",Plan!u:u)</f>
        <v>0</v>
      </c>
      <c r="V737">
        <f>sumif(Plan!B:B,"204-00933",Plan!v:v)</f>
        <v>0</v>
      </c>
      <c r="W737">
        <f>sumif(Plan!B:B,"204-00933",Plan!w:w)</f>
        <v>0</v>
      </c>
      <c r="X737">
        <f>sumif(Plan!B:B,"204-00933",Plan!x:x)</f>
        <v>0</v>
      </c>
      <c r="Y737">
        <f>sumif(Plan!B:B,"204-00933",Plan!y:y)</f>
        <v>0</v>
      </c>
      <c r="Z737">
        <f>sumif(Plan!B:B,"204-00933",Plan!z:z)</f>
        <v>0</v>
      </c>
      <c r="AA737">
        <f>sumif(Plan!B:B,"204-00933",Plan!aa:aa)</f>
        <v>0</v>
      </c>
      <c r="AB737">
        <f>sumif(Plan!B:B,"204-00933",Plan!ab:ab)</f>
        <v>0</v>
      </c>
      <c r="AC737">
        <f>sumif(Plan!B:B,"204-00933",Plan!ac:ac)</f>
        <v>0</v>
      </c>
      <c r="AD737">
        <f>sumif(Plan!B:B,"204-00933",Plan!ad:ad)</f>
        <v>0</v>
      </c>
      <c r="AE737">
        <f>sumif(Plan!B:B,"204-00933",Plan!ae:ae)</f>
        <v>0</v>
      </c>
      <c r="AF737">
        <f>sumif(Plan!B:B,"204-00933",Plan!af:af)</f>
        <v>0</v>
      </c>
      <c r="AG737">
        <f>sumif(Plan!B:B,"204-00933",Plan!ag:ag)</f>
        <v>0</v>
      </c>
      <c r="AH737">
        <f>sumif(Plan!B:B,"204-00933",Plan!ah:ah)</f>
        <v>0</v>
      </c>
      <c r="AI737">
        <f>sumif(Plan!B:B,"204-00933",Plan!ai:ai)</f>
        <v>0</v>
      </c>
      <c r="AJ737">
        <f>sumif(Plan!B:B,"204-00933",Plan!aj:aj)</f>
        <v>0</v>
      </c>
      <c r="AK737">
        <f>sumif(Plan!B:B,"204-00933",Plan!ak:ak)</f>
        <v>0</v>
      </c>
      <c r="AL737">
        <f>sumif(Plan!B:B,"204-00933",Plan!al:al)</f>
        <v>0</v>
      </c>
      <c r="AM737">
        <f>sumif(Plan!B:B,"204-00933",Plan!am:am)</f>
        <v>0</v>
      </c>
      <c r="AN737">
        <f>sumif(Plan!B:B,"204-00933",Plan!an:an)</f>
        <v>0</v>
      </c>
      <c r="AO737">
        <f>sumif(Plan!B:B,"204-00933",Plan!ao:ao)</f>
        <v>0</v>
      </c>
    </row>
    <row r="738" spans="1:41">
      <c r="A738" t="s">
        <v>43</v>
      </c>
      <c r="B738" t="s">
        <v>480</v>
      </c>
      <c r="C738" t="s">
        <v>481</v>
      </c>
      <c r="E738">
        <v>0.05</v>
      </c>
      <c r="F738" t="s">
        <v>13</v>
      </c>
      <c r="H738" t="s">
        <v>16</v>
      </c>
      <c r="J738">
        <f>indirect(address(738,9))+indirect(address(736,10))-indirect(address(737,10))</f>
        <v>0</v>
      </c>
      <c r="K738">
        <f>indirect(address(738,10))+indirect(address(736,11))-indirect(address(737,11))</f>
        <v>0</v>
      </c>
      <c r="L738">
        <f>indirect(address(738,11))+indirect(address(736,12))-indirect(address(737,12))</f>
        <v>0</v>
      </c>
      <c r="M738">
        <f>indirect(address(738,12))+indirect(address(736,13))-indirect(address(737,13))</f>
        <v>0</v>
      </c>
      <c r="N738">
        <f>indirect(address(738,13))+indirect(address(736,14))-indirect(address(737,14))</f>
        <v>0</v>
      </c>
      <c r="O738">
        <f>indirect(address(738,14))+indirect(address(736,15))-indirect(address(737,15))</f>
        <v>0</v>
      </c>
      <c r="P738">
        <f>indirect(address(738,15))+indirect(address(736,16))-indirect(address(737,16))</f>
        <v>0</v>
      </c>
      <c r="Q738">
        <f>indirect(address(738,16))+indirect(address(736,17))-indirect(address(737,17))</f>
        <v>0</v>
      </c>
      <c r="R738">
        <f>indirect(address(738,17))+indirect(address(736,18))-indirect(address(737,18))</f>
        <v>0</v>
      </c>
      <c r="S738">
        <f>indirect(address(738,18))+indirect(address(736,19))-indirect(address(737,19))</f>
        <v>0</v>
      </c>
      <c r="T738">
        <f>indirect(address(738,19))+indirect(address(736,20))-indirect(address(737,20))</f>
        <v>0</v>
      </c>
      <c r="U738">
        <f>indirect(address(738,20))+indirect(address(736,21))-indirect(address(737,21))</f>
        <v>0</v>
      </c>
      <c r="V738">
        <f>indirect(address(738,21))+indirect(address(736,22))-indirect(address(737,22))</f>
        <v>0</v>
      </c>
      <c r="W738">
        <f>indirect(address(738,22))+indirect(address(736,23))-indirect(address(737,23))</f>
        <v>0</v>
      </c>
      <c r="X738">
        <f>indirect(address(738,23))+indirect(address(736,24))-indirect(address(737,24))</f>
        <v>0</v>
      </c>
      <c r="Y738">
        <f>indirect(address(738,24))+indirect(address(736,25))-indirect(address(737,25))</f>
        <v>0</v>
      </c>
      <c r="Z738">
        <f>indirect(address(738,25))+indirect(address(736,26))-indirect(address(737,26))</f>
        <v>0</v>
      </c>
      <c r="AA738">
        <f>indirect(address(738,26))+indirect(address(736,27))-indirect(address(737,27))</f>
        <v>0</v>
      </c>
      <c r="AB738">
        <f>indirect(address(738,27))+indirect(address(736,28))-indirect(address(737,28))</f>
        <v>0</v>
      </c>
      <c r="AC738">
        <f>indirect(address(738,28))+indirect(address(736,29))-indirect(address(737,29))</f>
        <v>0</v>
      </c>
      <c r="AD738">
        <f>indirect(address(738,29))+indirect(address(736,30))-indirect(address(737,30))</f>
        <v>0</v>
      </c>
      <c r="AE738">
        <f>indirect(address(738,30))+indirect(address(736,31))-indirect(address(737,31))</f>
        <v>0</v>
      </c>
      <c r="AF738">
        <f>indirect(address(738,31))+indirect(address(736,32))-indirect(address(737,32))</f>
        <v>0</v>
      </c>
      <c r="AG738">
        <f>indirect(address(738,32))+indirect(address(736,33))-indirect(address(737,33))</f>
        <v>0</v>
      </c>
      <c r="AH738">
        <f>indirect(address(738,33))+indirect(address(736,34))-indirect(address(737,34))</f>
        <v>0</v>
      </c>
      <c r="AI738">
        <f>indirect(address(738,34))+indirect(address(736,35))-indirect(address(737,35))</f>
        <v>0</v>
      </c>
      <c r="AJ738">
        <f>indirect(address(738,35))+indirect(address(736,36))-indirect(address(737,36))</f>
        <v>0</v>
      </c>
      <c r="AK738">
        <f>indirect(address(738,36))+indirect(address(736,37))-indirect(address(737,37))</f>
        <v>0</v>
      </c>
      <c r="AL738">
        <f>indirect(address(738,37))+indirect(address(736,38))-indirect(address(737,38))</f>
        <v>0</v>
      </c>
      <c r="AM738">
        <f>indirect(address(738,38))+indirect(address(736,39))-indirect(address(737,39))</f>
        <v>0</v>
      </c>
      <c r="AN738">
        <f>indirect(address(738,39))+indirect(address(736,40))-indirect(address(737,40))</f>
        <v>0</v>
      </c>
      <c r="AO738">
        <f>indirect(address(738,40))+indirect(address(736,41))-indirect(address(737,41))</f>
        <v>0</v>
      </c>
    </row>
    <row r="739" spans="1:41">
      <c r="I739" t="s">
        <v>14</v>
      </c>
      <c r="AO739">
        <f>sum(j739:an739)</f>
        <v>0</v>
      </c>
    </row>
    <row r="740" spans="1:41">
      <c r="I740" t="s">
        <v>15</v>
      </c>
      <c r="J740">
        <f>sumif(Plan!B:B,"262-000000-057",Plan!j:j)</f>
        <v>0</v>
      </c>
      <c r="K740">
        <f>sumif(Plan!B:B,"262-000000-057",Plan!k:k)</f>
        <v>0</v>
      </c>
      <c r="L740">
        <f>sumif(Plan!B:B,"262-000000-057",Plan!l:l)</f>
        <v>0</v>
      </c>
      <c r="M740">
        <f>sumif(Plan!B:B,"262-000000-057",Plan!m:m)</f>
        <v>0</v>
      </c>
      <c r="N740">
        <f>sumif(Plan!B:B,"262-000000-057",Plan!n:n)</f>
        <v>0</v>
      </c>
      <c r="O740">
        <f>sumif(Plan!B:B,"262-000000-057",Plan!o:o)</f>
        <v>0</v>
      </c>
      <c r="P740">
        <f>sumif(Plan!B:B,"262-000000-057",Plan!p:p)</f>
        <v>0</v>
      </c>
      <c r="Q740">
        <f>sumif(Plan!B:B,"262-000000-057",Plan!q:q)</f>
        <v>0</v>
      </c>
      <c r="R740">
        <f>sumif(Plan!B:B,"262-000000-057",Plan!r:r)</f>
        <v>0</v>
      </c>
      <c r="S740">
        <f>sumif(Plan!B:B,"262-000000-057",Plan!s:s)</f>
        <v>0</v>
      </c>
      <c r="T740">
        <f>sumif(Plan!B:B,"262-000000-057",Plan!t:t)</f>
        <v>0</v>
      </c>
      <c r="U740">
        <f>sumif(Plan!B:B,"262-000000-057",Plan!u:u)</f>
        <v>0</v>
      </c>
      <c r="V740">
        <f>sumif(Plan!B:B,"262-000000-057",Plan!v:v)</f>
        <v>0</v>
      </c>
      <c r="W740">
        <f>sumif(Plan!B:B,"262-000000-057",Plan!w:w)</f>
        <v>0</v>
      </c>
      <c r="X740">
        <f>sumif(Plan!B:B,"262-000000-057",Plan!x:x)</f>
        <v>0</v>
      </c>
      <c r="Y740">
        <f>sumif(Plan!B:B,"262-000000-057",Plan!y:y)</f>
        <v>0</v>
      </c>
      <c r="Z740">
        <f>sumif(Plan!B:B,"262-000000-057",Plan!z:z)</f>
        <v>0</v>
      </c>
      <c r="AA740">
        <f>sumif(Plan!B:B,"262-000000-057",Plan!aa:aa)</f>
        <v>0</v>
      </c>
      <c r="AB740">
        <f>sumif(Plan!B:B,"262-000000-057",Plan!ab:ab)</f>
        <v>0</v>
      </c>
      <c r="AC740">
        <f>sumif(Plan!B:B,"262-000000-057",Plan!ac:ac)</f>
        <v>0</v>
      </c>
      <c r="AD740">
        <f>sumif(Plan!B:B,"262-000000-057",Plan!ad:ad)</f>
        <v>0</v>
      </c>
      <c r="AE740">
        <f>sumif(Plan!B:B,"262-000000-057",Plan!ae:ae)</f>
        <v>0</v>
      </c>
      <c r="AF740">
        <f>sumif(Plan!B:B,"262-000000-057",Plan!af:af)</f>
        <v>0</v>
      </c>
      <c r="AG740">
        <f>sumif(Plan!B:B,"262-000000-057",Plan!ag:ag)</f>
        <v>0</v>
      </c>
      <c r="AH740">
        <f>sumif(Plan!B:B,"262-000000-057",Plan!ah:ah)</f>
        <v>0</v>
      </c>
      <c r="AI740">
        <f>sumif(Plan!B:B,"262-000000-057",Plan!ai:ai)</f>
        <v>0</v>
      </c>
      <c r="AJ740">
        <f>sumif(Plan!B:B,"262-000000-057",Plan!aj:aj)</f>
        <v>0</v>
      </c>
      <c r="AK740">
        <f>sumif(Plan!B:B,"262-000000-057",Plan!ak:ak)</f>
        <v>0</v>
      </c>
      <c r="AL740">
        <f>sumif(Plan!B:B,"262-000000-057",Plan!al:al)</f>
        <v>0</v>
      </c>
      <c r="AM740">
        <f>sumif(Plan!B:B,"262-000000-057",Plan!am:am)</f>
        <v>0</v>
      </c>
      <c r="AN740">
        <f>sumif(Plan!B:B,"262-000000-057",Plan!an:an)</f>
        <v>0</v>
      </c>
      <c r="AO740">
        <f>sumif(Plan!B:B,"262-000000-057",Plan!ao:ao)</f>
        <v>0</v>
      </c>
    </row>
    <row r="741" spans="1:41">
      <c r="A741" t="s">
        <v>22</v>
      </c>
      <c r="B741" t="s">
        <v>483</v>
      </c>
      <c r="C741" t="s">
        <v>449</v>
      </c>
      <c r="E741">
        <v>1</v>
      </c>
      <c r="F741" t="s">
        <v>13</v>
      </c>
      <c r="H741" t="s">
        <v>16</v>
      </c>
      <c r="J741">
        <f>indirect(address(741,9))+indirect(address(739,10))-indirect(address(740,10))</f>
        <v>0</v>
      </c>
      <c r="K741">
        <f>indirect(address(741,10))+indirect(address(739,11))-indirect(address(740,11))</f>
        <v>0</v>
      </c>
      <c r="L741">
        <f>indirect(address(741,11))+indirect(address(739,12))-indirect(address(740,12))</f>
        <v>0</v>
      </c>
      <c r="M741">
        <f>indirect(address(741,12))+indirect(address(739,13))-indirect(address(740,13))</f>
        <v>0</v>
      </c>
      <c r="N741">
        <f>indirect(address(741,13))+indirect(address(739,14))-indirect(address(740,14))</f>
        <v>0</v>
      </c>
      <c r="O741">
        <f>indirect(address(741,14))+indirect(address(739,15))-indirect(address(740,15))</f>
        <v>0</v>
      </c>
      <c r="P741">
        <f>indirect(address(741,15))+indirect(address(739,16))-indirect(address(740,16))</f>
        <v>0</v>
      </c>
      <c r="Q741">
        <f>indirect(address(741,16))+indirect(address(739,17))-indirect(address(740,17))</f>
        <v>0</v>
      </c>
      <c r="R741">
        <f>indirect(address(741,17))+indirect(address(739,18))-indirect(address(740,18))</f>
        <v>0</v>
      </c>
      <c r="S741">
        <f>indirect(address(741,18))+indirect(address(739,19))-indirect(address(740,19))</f>
        <v>0</v>
      </c>
      <c r="T741">
        <f>indirect(address(741,19))+indirect(address(739,20))-indirect(address(740,20))</f>
        <v>0</v>
      </c>
      <c r="U741">
        <f>indirect(address(741,20))+indirect(address(739,21))-indirect(address(740,21))</f>
        <v>0</v>
      </c>
      <c r="V741">
        <f>indirect(address(741,21))+indirect(address(739,22))-indirect(address(740,22))</f>
        <v>0</v>
      </c>
      <c r="W741">
        <f>indirect(address(741,22))+indirect(address(739,23))-indirect(address(740,23))</f>
        <v>0</v>
      </c>
      <c r="X741">
        <f>indirect(address(741,23))+indirect(address(739,24))-indirect(address(740,24))</f>
        <v>0</v>
      </c>
      <c r="Y741">
        <f>indirect(address(741,24))+indirect(address(739,25))-indirect(address(740,25))</f>
        <v>0</v>
      </c>
      <c r="Z741">
        <f>indirect(address(741,25))+indirect(address(739,26))-indirect(address(740,26))</f>
        <v>0</v>
      </c>
      <c r="AA741">
        <f>indirect(address(741,26))+indirect(address(739,27))-indirect(address(740,27))</f>
        <v>0</v>
      </c>
      <c r="AB741">
        <f>indirect(address(741,27))+indirect(address(739,28))-indirect(address(740,28))</f>
        <v>0</v>
      </c>
      <c r="AC741">
        <f>indirect(address(741,28))+indirect(address(739,29))-indirect(address(740,29))</f>
        <v>0</v>
      </c>
      <c r="AD741">
        <f>indirect(address(741,29))+indirect(address(739,30))-indirect(address(740,30))</f>
        <v>0</v>
      </c>
      <c r="AE741">
        <f>indirect(address(741,30))+indirect(address(739,31))-indirect(address(740,31))</f>
        <v>0</v>
      </c>
      <c r="AF741">
        <f>indirect(address(741,31))+indirect(address(739,32))-indirect(address(740,32))</f>
        <v>0</v>
      </c>
      <c r="AG741">
        <f>indirect(address(741,32))+indirect(address(739,33))-indirect(address(740,33))</f>
        <v>0</v>
      </c>
      <c r="AH741">
        <f>indirect(address(741,33))+indirect(address(739,34))-indirect(address(740,34))</f>
        <v>0</v>
      </c>
      <c r="AI741">
        <f>indirect(address(741,34))+indirect(address(739,35))-indirect(address(740,35))</f>
        <v>0</v>
      </c>
      <c r="AJ741">
        <f>indirect(address(741,35))+indirect(address(739,36))-indirect(address(740,36))</f>
        <v>0</v>
      </c>
      <c r="AK741">
        <f>indirect(address(741,36))+indirect(address(739,37))-indirect(address(740,37))</f>
        <v>0</v>
      </c>
      <c r="AL741">
        <f>indirect(address(741,37))+indirect(address(739,38))-indirect(address(740,38))</f>
        <v>0</v>
      </c>
      <c r="AM741">
        <f>indirect(address(741,38))+indirect(address(739,39))-indirect(address(740,39))</f>
        <v>0</v>
      </c>
      <c r="AN741">
        <f>indirect(address(741,39))+indirect(address(739,40))-indirect(address(740,40))</f>
        <v>0</v>
      </c>
      <c r="AO741">
        <f>indirect(address(741,40))+indirect(address(739,41))-indirect(address(740,41))</f>
        <v>0</v>
      </c>
    </row>
    <row r="742" spans="1:41">
      <c r="I742" t="s">
        <v>14</v>
      </c>
      <c r="AO742">
        <f>sum(j742:an742)</f>
        <v>0</v>
      </c>
    </row>
    <row r="743" spans="1:41">
      <c r="I743" t="s">
        <v>15</v>
      </c>
      <c r="J743">
        <f>sumif(Plan!B:B,"204-00934",Plan!j:j)</f>
        <v>0</v>
      </c>
      <c r="K743">
        <f>sumif(Plan!B:B,"204-00934",Plan!k:k)</f>
        <v>0</v>
      </c>
      <c r="L743">
        <f>sumif(Plan!B:B,"204-00934",Plan!l:l)</f>
        <v>0</v>
      </c>
      <c r="M743">
        <f>sumif(Plan!B:B,"204-00934",Plan!m:m)</f>
        <v>0</v>
      </c>
      <c r="N743">
        <f>sumif(Plan!B:B,"204-00934",Plan!n:n)</f>
        <v>0</v>
      </c>
      <c r="O743">
        <f>sumif(Plan!B:B,"204-00934",Plan!o:o)</f>
        <v>0</v>
      </c>
      <c r="P743">
        <f>sumif(Plan!B:B,"204-00934",Plan!p:p)</f>
        <v>0</v>
      </c>
      <c r="Q743">
        <f>sumif(Plan!B:B,"204-00934",Plan!q:q)</f>
        <v>0</v>
      </c>
      <c r="R743">
        <f>sumif(Plan!B:B,"204-00934",Plan!r:r)</f>
        <v>0</v>
      </c>
      <c r="S743">
        <f>sumif(Plan!B:B,"204-00934",Plan!s:s)</f>
        <v>0</v>
      </c>
      <c r="T743">
        <f>sumif(Plan!B:B,"204-00934",Plan!t:t)</f>
        <v>0</v>
      </c>
      <c r="U743">
        <f>sumif(Plan!B:B,"204-00934",Plan!u:u)</f>
        <v>0</v>
      </c>
      <c r="V743">
        <f>sumif(Plan!B:B,"204-00934",Plan!v:v)</f>
        <v>0</v>
      </c>
      <c r="W743">
        <f>sumif(Plan!B:B,"204-00934",Plan!w:w)</f>
        <v>0</v>
      </c>
      <c r="X743">
        <f>sumif(Plan!B:B,"204-00934",Plan!x:x)</f>
        <v>0</v>
      </c>
      <c r="Y743">
        <f>sumif(Plan!B:B,"204-00934",Plan!y:y)</f>
        <v>0</v>
      </c>
      <c r="Z743">
        <f>sumif(Plan!B:B,"204-00934",Plan!z:z)</f>
        <v>0</v>
      </c>
      <c r="AA743">
        <f>sumif(Plan!B:B,"204-00934",Plan!aa:aa)</f>
        <v>0</v>
      </c>
      <c r="AB743">
        <f>sumif(Plan!B:B,"204-00934",Plan!ab:ab)</f>
        <v>0</v>
      </c>
      <c r="AC743">
        <f>sumif(Plan!B:B,"204-00934",Plan!ac:ac)</f>
        <v>0</v>
      </c>
      <c r="AD743">
        <f>sumif(Plan!B:B,"204-00934",Plan!ad:ad)</f>
        <v>0</v>
      </c>
      <c r="AE743">
        <f>sumif(Plan!B:B,"204-00934",Plan!ae:ae)</f>
        <v>0</v>
      </c>
      <c r="AF743">
        <f>sumif(Plan!B:B,"204-00934",Plan!af:af)</f>
        <v>0</v>
      </c>
      <c r="AG743">
        <f>sumif(Plan!B:B,"204-00934",Plan!ag:ag)</f>
        <v>0</v>
      </c>
      <c r="AH743">
        <f>sumif(Plan!B:B,"204-00934",Plan!ah:ah)</f>
        <v>0</v>
      </c>
      <c r="AI743">
        <f>sumif(Plan!B:B,"204-00934",Plan!ai:ai)</f>
        <v>0</v>
      </c>
      <c r="AJ743">
        <f>sumif(Plan!B:B,"204-00934",Plan!aj:aj)</f>
        <v>0</v>
      </c>
      <c r="AK743">
        <f>sumif(Plan!B:B,"204-00934",Plan!ak:ak)</f>
        <v>0</v>
      </c>
      <c r="AL743">
        <f>sumif(Plan!B:B,"204-00934",Plan!al:al)</f>
        <v>0</v>
      </c>
      <c r="AM743">
        <f>sumif(Plan!B:B,"204-00934",Plan!am:am)</f>
        <v>0</v>
      </c>
      <c r="AN743">
        <f>sumif(Plan!B:B,"204-00934",Plan!an:an)</f>
        <v>0</v>
      </c>
      <c r="AO743">
        <f>sumif(Plan!B:B,"204-00934",Plan!ao:ao)</f>
        <v>0</v>
      </c>
    </row>
    <row r="744" spans="1:41">
      <c r="A744" t="s">
        <v>43</v>
      </c>
      <c r="B744" t="s">
        <v>484</v>
      </c>
      <c r="C744" t="s">
        <v>485</v>
      </c>
      <c r="E744">
        <v>0.05</v>
      </c>
      <c r="F744" t="s">
        <v>13</v>
      </c>
      <c r="H744" t="s">
        <v>16</v>
      </c>
      <c r="J744">
        <f>indirect(address(744,9))+indirect(address(742,10))-indirect(address(743,10))</f>
        <v>0</v>
      </c>
      <c r="K744">
        <f>indirect(address(744,10))+indirect(address(742,11))-indirect(address(743,11))</f>
        <v>0</v>
      </c>
      <c r="L744">
        <f>indirect(address(744,11))+indirect(address(742,12))-indirect(address(743,12))</f>
        <v>0</v>
      </c>
      <c r="M744">
        <f>indirect(address(744,12))+indirect(address(742,13))-indirect(address(743,13))</f>
        <v>0</v>
      </c>
      <c r="N744">
        <f>indirect(address(744,13))+indirect(address(742,14))-indirect(address(743,14))</f>
        <v>0</v>
      </c>
      <c r="O744">
        <f>indirect(address(744,14))+indirect(address(742,15))-indirect(address(743,15))</f>
        <v>0</v>
      </c>
      <c r="P744">
        <f>indirect(address(744,15))+indirect(address(742,16))-indirect(address(743,16))</f>
        <v>0</v>
      </c>
      <c r="Q744">
        <f>indirect(address(744,16))+indirect(address(742,17))-indirect(address(743,17))</f>
        <v>0</v>
      </c>
      <c r="R744">
        <f>indirect(address(744,17))+indirect(address(742,18))-indirect(address(743,18))</f>
        <v>0</v>
      </c>
      <c r="S744">
        <f>indirect(address(744,18))+indirect(address(742,19))-indirect(address(743,19))</f>
        <v>0</v>
      </c>
      <c r="T744">
        <f>indirect(address(744,19))+indirect(address(742,20))-indirect(address(743,20))</f>
        <v>0</v>
      </c>
      <c r="U744">
        <f>indirect(address(744,20))+indirect(address(742,21))-indirect(address(743,21))</f>
        <v>0</v>
      </c>
      <c r="V744">
        <f>indirect(address(744,21))+indirect(address(742,22))-indirect(address(743,22))</f>
        <v>0</v>
      </c>
      <c r="W744">
        <f>indirect(address(744,22))+indirect(address(742,23))-indirect(address(743,23))</f>
        <v>0</v>
      </c>
      <c r="X744">
        <f>indirect(address(744,23))+indirect(address(742,24))-indirect(address(743,24))</f>
        <v>0</v>
      </c>
      <c r="Y744">
        <f>indirect(address(744,24))+indirect(address(742,25))-indirect(address(743,25))</f>
        <v>0</v>
      </c>
      <c r="Z744">
        <f>indirect(address(744,25))+indirect(address(742,26))-indirect(address(743,26))</f>
        <v>0</v>
      </c>
      <c r="AA744">
        <f>indirect(address(744,26))+indirect(address(742,27))-indirect(address(743,27))</f>
        <v>0</v>
      </c>
      <c r="AB744">
        <f>indirect(address(744,27))+indirect(address(742,28))-indirect(address(743,28))</f>
        <v>0</v>
      </c>
      <c r="AC744">
        <f>indirect(address(744,28))+indirect(address(742,29))-indirect(address(743,29))</f>
        <v>0</v>
      </c>
      <c r="AD744">
        <f>indirect(address(744,29))+indirect(address(742,30))-indirect(address(743,30))</f>
        <v>0</v>
      </c>
      <c r="AE744">
        <f>indirect(address(744,30))+indirect(address(742,31))-indirect(address(743,31))</f>
        <v>0</v>
      </c>
      <c r="AF744">
        <f>indirect(address(744,31))+indirect(address(742,32))-indirect(address(743,32))</f>
        <v>0</v>
      </c>
      <c r="AG744">
        <f>indirect(address(744,32))+indirect(address(742,33))-indirect(address(743,33))</f>
        <v>0</v>
      </c>
      <c r="AH744">
        <f>indirect(address(744,33))+indirect(address(742,34))-indirect(address(743,34))</f>
        <v>0</v>
      </c>
      <c r="AI744">
        <f>indirect(address(744,34))+indirect(address(742,35))-indirect(address(743,35))</f>
        <v>0</v>
      </c>
      <c r="AJ744">
        <f>indirect(address(744,35))+indirect(address(742,36))-indirect(address(743,36))</f>
        <v>0</v>
      </c>
      <c r="AK744">
        <f>indirect(address(744,36))+indirect(address(742,37))-indirect(address(743,37))</f>
        <v>0</v>
      </c>
      <c r="AL744">
        <f>indirect(address(744,37))+indirect(address(742,38))-indirect(address(743,38))</f>
        <v>0</v>
      </c>
      <c r="AM744">
        <f>indirect(address(744,38))+indirect(address(742,39))-indirect(address(743,39))</f>
        <v>0</v>
      </c>
      <c r="AN744">
        <f>indirect(address(744,39))+indirect(address(742,40))-indirect(address(743,40))</f>
        <v>0</v>
      </c>
      <c r="AO744">
        <f>indirect(address(744,40))+indirect(address(742,41))-indirect(address(743,41))</f>
        <v>0</v>
      </c>
    </row>
    <row r="745" spans="1:41">
      <c r="I745" t="s">
        <v>14</v>
      </c>
      <c r="AO745">
        <f>sum(j745:an745)</f>
        <v>0</v>
      </c>
    </row>
    <row r="746" spans="1:41">
      <c r="I746" t="s">
        <v>15</v>
      </c>
      <c r="J746">
        <f>sumif(Plan!B:B,"806-286000-110",Plan!j:j)</f>
        <v>0</v>
      </c>
      <c r="K746">
        <f>sumif(Plan!B:B,"806-286000-110",Plan!k:k)</f>
        <v>0</v>
      </c>
      <c r="L746">
        <f>sumif(Plan!B:B,"806-286000-110",Plan!l:l)</f>
        <v>0</v>
      </c>
      <c r="M746">
        <f>sumif(Plan!B:B,"806-286000-110",Plan!m:m)</f>
        <v>0</v>
      </c>
      <c r="N746">
        <f>sumif(Plan!B:B,"806-286000-110",Plan!n:n)</f>
        <v>0</v>
      </c>
      <c r="O746">
        <f>sumif(Plan!B:B,"806-286000-110",Plan!o:o)</f>
        <v>0</v>
      </c>
      <c r="P746">
        <f>sumif(Plan!B:B,"806-286000-110",Plan!p:p)</f>
        <v>0</v>
      </c>
      <c r="Q746">
        <f>sumif(Plan!B:B,"806-286000-110",Plan!q:q)</f>
        <v>0</v>
      </c>
      <c r="R746">
        <f>sumif(Plan!B:B,"806-286000-110",Plan!r:r)</f>
        <v>0</v>
      </c>
      <c r="S746">
        <f>sumif(Plan!B:B,"806-286000-110",Plan!s:s)</f>
        <v>0</v>
      </c>
      <c r="T746">
        <f>sumif(Plan!B:B,"806-286000-110",Plan!t:t)</f>
        <v>0</v>
      </c>
      <c r="U746">
        <f>sumif(Plan!B:B,"806-286000-110",Plan!u:u)</f>
        <v>0</v>
      </c>
      <c r="V746">
        <f>sumif(Plan!B:B,"806-286000-110",Plan!v:v)</f>
        <v>0</v>
      </c>
      <c r="W746">
        <f>sumif(Plan!B:B,"806-286000-110",Plan!w:w)</f>
        <v>0</v>
      </c>
      <c r="X746">
        <f>sumif(Plan!B:B,"806-286000-110",Plan!x:x)</f>
        <v>0</v>
      </c>
      <c r="Y746">
        <f>sumif(Plan!B:B,"806-286000-110",Plan!y:y)</f>
        <v>0</v>
      </c>
      <c r="Z746">
        <f>sumif(Plan!B:B,"806-286000-110",Plan!z:z)</f>
        <v>0</v>
      </c>
      <c r="AA746">
        <f>sumif(Plan!B:B,"806-286000-110",Plan!aa:aa)</f>
        <v>0</v>
      </c>
      <c r="AB746">
        <f>sumif(Plan!B:B,"806-286000-110",Plan!ab:ab)</f>
        <v>0</v>
      </c>
      <c r="AC746">
        <f>sumif(Plan!B:B,"806-286000-110",Plan!ac:ac)</f>
        <v>0</v>
      </c>
      <c r="AD746">
        <f>sumif(Plan!B:B,"806-286000-110",Plan!ad:ad)</f>
        <v>0</v>
      </c>
      <c r="AE746">
        <f>sumif(Plan!B:B,"806-286000-110",Plan!ae:ae)</f>
        <v>0</v>
      </c>
      <c r="AF746">
        <f>sumif(Plan!B:B,"806-286000-110",Plan!af:af)</f>
        <v>0</v>
      </c>
      <c r="AG746">
        <f>sumif(Plan!B:B,"806-286000-110",Plan!ag:ag)</f>
        <v>0</v>
      </c>
      <c r="AH746">
        <f>sumif(Plan!B:B,"806-286000-110",Plan!ah:ah)</f>
        <v>0</v>
      </c>
      <c r="AI746">
        <f>sumif(Plan!B:B,"806-286000-110",Plan!ai:ai)</f>
        <v>0</v>
      </c>
      <c r="AJ746">
        <f>sumif(Plan!B:B,"806-286000-110",Plan!aj:aj)</f>
        <v>0</v>
      </c>
      <c r="AK746">
        <f>sumif(Plan!B:B,"806-286000-110",Plan!ak:ak)</f>
        <v>0</v>
      </c>
      <c r="AL746">
        <f>sumif(Plan!B:B,"806-286000-110",Plan!al:al)</f>
        <v>0</v>
      </c>
      <c r="AM746">
        <f>sumif(Plan!B:B,"806-286000-110",Plan!am:am)</f>
        <v>0</v>
      </c>
      <c r="AN746">
        <f>sumif(Plan!B:B,"806-286000-110",Plan!an:an)</f>
        <v>0</v>
      </c>
      <c r="AO746">
        <f>sumif(Plan!B:B,"806-286000-110",Plan!ao:ao)</f>
        <v>0</v>
      </c>
    </row>
    <row r="747" spans="1:41">
      <c r="A747" t="s">
        <v>17</v>
      </c>
      <c r="B747" t="s">
        <v>488</v>
      </c>
      <c r="C747" t="s">
        <v>489</v>
      </c>
      <c r="E747">
        <v>1</v>
      </c>
      <c r="F747" t="s">
        <v>13</v>
      </c>
      <c r="H747" t="s">
        <v>16</v>
      </c>
      <c r="J747">
        <f>indirect(address(747,9))+indirect(address(745,10))-indirect(address(746,10))</f>
        <v>0</v>
      </c>
      <c r="K747">
        <f>indirect(address(747,10))+indirect(address(745,11))-indirect(address(746,11))</f>
        <v>0</v>
      </c>
      <c r="L747">
        <f>indirect(address(747,11))+indirect(address(745,12))-indirect(address(746,12))</f>
        <v>0</v>
      </c>
      <c r="M747">
        <f>indirect(address(747,12))+indirect(address(745,13))-indirect(address(746,13))</f>
        <v>0</v>
      </c>
      <c r="N747">
        <f>indirect(address(747,13))+indirect(address(745,14))-indirect(address(746,14))</f>
        <v>0</v>
      </c>
      <c r="O747">
        <f>indirect(address(747,14))+indirect(address(745,15))-indirect(address(746,15))</f>
        <v>0</v>
      </c>
      <c r="P747">
        <f>indirect(address(747,15))+indirect(address(745,16))-indirect(address(746,16))</f>
        <v>0</v>
      </c>
      <c r="Q747">
        <f>indirect(address(747,16))+indirect(address(745,17))-indirect(address(746,17))</f>
        <v>0</v>
      </c>
      <c r="R747">
        <f>indirect(address(747,17))+indirect(address(745,18))-indirect(address(746,18))</f>
        <v>0</v>
      </c>
      <c r="S747">
        <f>indirect(address(747,18))+indirect(address(745,19))-indirect(address(746,19))</f>
        <v>0</v>
      </c>
      <c r="T747">
        <f>indirect(address(747,19))+indirect(address(745,20))-indirect(address(746,20))</f>
        <v>0</v>
      </c>
      <c r="U747">
        <f>indirect(address(747,20))+indirect(address(745,21))-indirect(address(746,21))</f>
        <v>0</v>
      </c>
      <c r="V747">
        <f>indirect(address(747,21))+indirect(address(745,22))-indirect(address(746,22))</f>
        <v>0</v>
      </c>
      <c r="W747">
        <f>indirect(address(747,22))+indirect(address(745,23))-indirect(address(746,23))</f>
        <v>0</v>
      </c>
      <c r="X747">
        <f>indirect(address(747,23))+indirect(address(745,24))-indirect(address(746,24))</f>
        <v>0</v>
      </c>
      <c r="Y747">
        <f>indirect(address(747,24))+indirect(address(745,25))-indirect(address(746,25))</f>
        <v>0</v>
      </c>
      <c r="Z747">
        <f>indirect(address(747,25))+indirect(address(745,26))-indirect(address(746,26))</f>
        <v>0</v>
      </c>
      <c r="AA747">
        <f>indirect(address(747,26))+indirect(address(745,27))-indirect(address(746,27))</f>
        <v>0</v>
      </c>
      <c r="AB747">
        <f>indirect(address(747,27))+indirect(address(745,28))-indirect(address(746,28))</f>
        <v>0</v>
      </c>
      <c r="AC747">
        <f>indirect(address(747,28))+indirect(address(745,29))-indirect(address(746,29))</f>
        <v>0</v>
      </c>
      <c r="AD747">
        <f>indirect(address(747,29))+indirect(address(745,30))-indirect(address(746,30))</f>
        <v>0</v>
      </c>
      <c r="AE747">
        <f>indirect(address(747,30))+indirect(address(745,31))-indirect(address(746,31))</f>
        <v>0</v>
      </c>
      <c r="AF747">
        <f>indirect(address(747,31))+indirect(address(745,32))-indirect(address(746,32))</f>
        <v>0</v>
      </c>
      <c r="AG747">
        <f>indirect(address(747,32))+indirect(address(745,33))-indirect(address(746,33))</f>
        <v>0</v>
      </c>
      <c r="AH747">
        <f>indirect(address(747,33))+indirect(address(745,34))-indirect(address(746,34))</f>
        <v>0</v>
      </c>
      <c r="AI747">
        <f>indirect(address(747,34))+indirect(address(745,35))-indirect(address(746,35))</f>
        <v>0</v>
      </c>
      <c r="AJ747">
        <f>indirect(address(747,35))+indirect(address(745,36))-indirect(address(746,36))</f>
        <v>0</v>
      </c>
      <c r="AK747">
        <f>indirect(address(747,36))+indirect(address(745,37))-indirect(address(746,37))</f>
        <v>0</v>
      </c>
      <c r="AL747">
        <f>indirect(address(747,37))+indirect(address(745,38))-indirect(address(746,38))</f>
        <v>0</v>
      </c>
      <c r="AM747">
        <f>indirect(address(747,38))+indirect(address(745,39))-indirect(address(746,39))</f>
        <v>0</v>
      </c>
      <c r="AN747">
        <f>indirect(address(747,39))+indirect(address(745,40))-indirect(address(746,40))</f>
        <v>0</v>
      </c>
      <c r="AO747">
        <f>indirect(address(747,40))+indirect(address(745,41))-indirect(address(746,41))</f>
        <v>0</v>
      </c>
    </row>
    <row r="748" spans="1:41">
      <c r="I748" t="s">
        <v>14</v>
      </c>
      <c r="AO748">
        <f>sum(j748:an748)</f>
        <v>0</v>
      </c>
    </row>
    <row r="749" spans="1:41">
      <c r="I749" t="s">
        <v>15</v>
      </c>
      <c r="J749">
        <f>sumif(Plan!B:B,"906-229000-110",Plan!j:j)</f>
        <v>0</v>
      </c>
      <c r="K749">
        <f>sumif(Plan!B:B,"906-229000-110",Plan!k:k)</f>
        <v>0</v>
      </c>
      <c r="L749">
        <f>sumif(Plan!B:B,"906-229000-110",Plan!l:l)</f>
        <v>0</v>
      </c>
      <c r="M749">
        <f>sumif(Plan!B:B,"906-229000-110",Plan!m:m)</f>
        <v>0</v>
      </c>
      <c r="N749">
        <f>sumif(Plan!B:B,"906-229000-110",Plan!n:n)</f>
        <v>0</v>
      </c>
      <c r="O749">
        <f>sumif(Plan!B:B,"906-229000-110",Plan!o:o)</f>
        <v>0</v>
      </c>
      <c r="P749">
        <f>sumif(Plan!B:B,"906-229000-110",Plan!p:p)</f>
        <v>0</v>
      </c>
      <c r="Q749">
        <f>sumif(Plan!B:B,"906-229000-110",Plan!q:q)</f>
        <v>0</v>
      </c>
      <c r="R749">
        <f>sumif(Plan!B:B,"906-229000-110",Plan!r:r)</f>
        <v>0</v>
      </c>
      <c r="S749">
        <f>sumif(Plan!B:B,"906-229000-110",Plan!s:s)</f>
        <v>0</v>
      </c>
      <c r="T749">
        <f>sumif(Plan!B:B,"906-229000-110",Plan!t:t)</f>
        <v>0</v>
      </c>
      <c r="U749">
        <f>sumif(Plan!B:B,"906-229000-110",Plan!u:u)</f>
        <v>0</v>
      </c>
      <c r="V749">
        <f>sumif(Plan!B:B,"906-229000-110",Plan!v:v)</f>
        <v>0</v>
      </c>
      <c r="W749">
        <f>sumif(Plan!B:B,"906-229000-110",Plan!w:w)</f>
        <v>0</v>
      </c>
      <c r="X749">
        <f>sumif(Plan!B:B,"906-229000-110",Plan!x:x)</f>
        <v>0</v>
      </c>
      <c r="Y749">
        <f>sumif(Plan!B:B,"906-229000-110",Plan!y:y)</f>
        <v>0</v>
      </c>
      <c r="Z749">
        <f>sumif(Plan!B:B,"906-229000-110",Plan!z:z)</f>
        <v>0</v>
      </c>
      <c r="AA749">
        <f>sumif(Plan!B:B,"906-229000-110",Plan!aa:aa)</f>
        <v>0</v>
      </c>
      <c r="AB749">
        <f>sumif(Plan!B:B,"906-229000-110",Plan!ab:ab)</f>
        <v>0</v>
      </c>
      <c r="AC749">
        <f>sumif(Plan!B:B,"906-229000-110",Plan!ac:ac)</f>
        <v>0</v>
      </c>
      <c r="AD749">
        <f>sumif(Plan!B:B,"906-229000-110",Plan!ad:ad)</f>
        <v>0</v>
      </c>
      <c r="AE749">
        <f>sumif(Plan!B:B,"906-229000-110",Plan!ae:ae)</f>
        <v>0</v>
      </c>
      <c r="AF749">
        <f>sumif(Plan!B:B,"906-229000-110",Plan!af:af)</f>
        <v>0</v>
      </c>
      <c r="AG749">
        <f>sumif(Plan!B:B,"906-229000-110",Plan!ag:ag)</f>
        <v>0</v>
      </c>
      <c r="AH749">
        <f>sumif(Plan!B:B,"906-229000-110",Plan!ah:ah)</f>
        <v>0</v>
      </c>
      <c r="AI749">
        <f>sumif(Plan!B:B,"906-229000-110",Plan!ai:ai)</f>
        <v>0</v>
      </c>
      <c r="AJ749">
        <f>sumif(Plan!B:B,"906-229000-110",Plan!aj:aj)</f>
        <v>0</v>
      </c>
      <c r="AK749">
        <f>sumif(Plan!B:B,"906-229000-110",Plan!ak:ak)</f>
        <v>0</v>
      </c>
      <c r="AL749">
        <f>sumif(Plan!B:B,"906-229000-110",Plan!al:al)</f>
        <v>0</v>
      </c>
      <c r="AM749">
        <f>sumif(Plan!B:B,"906-229000-110",Plan!am:am)</f>
        <v>0</v>
      </c>
      <c r="AN749">
        <f>sumif(Plan!B:B,"906-229000-110",Plan!an:an)</f>
        <v>0</v>
      </c>
      <c r="AO749">
        <f>sumif(Plan!B:B,"906-229000-110",Plan!ao:ao)</f>
        <v>0</v>
      </c>
    </row>
    <row r="750" spans="1:41">
      <c r="A750" t="s">
        <v>17</v>
      </c>
      <c r="B750" t="s">
        <v>490</v>
      </c>
      <c r="C750" t="s">
        <v>491</v>
      </c>
      <c r="E750">
        <v>1</v>
      </c>
      <c r="F750" t="s">
        <v>13</v>
      </c>
      <c r="H750" t="s">
        <v>16</v>
      </c>
      <c r="J750">
        <f>indirect(address(750,9))+indirect(address(748,10))-indirect(address(749,10))</f>
        <v>0</v>
      </c>
      <c r="K750">
        <f>indirect(address(750,10))+indirect(address(748,11))-indirect(address(749,11))</f>
        <v>0</v>
      </c>
      <c r="L750">
        <f>indirect(address(750,11))+indirect(address(748,12))-indirect(address(749,12))</f>
        <v>0</v>
      </c>
      <c r="M750">
        <f>indirect(address(750,12))+indirect(address(748,13))-indirect(address(749,13))</f>
        <v>0</v>
      </c>
      <c r="N750">
        <f>indirect(address(750,13))+indirect(address(748,14))-indirect(address(749,14))</f>
        <v>0</v>
      </c>
      <c r="O750">
        <f>indirect(address(750,14))+indirect(address(748,15))-indirect(address(749,15))</f>
        <v>0</v>
      </c>
      <c r="P750">
        <f>indirect(address(750,15))+indirect(address(748,16))-indirect(address(749,16))</f>
        <v>0</v>
      </c>
      <c r="Q750">
        <f>indirect(address(750,16))+indirect(address(748,17))-indirect(address(749,17))</f>
        <v>0</v>
      </c>
      <c r="R750">
        <f>indirect(address(750,17))+indirect(address(748,18))-indirect(address(749,18))</f>
        <v>0</v>
      </c>
      <c r="S750">
        <f>indirect(address(750,18))+indirect(address(748,19))-indirect(address(749,19))</f>
        <v>0</v>
      </c>
      <c r="T750">
        <f>indirect(address(750,19))+indirect(address(748,20))-indirect(address(749,20))</f>
        <v>0</v>
      </c>
      <c r="U750">
        <f>indirect(address(750,20))+indirect(address(748,21))-indirect(address(749,21))</f>
        <v>0</v>
      </c>
      <c r="V750">
        <f>indirect(address(750,21))+indirect(address(748,22))-indirect(address(749,22))</f>
        <v>0</v>
      </c>
      <c r="W750">
        <f>indirect(address(750,22))+indirect(address(748,23))-indirect(address(749,23))</f>
        <v>0</v>
      </c>
      <c r="X750">
        <f>indirect(address(750,23))+indirect(address(748,24))-indirect(address(749,24))</f>
        <v>0</v>
      </c>
      <c r="Y750">
        <f>indirect(address(750,24))+indirect(address(748,25))-indirect(address(749,25))</f>
        <v>0</v>
      </c>
      <c r="Z750">
        <f>indirect(address(750,25))+indirect(address(748,26))-indirect(address(749,26))</f>
        <v>0</v>
      </c>
      <c r="AA750">
        <f>indirect(address(750,26))+indirect(address(748,27))-indirect(address(749,27))</f>
        <v>0</v>
      </c>
      <c r="AB750">
        <f>indirect(address(750,27))+indirect(address(748,28))-indirect(address(749,28))</f>
        <v>0</v>
      </c>
      <c r="AC750">
        <f>indirect(address(750,28))+indirect(address(748,29))-indirect(address(749,29))</f>
        <v>0</v>
      </c>
      <c r="AD750">
        <f>indirect(address(750,29))+indirect(address(748,30))-indirect(address(749,30))</f>
        <v>0</v>
      </c>
      <c r="AE750">
        <f>indirect(address(750,30))+indirect(address(748,31))-indirect(address(749,31))</f>
        <v>0</v>
      </c>
      <c r="AF750">
        <f>indirect(address(750,31))+indirect(address(748,32))-indirect(address(749,32))</f>
        <v>0</v>
      </c>
      <c r="AG750">
        <f>indirect(address(750,32))+indirect(address(748,33))-indirect(address(749,33))</f>
        <v>0</v>
      </c>
      <c r="AH750">
        <f>indirect(address(750,33))+indirect(address(748,34))-indirect(address(749,34))</f>
        <v>0</v>
      </c>
      <c r="AI750">
        <f>indirect(address(750,34))+indirect(address(748,35))-indirect(address(749,35))</f>
        <v>0</v>
      </c>
      <c r="AJ750">
        <f>indirect(address(750,35))+indirect(address(748,36))-indirect(address(749,36))</f>
        <v>0</v>
      </c>
      <c r="AK750">
        <f>indirect(address(750,36))+indirect(address(748,37))-indirect(address(749,37))</f>
        <v>0</v>
      </c>
      <c r="AL750">
        <f>indirect(address(750,37))+indirect(address(748,38))-indirect(address(749,38))</f>
        <v>0</v>
      </c>
      <c r="AM750">
        <f>indirect(address(750,38))+indirect(address(748,39))-indirect(address(749,39))</f>
        <v>0</v>
      </c>
      <c r="AN750">
        <f>indirect(address(750,39))+indirect(address(748,40))-indirect(address(749,40))</f>
        <v>0</v>
      </c>
      <c r="AO750">
        <f>indirect(address(750,40))+indirect(address(748,41))-indirect(address(749,41))</f>
        <v>0</v>
      </c>
    </row>
    <row r="751" spans="1:41">
      <c r="I751" t="s">
        <v>14</v>
      </c>
      <c r="AO751">
        <f>sum(j751:an751)</f>
        <v>0</v>
      </c>
    </row>
    <row r="752" spans="1:41">
      <c r="I752" t="s">
        <v>15</v>
      </c>
      <c r="J752">
        <f>sumif(Plan!B:B,"261-000000-044",Plan!j:j)</f>
        <v>0</v>
      </c>
      <c r="K752">
        <f>sumif(Plan!B:B,"261-000000-044",Plan!k:k)</f>
        <v>0</v>
      </c>
      <c r="L752">
        <f>sumif(Plan!B:B,"261-000000-044",Plan!l:l)</f>
        <v>0</v>
      </c>
      <c r="M752">
        <f>sumif(Plan!B:B,"261-000000-044",Plan!m:m)</f>
        <v>0</v>
      </c>
      <c r="N752">
        <f>sumif(Plan!B:B,"261-000000-044",Plan!n:n)</f>
        <v>0</v>
      </c>
      <c r="O752">
        <f>sumif(Plan!B:B,"261-000000-044",Plan!o:o)</f>
        <v>0</v>
      </c>
      <c r="P752">
        <f>sumif(Plan!B:B,"261-000000-044",Plan!p:p)</f>
        <v>0</v>
      </c>
      <c r="Q752">
        <f>sumif(Plan!B:B,"261-000000-044",Plan!q:q)</f>
        <v>0</v>
      </c>
      <c r="R752">
        <f>sumif(Plan!B:B,"261-000000-044",Plan!r:r)</f>
        <v>0</v>
      </c>
      <c r="S752">
        <f>sumif(Plan!B:B,"261-000000-044",Plan!s:s)</f>
        <v>0</v>
      </c>
      <c r="T752">
        <f>sumif(Plan!B:B,"261-000000-044",Plan!t:t)</f>
        <v>0</v>
      </c>
      <c r="U752">
        <f>sumif(Plan!B:B,"261-000000-044",Plan!u:u)</f>
        <v>0</v>
      </c>
      <c r="V752">
        <f>sumif(Plan!B:B,"261-000000-044",Plan!v:v)</f>
        <v>0</v>
      </c>
      <c r="W752">
        <f>sumif(Plan!B:B,"261-000000-044",Plan!w:w)</f>
        <v>0</v>
      </c>
      <c r="X752">
        <f>sumif(Plan!B:B,"261-000000-044",Plan!x:x)</f>
        <v>0</v>
      </c>
      <c r="Y752">
        <f>sumif(Plan!B:B,"261-000000-044",Plan!y:y)</f>
        <v>0</v>
      </c>
      <c r="Z752">
        <f>sumif(Plan!B:B,"261-000000-044",Plan!z:z)</f>
        <v>0</v>
      </c>
      <c r="AA752">
        <f>sumif(Plan!B:B,"261-000000-044",Plan!aa:aa)</f>
        <v>0</v>
      </c>
      <c r="AB752">
        <f>sumif(Plan!B:B,"261-000000-044",Plan!ab:ab)</f>
        <v>0</v>
      </c>
      <c r="AC752">
        <f>sumif(Plan!B:B,"261-000000-044",Plan!ac:ac)</f>
        <v>0</v>
      </c>
      <c r="AD752">
        <f>sumif(Plan!B:B,"261-000000-044",Plan!ad:ad)</f>
        <v>0</v>
      </c>
      <c r="AE752">
        <f>sumif(Plan!B:B,"261-000000-044",Plan!ae:ae)</f>
        <v>0</v>
      </c>
      <c r="AF752">
        <f>sumif(Plan!B:B,"261-000000-044",Plan!af:af)</f>
        <v>0</v>
      </c>
      <c r="AG752">
        <f>sumif(Plan!B:B,"261-000000-044",Plan!ag:ag)</f>
        <v>0</v>
      </c>
      <c r="AH752">
        <f>sumif(Plan!B:B,"261-000000-044",Plan!ah:ah)</f>
        <v>0</v>
      </c>
      <c r="AI752">
        <f>sumif(Plan!B:B,"261-000000-044",Plan!ai:ai)</f>
        <v>0</v>
      </c>
      <c r="AJ752">
        <f>sumif(Plan!B:B,"261-000000-044",Plan!aj:aj)</f>
        <v>0</v>
      </c>
      <c r="AK752">
        <f>sumif(Plan!B:B,"261-000000-044",Plan!ak:ak)</f>
        <v>0</v>
      </c>
      <c r="AL752">
        <f>sumif(Plan!B:B,"261-000000-044",Plan!al:al)</f>
        <v>0</v>
      </c>
      <c r="AM752">
        <f>sumif(Plan!B:B,"261-000000-044",Plan!am:am)</f>
        <v>0</v>
      </c>
      <c r="AN752">
        <f>sumif(Plan!B:B,"261-000000-044",Plan!an:an)</f>
        <v>0</v>
      </c>
      <c r="AO752">
        <f>sumif(Plan!B:B,"261-000000-044",Plan!ao:ao)</f>
        <v>0</v>
      </c>
    </row>
    <row r="753" spans="1:41">
      <c r="A753" t="s">
        <v>22</v>
      </c>
      <c r="B753" t="s">
        <v>492</v>
      </c>
      <c r="C753" t="s">
        <v>493</v>
      </c>
      <c r="E753">
        <v>1</v>
      </c>
      <c r="F753" t="s">
        <v>13</v>
      </c>
      <c r="H753" t="s">
        <v>16</v>
      </c>
      <c r="J753">
        <f>indirect(address(753,9))+indirect(address(751,10))-indirect(address(752,10))</f>
        <v>0</v>
      </c>
      <c r="K753">
        <f>indirect(address(753,10))+indirect(address(751,11))-indirect(address(752,11))</f>
        <v>0</v>
      </c>
      <c r="L753">
        <f>indirect(address(753,11))+indirect(address(751,12))-indirect(address(752,12))</f>
        <v>0</v>
      </c>
      <c r="M753">
        <f>indirect(address(753,12))+indirect(address(751,13))-indirect(address(752,13))</f>
        <v>0</v>
      </c>
      <c r="N753">
        <f>indirect(address(753,13))+indirect(address(751,14))-indirect(address(752,14))</f>
        <v>0</v>
      </c>
      <c r="O753">
        <f>indirect(address(753,14))+indirect(address(751,15))-indirect(address(752,15))</f>
        <v>0</v>
      </c>
      <c r="P753">
        <f>indirect(address(753,15))+indirect(address(751,16))-indirect(address(752,16))</f>
        <v>0</v>
      </c>
      <c r="Q753">
        <f>indirect(address(753,16))+indirect(address(751,17))-indirect(address(752,17))</f>
        <v>0</v>
      </c>
      <c r="R753">
        <f>indirect(address(753,17))+indirect(address(751,18))-indirect(address(752,18))</f>
        <v>0</v>
      </c>
      <c r="S753">
        <f>indirect(address(753,18))+indirect(address(751,19))-indirect(address(752,19))</f>
        <v>0</v>
      </c>
      <c r="T753">
        <f>indirect(address(753,19))+indirect(address(751,20))-indirect(address(752,20))</f>
        <v>0</v>
      </c>
      <c r="U753">
        <f>indirect(address(753,20))+indirect(address(751,21))-indirect(address(752,21))</f>
        <v>0</v>
      </c>
      <c r="V753">
        <f>indirect(address(753,21))+indirect(address(751,22))-indirect(address(752,22))</f>
        <v>0</v>
      </c>
      <c r="W753">
        <f>indirect(address(753,22))+indirect(address(751,23))-indirect(address(752,23))</f>
        <v>0</v>
      </c>
      <c r="X753">
        <f>indirect(address(753,23))+indirect(address(751,24))-indirect(address(752,24))</f>
        <v>0</v>
      </c>
      <c r="Y753">
        <f>indirect(address(753,24))+indirect(address(751,25))-indirect(address(752,25))</f>
        <v>0</v>
      </c>
      <c r="Z753">
        <f>indirect(address(753,25))+indirect(address(751,26))-indirect(address(752,26))</f>
        <v>0</v>
      </c>
      <c r="AA753">
        <f>indirect(address(753,26))+indirect(address(751,27))-indirect(address(752,27))</f>
        <v>0</v>
      </c>
      <c r="AB753">
        <f>indirect(address(753,27))+indirect(address(751,28))-indirect(address(752,28))</f>
        <v>0</v>
      </c>
      <c r="AC753">
        <f>indirect(address(753,28))+indirect(address(751,29))-indirect(address(752,29))</f>
        <v>0</v>
      </c>
      <c r="AD753">
        <f>indirect(address(753,29))+indirect(address(751,30))-indirect(address(752,30))</f>
        <v>0</v>
      </c>
      <c r="AE753">
        <f>indirect(address(753,30))+indirect(address(751,31))-indirect(address(752,31))</f>
        <v>0</v>
      </c>
      <c r="AF753">
        <f>indirect(address(753,31))+indirect(address(751,32))-indirect(address(752,32))</f>
        <v>0</v>
      </c>
      <c r="AG753">
        <f>indirect(address(753,32))+indirect(address(751,33))-indirect(address(752,33))</f>
        <v>0</v>
      </c>
      <c r="AH753">
        <f>indirect(address(753,33))+indirect(address(751,34))-indirect(address(752,34))</f>
        <v>0</v>
      </c>
      <c r="AI753">
        <f>indirect(address(753,34))+indirect(address(751,35))-indirect(address(752,35))</f>
        <v>0</v>
      </c>
      <c r="AJ753">
        <f>indirect(address(753,35))+indirect(address(751,36))-indirect(address(752,36))</f>
        <v>0</v>
      </c>
      <c r="AK753">
        <f>indirect(address(753,36))+indirect(address(751,37))-indirect(address(752,37))</f>
        <v>0</v>
      </c>
      <c r="AL753">
        <f>indirect(address(753,37))+indirect(address(751,38))-indirect(address(752,38))</f>
        <v>0</v>
      </c>
      <c r="AM753">
        <f>indirect(address(753,38))+indirect(address(751,39))-indirect(address(752,39))</f>
        <v>0</v>
      </c>
      <c r="AN753">
        <f>indirect(address(753,39))+indirect(address(751,40))-indirect(address(752,40))</f>
        <v>0</v>
      </c>
      <c r="AO753">
        <f>indirect(address(753,40))+indirect(address(751,41))-indirect(address(752,41))</f>
        <v>0</v>
      </c>
    </row>
    <row r="754" spans="1:41">
      <c r="I754" t="s">
        <v>14</v>
      </c>
      <c r="AO754">
        <f>sum(j754:an754)</f>
        <v>0</v>
      </c>
    </row>
    <row r="755" spans="1:41">
      <c r="I755" t="s">
        <v>15</v>
      </c>
      <c r="J755">
        <f>sumif(Plan!B:B,"261-000000-054",Plan!j:j)</f>
        <v>0</v>
      </c>
      <c r="K755">
        <f>sumif(Plan!B:B,"261-000000-054",Plan!k:k)</f>
        <v>0</v>
      </c>
      <c r="L755">
        <f>sumif(Plan!B:B,"261-000000-054",Plan!l:l)</f>
        <v>0</v>
      </c>
      <c r="M755">
        <f>sumif(Plan!B:B,"261-000000-054",Plan!m:m)</f>
        <v>0</v>
      </c>
      <c r="N755">
        <f>sumif(Plan!B:B,"261-000000-054",Plan!n:n)</f>
        <v>0</v>
      </c>
      <c r="O755">
        <f>sumif(Plan!B:B,"261-000000-054",Plan!o:o)</f>
        <v>0</v>
      </c>
      <c r="P755">
        <f>sumif(Plan!B:B,"261-000000-054",Plan!p:p)</f>
        <v>0</v>
      </c>
      <c r="Q755">
        <f>sumif(Plan!B:B,"261-000000-054",Plan!q:q)</f>
        <v>0</v>
      </c>
      <c r="R755">
        <f>sumif(Plan!B:B,"261-000000-054",Plan!r:r)</f>
        <v>0</v>
      </c>
      <c r="S755">
        <f>sumif(Plan!B:B,"261-000000-054",Plan!s:s)</f>
        <v>0</v>
      </c>
      <c r="T755">
        <f>sumif(Plan!B:B,"261-000000-054",Plan!t:t)</f>
        <v>0</v>
      </c>
      <c r="U755">
        <f>sumif(Plan!B:B,"261-000000-054",Plan!u:u)</f>
        <v>0</v>
      </c>
      <c r="V755">
        <f>sumif(Plan!B:B,"261-000000-054",Plan!v:v)</f>
        <v>0</v>
      </c>
      <c r="W755">
        <f>sumif(Plan!B:B,"261-000000-054",Plan!w:w)</f>
        <v>0</v>
      </c>
      <c r="X755">
        <f>sumif(Plan!B:B,"261-000000-054",Plan!x:x)</f>
        <v>0</v>
      </c>
      <c r="Y755">
        <f>sumif(Plan!B:B,"261-000000-054",Plan!y:y)</f>
        <v>0</v>
      </c>
      <c r="Z755">
        <f>sumif(Plan!B:B,"261-000000-054",Plan!z:z)</f>
        <v>0</v>
      </c>
      <c r="AA755">
        <f>sumif(Plan!B:B,"261-000000-054",Plan!aa:aa)</f>
        <v>0</v>
      </c>
      <c r="AB755">
        <f>sumif(Plan!B:B,"261-000000-054",Plan!ab:ab)</f>
        <v>0</v>
      </c>
      <c r="AC755">
        <f>sumif(Plan!B:B,"261-000000-054",Plan!ac:ac)</f>
        <v>0</v>
      </c>
      <c r="AD755">
        <f>sumif(Plan!B:B,"261-000000-054",Plan!ad:ad)</f>
        <v>0</v>
      </c>
      <c r="AE755">
        <f>sumif(Plan!B:B,"261-000000-054",Plan!ae:ae)</f>
        <v>0</v>
      </c>
      <c r="AF755">
        <f>sumif(Plan!B:B,"261-000000-054",Plan!af:af)</f>
        <v>0</v>
      </c>
      <c r="AG755">
        <f>sumif(Plan!B:B,"261-000000-054",Plan!ag:ag)</f>
        <v>0</v>
      </c>
      <c r="AH755">
        <f>sumif(Plan!B:B,"261-000000-054",Plan!ah:ah)</f>
        <v>0</v>
      </c>
      <c r="AI755">
        <f>sumif(Plan!B:B,"261-000000-054",Plan!ai:ai)</f>
        <v>0</v>
      </c>
      <c r="AJ755">
        <f>sumif(Plan!B:B,"261-000000-054",Plan!aj:aj)</f>
        <v>0</v>
      </c>
      <c r="AK755">
        <f>sumif(Plan!B:B,"261-000000-054",Plan!ak:ak)</f>
        <v>0</v>
      </c>
      <c r="AL755">
        <f>sumif(Plan!B:B,"261-000000-054",Plan!al:al)</f>
        <v>0</v>
      </c>
      <c r="AM755">
        <f>sumif(Plan!B:B,"261-000000-054",Plan!am:am)</f>
        <v>0</v>
      </c>
      <c r="AN755">
        <f>sumif(Plan!B:B,"261-000000-054",Plan!an:an)</f>
        <v>0</v>
      </c>
      <c r="AO755">
        <f>sumif(Plan!B:B,"261-000000-054",Plan!ao:ao)</f>
        <v>0</v>
      </c>
    </row>
    <row r="756" spans="1:41">
      <c r="A756" t="s">
        <v>22</v>
      </c>
      <c r="B756" t="s">
        <v>494</v>
      </c>
      <c r="C756" t="s">
        <v>495</v>
      </c>
      <c r="E756">
        <v>1</v>
      </c>
      <c r="F756" t="s">
        <v>13</v>
      </c>
      <c r="H756" t="s">
        <v>16</v>
      </c>
      <c r="J756">
        <f>indirect(address(756,9))+indirect(address(754,10))-indirect(address(755,10))</f>
        <v>0</v>
      </c>
      <c r="K756">
        <f>indirect(address(756,10))+indirect(address(754,11))-indirect(address(755,11))</f>
        <v>0</v>
      </c>
      <c r="L756">
        <f>indirect(address(756,11))+indirect(address(754,12))-indirect(address(755,12))</f>
        <v>0</v>
      </c>
      <c r="M756">
        <f>indirect(address(756,12))+indirect(address(754,13))-indirect(address(755,13))</f>
        <v>0</v>
      </c>
      <c r="N756">
        <f>indirect(address(756,13))+indirect(address(754,14))-indirect(address(755,14))</f>
        <v>0</v>
      </c>
      <c r="O756">
        <f>indirect(address(756,14))+indirect(address(754,15))-indirect(address(755,15))</f>
        <v>0</v>
      </c>
      <c r="P756">
        <f>indirect(address(756,15))+indirect(address(754,16))-indirect(address(755,16))</f>
        <v>0</v>
      </c>
      <c r="Q756">
        <f>indirect(address(756,16))+indirect(address(754,17))-indirect(address(755,17))</f>
        <v>0</v>
      </c>
      <c r="R756">
        <f>indirect(address(756,17))+indirect(address(754,18))-indirect(address(755,18))</f>
        <v>0</v>
      </c>
      <c r="S756">
        <f>indirect(address(756,18))+indirect(address(754,19))-indirect(address(755,19))</f>
        <v>0</v>
      </c>
      <c r="T756">
        <f>indirect(address(756,19))+indirect(address(754,20))-indirect(address(755,20))</f>
        <v>0</v>
      </c>
      <c r="U756">
        <f>indirect(address(756,20))+indirect(address(754,21))-indirect(address(755,21))</f>
        <v>0</v>
      </c>
      <c r="V756">
        <f>indirect(address(756,21))+indirect(address(754,22))-indirect(address(755,22))</f>
        <v>0</v>
      </c>
      <c r="W756">
        <f>indirect(address(756,22))+indirect(address(754,23))-indirect(address(755,23))</f>
        <v>0</v>
      </c>
      <c r="X756">
        <f>indirect(address(756,23))+indirect(address(754,24))-indirect(address(755,24))</f>
        <v>0</v>
      </c>
      <c r="Y756">
        <f>indirect(address(756,24))+indirect(address(754,25))-indirect(address(755,25))</f>
        <v>0</v>
      </c>
      <c r="Z756">
        <f>indirect(address(756,25))+indirect(address(754,26))-indirect(address(755,26))</f>
        <v>0</v>
      </c>
      <c r="AA756">
        <f>indirect(address(756,26))+indirect(address(754,27))-indirect(address(755,27))</f>
        <v>0</v>
      </c>
      <c r="AB756">
        <f>indirect(address(756,27))+indirect(address(754,28))-indirect(address(755,28))</f>
        <v>0</v>
      </c>
      <c r="AC756">
        <f>indirect(address(756,28))+indirect(address(754,29))-indirect(address(755,29))</f>
        <v>0</v>
      </c>
      <c r="AD756">
        <f>indirect(address(756,29))+indirect(address(754,30))-indirect(address(755,30))</f>
        <v>0</v>
      </c>
      <c r="AE756">
        <f>indirect(address(756,30))+indirect(address(754,31))-indirect(address(755,31))</f>
        <v>0</v>
      </c>
      <c r="AF756">
        <f>indirect(address(756,31))+indirect(address(754,32))-indirect(address(755,32))</f>
        <v>0</v>
      </c>
      <c r="AG756">
        <f>indirect(address(756,32))+indirect(address(754,33))-indirect(address(755,33))</f>
        <v>0</v>
      </c>
      <c r="AH756">
        <f>indirect(address(756,33))+indirect(address(754,34))-indirect(address(755,34))</f>
        <v>0</v>
      </c>
      <c r="AI756">
        <f>indirect(address(756,34))+indirect(address(754,35))-indirect(address(755,35))</f>
        <v>0</v>
      </c>
      <c r="AJ756">
        <f>indirect(address(756,35))+indirect(address(754,36))-indirect(address(755,36))</f>
        <v>0</v>
      </c>
      <c r="AK756">
        <f>indirect(address(756,36))+indirect(address(754,37))-indirect(address(755,37))</f>
        <v>0</v>
      </c>
      <c r="AL756">
        <f>indirect(address(756,37))+indirect(address(754,38))-indirect(address(755,38))</f>
        <v>0</v>
      </c>
      <c r="AM756">
        <f>indirect(address(756,38))+indirect(address(754,39))-indirect(address(755,39))</f>
        <v>0</v>
      </c>
      <c r="AN756">
        <f>indirect(address(756,39))+indirect(address(754,40))-indirect(address(755,40))</f>
        <v>0</v>
      </c>
      <c r="AO756">
        <f>indirect(address(756,40))+indirect(address(754,41))-indirect(address(755,41))</f>
        <v>0</v>
      </c>
    </row>
    <row r="757" spans="1:41">
      <c r="I757" t="s">
        <v>14</v>
      </c>
      <c r="AO757">
        <f>sum(j757:an757)</f>
        <v>0</v>
      </c>
    </row>
    <row r="758" spans="1:41">
      <c r="I758" t="s">
        <v>15</v>
      </c>
      <c r="J758">
        <f>sumif(Plan!B:B,"261-000000-012",Plan!j:j)</f>
        <v>0</v>
      </c>
      <c r="K758">
        <f>sumif(Plan!B:B,"261-000000-012",Plan!k:k)</f>
        <v>0</v>
      </c>
      <c r="L758">
        <f>sumif(Plan!B:B,"261-000000-012",Plan!l:l)</f>
        <v>0</v>
      </c>
      <c r="M758">
        <f>sumif(Plan!B:B,"261-000000-012",Plan!m:m)</f>
        <v>0</v>
      </c>
      <c r="N758">
        <f>sumif(Plan!B:B,"261-000000-012",Plan!n:n)</f>
        <v>0</v>
      </c>
      <c r="O758">
        <f>sumif(Plan!B:B,"261-000000-012",Plan!o:o)</f>
        <v>0</v>
      </c>
      <c r="P758">
        <f>sumif(Plan!B:B,"261-000000-012",Plan!p:p)</f>
        <v>0</v>
      </c>
      <c r="Q758">
        <f>sumif(Plan!B:B,"261-000000-012",Plan!q:q)</f>
        <v>0</v>
      </c>
      <c r="R758">
        <f>sumif(Plan!B:B,"261-000000-012",Plan!r:r)</f>
        <v>0</v>
      </c>
      <c r="S758">
        <f>sumif(Plan!B:B,"261-000000-012",Plan!s:s)</f>
        <v>0</v>
      </c>
      <c r="T758">
        <f>sumif(Plan!B:B,"261-000000-012",Plan!t:t)</f>
        <v>0</v>
      </c>
      <c r="U758">
        <f>sumif(Plan!B:B,"261-000000-012",Plan!u:u)</f>
        <v>0</v>
      </c>
      <c r="V758">
        <f>sumif(Plan!B:B,"261-000000-012",Plan!v:v)</f>
        <v>0</v>
      </c>
      <c r="W758">
        <f>sumif(Plan!B:B,"261-000000-012",Plan!w:w)</f>
        <v>0</v>
      </c>
      <c r="X758">
        <f>sumif(Plan!B:B,"261-000000-012",Plan!x:x)</f>
        <v>0</v>
      </c>
      <c r="Y758">
        <f>sumif(Plan!B:B,"261-000000-012",Plan!y:y)</f>
        <v>0</v>
      </c>
      <c r="Z758">
        <f>sumif(Plan!B:B,"261-000000-012",Plan!z:z)</f>
        <v>0</v>
      </c>
      <c r="AA758">
        <f>sumif(Plan!B:B,"261-000000-012",Plan!aa:aa)</f>
        <v>0</v>
      </c>
      <c r="AB758">
        <f>sumif(Plan!B:B,"261-000000-012",Plan!ab:ab)</f>
        <v>0</v>
      </c>
      <c r="AC758">
        <f>sumif(Plan!B:B,"261-000000-012",Plan!ac:ac)</f>
        <v>0</v>
      </c>
      <c r="AD758">
        <f>sumif(Plan!B:B,"261-000000-012",Plan!ad:ad)</f>
        <v>0</v>
      </c>
      <c r="AE758">
        <f>sumif(Plan!B:B,"261-000000-012",Plan!ae:ae)</f>
        <v>0</v>
      </c>
      <c r="AF758">
        <f>sumif(Plan!B:B,"261-000000-012",Plan!af:af)</f>
        <v>0</v>
      </c>
      <c r="AG758">
        <f>sumif(Plan!B:B,"261-000000-012",Plan!ag:ag)</f>
        <v>0</v>
      </c>
      <c r="AH758">
        <f>sumif(Plan!B:B,"261-000000-012",Plan!ah:ah)</f>
        <v>0</v>
      </c>
      <c r="AI758">
        <f>sumif(Plan!B:B,"261-000000-012",Plan!ai:ai)</f>
        <v>0</v>
      </c>
      <c r="AJ758">
        <f>sumif(Plan!B:B,"261-000000-012",Plan!aj:aj)</f>
        <v>0</v>
      </c>
      <c r="AK758">
        <f>sumif(Plan!B:B,"261-000000-012",Plan!ak:ak)</f>
        <v>0</v>
      </c>
      <c r="AL758">
        <f>sumif(Plan!B:B,"261-000000-012",Plan!al:al)</f>
        <v>0</v>
      </c>
      <c r="AM758">
        <f>sumif(Plan!B:B,"261-000000-012",Plan!am:am)</f>
        <v>0</v>
      </c>
      <c r="AN758">
        <f>sumif(Plan!B:B,"261-000000-012",Plan!an:an)</f>
        <v>0</v>
      </c>
      <c r="AO758">
        <f>sumif(Plan!B:B,"261-000000-012",Plan!ao:ao)</f>
        <v>0</v>
      </c>
    </row>
    <row r="759" spans="1:41">
      <c r="A759" t="s">
        <v>22</v>
      </c>
      <c r="B759" t="s">
        <v>496</v>
      </c>
      <c r="C759" t="s">
        <v>497</v>
      </c>
      <c r="E759">
        <v>1</v>
      </c>
      <c r="F759" t="s">
        <v>13</v>
      </c>
      <c r="H759" t="s">
        <v>16</v>
      </c>
      <c r="J759">
        <f>indirect(address(759,9))+indirect(address(757,10))-indirect(address(758,10))</f>
        <v>0</v>
      </c>
      <c r="K759">
        <f>indirect(address(759,10))+indirect(address(757,11))-indirect(address(758,11))</f>
        <v>0</v>
      </c>
      <c r="L759">
        <f>indirect(address(759,11))+indirect(address(757,12))-indirect(address(758,12))</f>
        <v>0</v>
      </c>
      <c r="M759">
        <f>indirect(address(759,12))+indirect(address(757,13))-indirect(address(758,13))</f>
        <v>0</v>
      </c>
      <c r="N759">
        <f>indirect(address(759,13))+indirect(address(757,14))-indirect(address(758,14))</f>
        <v>0</v>
      </c>
      <c r="O759">
        <f>indirect(address(759,14))+indirect(address(757,15))-indirect(address(758,15))</f>
        <v>0</v>
      </c>
      <c r="P759">
        <f>indirect(address(759,15))+indirect(address(757,16))-indirect(address(758,16))</f>
        <v>0</v>
      </c>
      <c r="Q759">
        <f>indirect(address(759,16))+indirect(address(757,17))-indirect(address(758,17))</f>
        <v>0</v>
      </c>
      <c r="R759">
        <f>indirect(address(759,17))+indirect(address(757,18))-indirect(address(758,18))</f>
        <v>0</v>
      </c>
      <c r="S759">
        <f>indirect(address(759,18))+indirect(address(757,19))-indirect(address(758,19))</f>
        <v>0</v>
      </c>
      <c r="T759">
        <f>indirect(address(759,19))+indirect(address(757,20))-indirect(address(758,20))</f>
        <v>0</v>
      </c>
      <c r="U759">
        <f>indirect(address(759,20))+indirect(address(757,21))-indirect(address(758,21))</f>
        <v>0</v>
      </c>
      <c r="V759">
        <f>indirect(address(759,21))+indirect(address(757,22))-indirect(address(758,22))</f>
        <v>0</v>
      </c>
      <c r="W759">
        <f>indirect(address(759,22))+indirect(address(757,23))-indirect(address(758,23))</f>
        <v>0</v>
      </c>
      <c r="X759">
        <f>indirect(address(759,23))+indirect(address(757,24))-indirect(address(758,24))</f>
        <v>0</v>
      </c>
      <c r="Y759">
        <f>indirect(address(759,24))+indirect(address(757,25))-indirect(address(758,25))</f>
        <v>0</v>
      </c>
      <c r="Z759">
        <f>indirect(address(759,25))+indirect(address(757,26))-indirect(address(758,26))</f>
        <v>0</v>
      </c>
      <c r="AA759">
        <f>indirect(address(759,26))+indirect(address(757,27))-indirect(address(758,27))</f>
        <v>0</v>
      </c>
      <c r="AB759">
        <f>indirect(address(759,27))+indirect(address(757,28))-indirect(address(758,28))</f>
        <v>0</v>
      </c>
      <c r="AC759">
        <f>indirect(address(759,28))+indirect(address(757,29))-indirect(address(758,29))</f>
        <v>0</v>
      </c>
      <c r="AD759">
        <f>indirect(address(759,29))+indirect(address(757,30))-indirect(address(758,30))</f>
        <v>0</v>
      </c>
      <c r="AE759">
        <f>indirect(address(759,30))+indirect(address(757,31))-indirect(address(758,31))</f>
        <v>0</v>
      </c>
      <c r="AF759">
        <f>indirect(address(759,31))+indirect(address(757,32))-indirect(address(758,32))</f>
        <v>0</v>
      </c>
      <c r="AG759">
        <f>indirect(address(759,32))+indirect(address(757,33))-indirect(address(758,33))</f>
        <v>0</v>
      </c>
      <c r="AH759">
        <f>indirect(address(759,33))+indirect(address(757,34))-indirect(address(758,34))</f>
        <v>0</v>
      </c>
      <c r="AI759">
        <f>indirect(address(759,34))+indirect(address(757,35))-indirect(address(758,35))</f>
        <v>0</v>
      </c>
      <c r="AJ759">
        <f>indirect(address(759,35))+indirect(address(757,36))-indirect(address(758,36))</f>
        <v>0</v>
      </c>
      <c r="AK759">
        <f>indirect(address(759,36))+indirect(address(757,37))-indirect(address(758,37))</f>
        <v>0</v>
      </c>
      <c r="AL759">
        <f>indirect(address(759,37))+indirect(address(757,38))-indirect(address(758,38))</f>
        <v>0</v>
      </c>
      <c r="AM759">
        <f>indirect(address(759,38))+indirect(address(757,39))-indirect(address(758,39))</f>
        <v>0</v>
      </c>
      <c r="AN759">
        <f>indirect(address(759,39))+indirect(address(757,40))-indirect(address(758,40))</f>
        <v>0</v>
      </c>
      <c r="AO759">
        <f>indirect(address(759,40))+indirect(address(757,41))-indirect(address(758,41))</f>
        <v>0</v>
      </c>
    </row>
    <row r="760" spans="1:41">
      <c r="I760" t="s">
        <v>14</v>
      </c>
      <c r="AO760">
        <f>sum(j760:an760)</f>
        <v>0</v>
      </c>
    </row>
    <row r="761" spans="1:41">
      <c r="I761" t="s">
        <v>15</v>
      </c>
      <c r="J761">
        <f>sumif(Plan!B:B,"241-014700-000",Plan!j:j)</f>
        <v>0</v>
      </c>
      <c r="K761">
        <f>sumif(Plan!B:B,"241-014700-000",Plan!k:k)</f>
        <v>0</v>
      </c>
      <c r="L761">
        <f>sumif(Plan!B:B,"241-014700-000",Plan!l:l)</f>
        <v>0</v>
      </c>
      <c r="M761">
        <f>sumif(Plan!B:B,"241-014700-000",Plan!m:m)</f>
        <v>0</v>
      </c>
      <c r="N761">
        <f>sumif(Plan!B:B,"241-014700-000",Plan!n:n)</f>
        <v>0</v>
      </c>
      <c r="O761">
        <f>sumif(Plan!B:B,"241-014700-000",Plan!o:o)</f>
        <v>0</v>
      </c>
      <c r="P761">
        <f>sumif(Plan!B:B,"241-014700-000",Plan!p:p)</f>
        <v>0</v>
      </c>
      <c r="Q761">
        <f>sumif(Plan!B:B,"241-014700-000",Plan!q:q)</f>
        <v>0</v>
      </c>
      <c r="R761">
        <f>sumif(Plan!B:B,"241-014700-000",Plan!r:r)</f>
        <v>0</v>
      </c>
      <c r="S761">
        <f>sumif(Plan!B:B,"241-014700-000",Plan!s:s)</f>
        <v>0</v>
      </c>
      <c r="T761">
        <f>sumif(Plan!B:B,"241-014700-000",Plan!t:t)</f>
        <v>0</v>
      </c>
      <c r="U761">
        <f>sumif(Plan!B:B,"241-014700-000",Plan!u:u)</f>
        <v>0</v>
      </c>
      <c r="V761">
        <f>sumif(Plan!B:B,"241-014700-000",Plan!v:v)</f>
        <v>0</v>
      </c>
      <c r="W761">
        <f>sumif(Plan!B:B,"241-014700-000",Plan!w:w)</f>
        <v>0</v>
      </c>
      <c r="X761">
        <f>sumif(Plan!B:B,"241-014700-000",Plan!x:x)</f>
        <v>0</v>
      </c>
      <c r="Y761">
        <f>sumif(Plan!B:B,"241-014700-000",Plan!y:y)</f>
        <v>0</v>
      </c>
      <c r="Z761">
        <f>sumif(Plan!B:B,"241-014700-000",Plan!z:z)</f>
        <v>0</v>
      </c>
      <c r="AA761">
        <f>sumif(Plan!B:B,"241-014700-000",Plan!aa:aa)</f>
        <v>0</v>
      </c>
      <c r="AB761">
        <f>sumif(Plan!B:B,"241-014700-000",Plan!ab:ab)</f>
        <v>0</v>
      </c>
      <c r="AC761">
        <f>sumif(Plan!B:B,"241-014700-000",Plan!ac:ac)</f>
        <v>0</v>
      </c>
      <c r="AD761">
        <f>sumif(Plan!B:B,"241-014700-000",Plan!ad:ad)</f>
        <v>0</v>
      </c>
      <c r="AE761">
        <f>sumif(Plan!B:B,"241-014700-000",Plan!ae:ae)</f>
        <v>0</v>
      </c>
      <c r="AF761">
        <f>sumif(Plan!B:B,"241-014700-000",Plan!af:af)</f>
        <v>0</v>
      </c>
      <c r="AG761">
        <f>sumif(Plan!B:B,"241-014700-000",Plan!ag:ag)</f>
        <v>0</v>
      </c>
      <c r="AH761">
        <f>sumif(Plan!B:B,"241-014700-000",Plan!ah:ah)</f>
        <v>0</v>
      </c>
      <c r="AI761">
        <f>sumif(Plan!B:B,"241-014700-000",Plan!ai:ai)</f>
        <v>0</v>
      </c>
      <c r="AJ761">
        <f>sumif(Plan!B:B,"241-014700-000",Plan!aj:aj)</f>
        <v>0</v>
      </c>
      <c r="AK761">
        <f>sumif(Plan!B:B,"241-014700-000",Plan!ak:ak)</f>
        <v>0</v>
      </c>
      <c r="AL761">
        <f>sumif(Plan!B:B,"241-014700-000",Plan!al:al)</f>
        <v>0</v>
      </c>
      <c r="AM761">
        <f>sumif(Plan!B:B,"241-014700-000",Plan!am:am)</f>
        <v>0</v>
      </c>
      <c r="AN761">
        <f>sumif(Plan!B:B,"241-014700-000",Plan!an:an)</f>
        <v>0</v>
      </c>
      <c r="AO761">
        <f>sumif(Plan!B:B,"241-014700-000",Plan!ao:ao)</f>
        <v>0</v>
      </c>
    </row>
    <row r="762" spans="1:41">
      <c r="A762" t="s">
        <v>78</v>
      </c>
      <c r="B762" t="s">
        <v>498</v>
      </c>
      <c r="C762" t="s">
        <v>499</v>
      </c>
      <c r="E762">
        <v>0.03125</v>
      </c>
      <c r="F762" t="s">
        <v>13</v>
      </c>
      <c r="H762" t="s">
        <v>16</v>
      </c>
      <c r="J762">
        <f>indirect(address(762,9))+indirect(address(760,10))-indirect(address(761,10))</f>
        <v>0</v>
      </c>
      <c r="K762">
        <f>indirect(address(762,10))+indirect(address(760,11))-indirect(address(761,11))</f>
        <v>0</v>
      </c>
      <c r="L762">
        <f>indirect(address(762,11))+indirect(address(760,12))-indirect(address(761,12))</f>
        <v>0</v>
      </c>
      <c r="M762">
        <f>indirect(address(762,12))+indirect(address(760,13))-indirect(address(761,13))</f>
        <v>0</v>
      </c>
      <c r="N762">
        <f>indirect(address(762,13))+indirect(address(760,14))-indirect(address(761,14))</f>
        <v>0</v>
      </c>
      <c r="O762">
        <f>indirect(address(762,14))+indirect(address(760,15))-indirect(address(761,15))</f>
        <v>0</v>
      </c>
      <c r="P762">
        <f>indirect(address(762,15))+indirect(address(760,16))-indirect(address(761,16))</f>
        <v>0</v>
      </c>
      <c r="Q762">
        <f>indirect(address(762,16))+indirect(address(760,17))-indirect(address(761,17))</f>
        <v>0</v>
      </c>
      <c r="R762">
        <f>indirect(address(762,17))+indirect(address(760,18))-indirect(address(761,18))</f>
        <v>0</v>
      </c>
      <c r="S762">
        <f>indirect(address(762,18))+indirect(address(760,19))-indirect(address(761,19))</f>
        <v>0</v>
      </c>
      <c r="T762">
        <f>indirect(address(762,19))+indirect(address(760,20))-indirect(address(761,20))</f>
        <v>0</v>
      </c>
      <c r="U762">
        <f>indirect(address(762,20))+indirect(address(760,21))-indirect(address(761,21))</f>
        <v>0</v>
      </c>
      <c r="V762">
        <f>indirect(address(762,21))+indirect(address(760,22))-indirect(address(761,22))</f>
        <v>0</v>
      </c>
      <c r="W762">
        <f>indirect(address(762,22))+indirect(address(760,23))-indirect(address(761,23))</f>
        <v>0</v>
      </c>
      <c r="X762">
        <f>indirect(address(762,23))+indirect(address(760,24))-indirect(address(761,24))</f>
        <v>0</v>
      </c>
      <c r="Y762">
        <f>indirect(address(762,24))+indirect(address(760,25))-indirect(address(761,25))</f>
        <v>0</v>
      </c>
      <c r="Z762">
        <f>indirect(address(762,25))+indirect(address(760,26))-indirect(address(761,26))</f>
        <v>0</v>
      </c>
      <c r="AA762">
        <f>indirect(address(762,26))+indirect(address(760,27))-indirect(address(761,27))</f>
        <v>0</v>
      </c>
      <c r="AB762">
        <f>indirect(address(762,27))+indirect(address(760,28))-indirect(address(761,28))</f>
        <v>0</v>
      </c>
      <c r="AC762">
        <f>indirect(address(762,28))+indirect(address(760,29))-indirect(address(761,29))</f>
        <v>0</v>
      </c>
      <c r="AD762">
        <f>indirect(address(762,29))+indirect(address(760,30))-indirect(address(761,30))</f>
        <v>0</v>
      </c>
      <c r="AE762">
        <f>indirect(address(762,30))+indirect(address(760,31))-indirect(address(761,31))</f>
        <v>0</v>
      </c>
      <c r="AF762">
        <f>indirect(address(762,31))+indirect(address(760,32))-indirect(address(761,32))</f>
        <v>0</v>
      </c>
      <c r="AG762">
        <f>indirect(address(762,32))+indirect(address(760,33))-indirect(address(761,33))</f>
        <v>0</v>
      </c>
      <c r="AH762">
        <f>indirect(address(762,33))+indirect(address(760,34))-indirect(address(761,34))</f>
        <v>0</v>
      </c>
      <c r="AI762">
        <f>indirect(address(762,34))+indirect(address(760,35))-indirect(address(761,35))</f>
        <v>0</v>
      </c>
      <c r="AJ762">
        <f>indirect(address(762,35))+indirect(address(760,36))-indirect(address(761,36))</f>
        <v>0</v>
      </c>
      <c r="AK762">
        <f>indirect(address(762,36))+indirect(address(760,37))-indirect(address(761,37))</f>
        <v>0</v>
      </c>
      <c r="AL762">
        <f>indirect(address(762,37))+indirect(address(760,38))-indirect(address(761,38))</f>
        <v>0</v>
      </c>
      <c r="AM762">
        <f>indirect(address(762,38))+indirect(address(760,39))-indirect(address(761,39))</f>
        <v>0</v>
      </c>
      <c r="AN762">
        <f>indirect(address(762,39))+indirect(address(760,40))-indirect(address(761,40))</f>
        <v>0</v>
      </c>
      <c r="AO762">
        <f>indirect(address(762,40))+indirect(address(760,41))-indirect(address(761,41))</f>
        <v>0</v>
      </c>
    </row>
    <row r="763" spans="1:41">
      <c r="I763" t="s">
        <v>14</v>
      </c>
      <c r="AO763">
        <f>sum(j763:an763)</f>
        <v>0</v>
      </c>
    </row>
    <row r="764" spans="1:41">
      <c r="I764" t="s">
        <v>15</v>
      </c>
      <c r="J764">
        <f>sumif(Plan!B:B,"241-014700-100",Plan!j:j)</f>
        <v>0</v>
      </c>
      <c r="K764">
        <f>sumif(Plan!B:B,"241-014700-100",Plan!k:k)</f>
        <v>0</v>
      </c>
      <c r="L764">
        <f>sumif(Plan!B:B,"241-014700-100",Plan!l:l)</f>
        <v>0</v>
      </c>
      <c r="M764">
        <f>sumif(Plan!B:B,"241-014700-100",Plan!m:m)</f>
        <v>0</v>
      </c>
      <c r="N764">
        <f>sumif(Plan!B:B,"241-014700-100",Plan!n:n)</f>
        <v>0</v>
      </c>
      <c r="O764">
        <f>sumif(Plan!B:B,"241-014700-100",Plan!o:o)</f>
        <v>0</v>
      </c>
      <c r="P764">
        <f>sumif(Plan!B:B,"241-014700-100",Plan!p:p)</f>
        <v>0</v>
      </c>
      <c r="Q764">
        <f>sumif(Plan!B:B,"241-014700-100",Plan!q:q)</f>
        <v>0</v>
      </c>
      <c r="R764">
        <f>sumif(Plan!B:B,"241-014700-100",Plan!r:r)</f>
        <v>0</v>
      </c>
      <c r="S764">
        <f>sumif(Plan!B:B,"241-014700-100",Plan!s:s)</f>
        <v>0</v>
      </c>
      <c r="T764">
        <f>sumif(Plan!B:B,"241-014700-100",Plan!t:t)</f>
        <v>0</v>
      </c>
      <c r="U764">
        <f>sumif(Plan!B:B,"241-014700-100",Plan!u:u)</f>
        <v>0</v>
      </c>
      <c r="V764">
        <f>sumif(Plan!B:B,"241-014700-100",Plan!v:v)</f>
        <v>0</v>
      </c>
      <c r="W764">
        <f>sumif(Plan!B:B,"241-014700-100",Plan!w:w)</f>
        <v>0</v>
      </c>
      <c r="X764">
        <f>sumif(Plan!B:B,"241-014700-100",Plan!x:x)</f>
        <v>0</v>
      </c>
      <c r="Y764">
        <f>sumif(Plan!B:B,"241-014700-100",Plan!y:y)</f>
        <v>0</v>
      </c>
      <c r="Z764">
        <f>sumif(Plan!B:B,"241-014700-100",Plan!z:z)</f>
        <v>0</v>
      </c>
      <c r="AA764">
        <f>sumif(Plan!B:B,"241-014700-100",Plan!aa:aa)</f>
        <v>0</v>
      </c>
      <c r="AB764">
        <f>sumif(Plan!B:B,"241-014700-100",Plan!ab:ab)</f>
        <v>0</v>
      </c>
      <c r="AC764">
        <f>sumif(Plan!B:B,"241-014700-100",Plan!ac:ac)</f>
        <v>0</v>
      </c>
      <c r="AD764">
        <f>sumif(Plan!B:B,"241-014700-100",Plan!ad:ad)</f>
        <v>0</v>
      </c>
      <c r="AE764">
        <f>sumif(Plan!B:B,"241-014700-100",Plan!ae:ae)</f>
        <v>0</v>
      </c>
      <c r="AF764">
        <f>sumif(Plan!B:B,"241-014700-100",Plan!af:af)</f>
        <v>0</v>
      </c>
      <c r="AG764">
        <f>sumif(Plan!B:B,"241-014700-100",Plan!ag:ag)</f>
        <v>0</v>
      </c>
      <c r="AH764">
        <f>sumif(Plan!B:B,"241-014700-100",Plan!ah:ah)</f>
        <v>0</v>
      </c>
      <c r="AI764">
        <f>sumif(Plan!B:B,"241-014700-100",Plan!ai:ai)</f>
        <v>0</v>
      </c>
      <c r="AJ764">
        <f>sumif(Plan!B:B,"241-014700-100",Plan!aj:aj)</f>
        <v>0</v>
      </c>
      <c r="AK764">
        <f>sumif(Plan!B:B,"241-014700-100",Plan!ak:ak)</f>
        <v>0</v>
      </c>
      <c r="AL764">
        <f>sumif(Plan!B:B,"241-014700-100",Plan!al:al)</f>
        <v>0</v>
      </c>
      <c r="AM764">
        <f>sumif(Plan!B:B,"241-014700-100",Plan!am:am)</f>
        <v>0</v>
      </c>
      <c r="AN764">
        <f>sumif(Plan!B:B,"241-014700-100",Plan!an:an)</f>
        <v>0</v>
      </c>
      <c r="AO764">
        <f>sumif(Plan!B:B,"241-014700-100",Plan!ao:ao)</f>
        <v>0</v>
      </c>
    </row>
    <row r="765" spans="1:41">
      <c r="A765" t="s">
        <v>78</v>
      </c>
      <c r="B765" t="s">
        <v>500</v>
      </c>
      <c r="C765" t="s">
        <v>501</v>
      </c>
      <c r="E765">
        <v>0.21875</v>
      </c>
      <c r="F765" t="s">
        <v>13</v>
      </c>
      <c r="H765" t="s">
        <v>16</v>
      </c>
      <c r="J765">
        <f>indirect(address(765,9))+indirect(address(763,10))-indirect(address(764,10))</f>
        <v>0</v>
      </c>
      <c r="K765">
        <f>indirect(address(765,10))+indirect(address(763,11))-indirect(address(764,11))</f>
        <v>0</v>
      </c>
      <c r="L765">
        <f>indirect(address(765,11))+indirect(address(763,12))-indirect(address(764,12))</f>
        <v>0</v>
      </c>
      <c r="M765">
        <f>indirect(address(765,12))+indirect(address(763,13))-indirect(address(764,13))</f>
        <v>0</v>
      </c>
      <c r="N765">
        <f>indirect(address(765,13))+indirect(address(763,14))-indirect(address(764,14))</f>
        <v>0</v>
      </c>
      <c r="O765">
        <f>indirect(address(765,14))+indirect(address(763,15))-indirect(address(764,15))</f>
        <v>0</v>
      </c>
      <c r="P765">
        <f>indirect(address(765,15))+indirect(address(763,16))-indirect(address(764,16))</f>
        <v>0</v>
      </c>
      <c r="Q765">
        <f>indirect(address(765,16))+indirect(address(763,17))-indirect(address(764,17))</f>
        <v>0</v>
      </c>
      <c r="R765">
        <f>indirect(address(765,17))+indirect(address(763,18))-indirect(address(764,18))</f>
        <v>0</v>
      </c>
      <c r="S765">
        <f>indirect(address(765,18))+indirect(address(763,19))-indirect(address(764,19))</f>
        <v>0</v>
      </c>
      <c r="T765">
        <f>indirect(address(765,19))+indirect(address(763,20))-indirect(address(764,20))</f>
        <v>0</v>
      </c>
      <c r="U765">
        <f>indirect(address(765,20))+indirect(address(763,21))-indirect(address(764,21))</f>
        <v>0</v>
      </c>
      <c r="V765">
        <f>indirect(address(765,21))+indirect(address(763,22))-indirect(address(764,22))</f>
        <v>0</v>
      </c>
      <c r="W765">
        <f>indirect(address(765,22))+indirect(address(763,23))-indirect(address(764,23))</f>
        <v>0</v>
      </c>
      <c r="X765">
        <f>indirect(address(765,23))+indirect(address(763,24))-indirect(address(764,24))</f>
        <v>0</v>
      </c>
      <c r="Y765">
        <f>indirect(address(765,24))+indirect(address(763,25))-indirect(address(764,25))</f>
        <v>0</v>
      </c>
      <c r="Z765">
        <f>indirect(address(765,25))+indirect(address(763,26))-indirect(address(764,26))</f>
        <v>0</v>
      </c>
      <c r="AA765">
        <f>indirect(address(765,26))+indirect(address(763,27))-indirect(address(764,27))</f>
        <v>0</v>
      </c>
      <c r="AB765">
        <f>indirect(address(765,27))+indirect(address(763,28))-indirect(address(764,28))</f>
        <v>0</v>
      </c>
      <c r="AC765">
        <f>indirect(address(765,28))+indirect(address(763,29))-indirect(address(764,29))</f>
        <v>0</v>
      </c>
      <c r="AD765">
        <f>indirect(address(765,29))+indirect(address(763,30))-indirect(address(764,30))</f>
        <v>0</v>
      </c>
      <c r="AE765">
        <f>indirect(address(765,30))+indirect(address(763,31))-indirect(address(764,31))</f>
        <v>0</v>
      </c>
      <c r="AF765">
        <f>indirect(address(765,31))+indirect(address(763,32))-indirect(address(764,32))</f>
        <v>0</v>
      </c>
      <c r="AG765">
        <f>indirect(address(765,32))+indirect(address(763,33))-indirect(address(764,33))</f>
        <v>0</v>
      </c>
      <c r="AH765">
        <f>indirect(address(765,33))+indirect(address(763,34))-indirect(address(764,34))</f>
        <v>0</v>
      </c>
      <c r="AI765">
        <f>indirect(address(765,34))+indirect(address(763,35))-indirect(address(764,35))</f>
        <v>0</v>
      </c>
      <c r="AJ765">
        <f>indirect(address(765,35))+indirect(address(763,36))-indirect(address(764,36))</f>
        <v>0</v>
      </c>
      <c r="AK765">
        <f>indirect(address(765,36))+indirect(address(763,37))-indirect(address(764,37))</f>
        <v>0</v>
      </c>
      <c r="AL765">
        <f>indirect(address(765,37))+indirect(address(763,38))-indirect(address(764,38))</f>
        <v>0</v>
      </c>
      <c r="AM765">
        <f>indirect(address(765,38))+indirect(address(763,39))-indirect(address(764,39))</f>
        <v>0</v>
      </c>
      <c r="AN765">
        <f>indirect(address(765,39))+indirect(address(763,40))-indirect(address(764,40))</f>
        <v>0</v>
      </c>
      <c r="AO765">
        <f>indirect(address(765,40))+indirect(address(763,41))-indirect(address(764,41))</f>
        <v>0</v>
      </c>
    </row>
    <row r="766" spans="1:41">
      <c r="I766" t="s">
        <v>14</v>
      </c>
      <c r="AO766">
        <f>sum(j766:an766)</f>
        <v>0</v>
      </c>
    </row>
    <row r="767" spans="1:41">
      <c r="I767" t="s">
        <v>15</v>
      </c>
      <c r="J767">
        <f>sumif(Plan!B:B,"806-376348-210",Plan!j:j)</f>
        <v>0</v>
      </c>
      <c r="K767">
        <f>sumif(Plan!B:B,"806-376348-210",Plan!k:k)</f>
        <v>0</v>
      </c>
      <c r="L767">
        <f>sumif(Plan!B:B,"806-376348-210",Plan!l:l)</f>
        <v>0</v>
      </c>
      <c r="M767">
        <f>sumif(Plan!B:B,"806-376348-210",Plan!m:m)</f>
        <v>0</v>
      </c>
      <c r="N767">
        <f>sumif(Plan!B:B,"806-376348-210",Plan!n:n)</f>
        <v>0</v>
      </c>
      <c r="O767">
        <f>sumif(Plan!B:B,"806-376348-210",Plan!o:o)</f>
        <v>0</v>
      </c>
      <c r="P767">
        <f>sumif(Plan!B:B,"806-376348-210",Plan!p:p)</f>
        <v>0</v>
      </c>
      <c r="Q767">
        <f>sumif(Plan!B:B,"806-376348-210",Plan!q:q)</f>
        <v>0</v>
      </c>
      <c r="R767">
        <f>sumif(Plan!B:B,"806-376348-210",Plan!r:r)</f>
        <v>0</v>
      </c>
      <c r="S767">
        <f>sumif(Plan!B:B,"806-376348-210",Plan!s:s)</f>
        <v>0</v>
      </c>
      <c r="T767">
        <f>sumif(Plan!B:B,"806-376348-210",Plan!t:t)</f>
        <v>0</v>
      </c>
      <c r="U767">
        <f>sumif(Plan!B:B,"806-376348-210",Plan!u:u)</f>
        <v>0</v>
      </c>
      <c r="V767">
        <f>sumif(Plan!B:B,"806-376348-210",Plan!v:v)</f>
        <v>0</v>
      </c>
      <c r="W767">
        <f>sumif(Plan!B:B,"806-376348-210",Plan!w:w)</f>
        <v>0</v>
      </c>
      <c r="X767">
        <f>sumif(Plan!B:B,"806-376348-210",Plan!x:x)</f>
        <v>0</v>
      </c>
      <c r="Y767">
        <f>sumif(Plan!B:B,"806-376348-210",Plan!y:y)</f>
        <v>0</v>
      </c>
      <c r="Z767">
        <f>sumif(Plan!B:B,"806-376348-210",Plan!z:z)</f>
        <v>0</v>
      </c>
      <c r="AA767">
        <f>sumif(Plan!B:B,"806-376348-210",Plan!aa:aa)</f>
        <v>0</v>
      </c>
      <c r="AB767">
        <f>sumif(Plan!B:B,"806-376348-210",Plan!ab:ab)</f>
        <v>0</v>
      </c>
      <c r="AC767">
        <f>sumif(Plan!B:B,"806-376348-210",Plan!ac:ac)</f>
        <v>0</v>
      </c>
      <c r="AD767">
        <f>sumif(Plan!B:B,"806-376348-210",Plan!ad:ad)</f>
        <v>0</v>
      </c>
      <c r="AE767">
        <f>sumif(Plan!B:B,"806-376348-210",Plan!ae:ae)</f>
        <v>0</v>
      </c>
      <c r="AF767">
        <f>sumif(Plan!B:B,"806-376348-210",Plan!af:af)</f>
        <v>0</v>
      </c>
      <c r="AG767">
        <f>sumif(Plan!B:B,"806-376348-210",Plan!ag:ag)</f>
        <v>0</v>
      </c>
      <c r="AH767">
        <f>sumif(Plan!B:B,"806-376348-210",Plan!ah:ah)</f>
        <v>0</v>
      </c>
      <c r="AI767">
        <f>sumif(Plan!B:B,"806-376348-210",Plan!ai:ai)</f>
        <v>0</v>
      </c>
      <c r="AJ767">
        <f>sumif(Plan!B:B,"806-376348-210",Plan!aj:aj)</f>
        <v>0</v>
      </c>
      <c r="AK767">
        <f>sumif(Plan!B:B,"806-376348-210",Plan!ak:ak)</f>
        <v>0</v>
      </c>
      <c r="AL767">
        <f>sumif(Plan!B:B,"806-376348-210",Plan!al:al)</f>
        <v>0</v>
      </c>
      <c r="AM767">
        <f>sumif(Plan!B:B,"806-376348-210",Plan!am:am)</f>
        <v>0</v>
      </c>
      <c r="AN767">
        <f>sumif(Plan!B:B,"806-376348-210",Plan!an:an)</f>
        <v>0</v>
      </c>
      <c r="AO767">
        <f>sumif(Plan!B:B,"806-376348-210",Plan!ao:ao)</f>
        <v>0</v>
      </c>
    </row>
    <row r="768" spans="1:41">
      <c r="A768" t="s">
        <v>17</v>
      </c>
      <c r="B768" t="s">
        <v>504</v>
      </c>
      <c r="C768" t="s">
        <v>505</v>
      </c>
      <c r="E768">
        <v>1</v>
      </c>
      <c r="F768" t="s">
        <v>13</v>
      </c>
      <c r="H768" t="s">
        <v>16</v>
      </c>
      <c r="J768">
        <f>indirect(address(768,9))+indirect(address(766,10))-indirect(address(767,10))</f>
        <v>0</v>
      </c>
      <c r="K768">
        <f>indirect(address(768,10))+indirect(address(766,11))-indirect(address(767,11))</f>
        <v>0</v>
      </c>
      <c r="L768">
        <f>indirect(address(768,11))+indirect(address(766,12))-indirect(address(767,12))</f>
        <v>0</v>
      </c>
      <c r="M768">
        <f>indirect(address(768,12))+indirect(address(766,13))-indirect(address(767,13))</f>
        <v>0</v>
      </c>
      <c r="N768">
        <f>indirect(address(768,13))+indirect(address(766,14))-indirect(address(767,14))</f>
        <v>0</v>
      </c>
      <c r="O768">
        <f>indirect(address(768,14))+indirect(address(766,15))-indirect(address(767,15))</f>
        <v>0</v>
      </c>
      <c r="P768">
        <f>indirect(address(768,15))+indirect(address(766,16))-indirect(address(767,16))</f>
        <v>0</v>
      </c>
      <c r="Q768">
        <f>indirect(address(768,16))+indirect(address(766,17))-indirect(address(767,17))</f>
        <v>0</v>
      </c>
      <c r="R768">
        <f>indirect(address(768,17))+indirect(address(766,18))-indirect(address(767,18))</f>
        <v>0</v>
      </c>
      <c r="S768">
        <f>indirect(address(768,18))+indirect(address(766,19))-indirect(address(767,19))</f>
        <v>0</v>
      </c>
      <c r="T768">
        <f>indirect(address(768,19))+indirect(address(766,20))-indirect(address(767,20))</f>
        <v>0</v>
      </c>
      <c r="U768">
        <f>indirect(address(768,20))+indirect(address(766,21))-indirect(address(767,21))</f>
        <v>0</v>
      </c>
      <c r="V768">
        <f>indirect(address(768,21))+indirect(address(766,22))-indirect(address(767,22))</f>
        <v>0</v>
      </c>
      <c r="W768">
        <f>indirect(address(768,22))+indirect(address(766,23))-indirect(address(767,23))</f>
        <v>0</v>
      </c>
      <c r="X768">
        <f>indirect(address(768,23))+indirect(address(766,24))-indirect(address(767,24))</f>
        <v>0</v>
      </c>
      <c r="Y768">
        <f>indirect(address(768,24))+indirect(address(766,25))-indirect(address(767,25))</f>
        <v>0</v>
      </c>
      <c r="Z768">
        <f>indirect(address(768,25))+indirect(address(766,26))-indirect(address(767,26))</f>
        <v>0</v>
      </c>
      <c r="AA768">
        <f>indirect(address(768,26))+indirect(address(766,27))-indirect(address(767,27))</f>
        <v>0</v>
      </c>
      <c r="AB768">
        <f>indirect(address(768,27))+indirect(address(766,28))-indirect(address(767,28))</f>
        <v>0</v>
      </c>
      <c r="AC768">
        <f>indirect(address(768,28))+indirect(address(766,29))-indirect(address(767,29))</f>
        <v>0</v>
      </c>
      <c r="AD768">
        <f>indirect(address(768,29))+indirect(address(766,30))-indirect(address(767,30))</f>
        <v>0</v>
      </c>
      <c r="AE768">
        <f>indirect(address(768,30))+indirect(address(766,31))-indirect(address(767,31))</f>
        <v>0</v>
      </c>
      <c r="AF768">
        <f>indirect(address(768,31))+indirect(address(766,32))-indirect(address(767,32))</f>
        <v>0</v>
      </c>
      <c r="AG768">
        <f>indirect(address(768,32))+indirect(address(766,33))-indirect(address(767,33))</f>
        <v>0</v>
      </c>
      <c r="AH768">
        <f>indirect(address(768,33))+indirect(address(766,34))-indirect(address(767,34))</f>
        <v>0</v>
      </c>
      <c r="AI768">
        <f>indirect(address(768,34))+indirect(address(766,35))-indirect(address(767,35))</f>
        <v>0</v>
      </c>
      <c r="AJ768">
        <f>indirect(address(768,35))+indirect(address(766,36))-indirect(address(767,36))</f>
        <v>0</v>
      </c>
      <c r="AK768">
        <f>indirect(address(768,36))+indirect(address(766,37))-indirect(address(767,37))</f>
        <v>0</v>
      </c>
      <c r="AL768">
        <f>indirect(address(768,37))+indirect(address(766,38))-indirect(address(767,38))</f>
        <v>0</v>
      </c>
      <c r="AM768">
        <f>indirect(address(768,38))+indirect(address(766,39))-indirect(address(767,39))</f>
        <v>0</v>
      </c>
      <c r="AN768">
        <f>indirect(address(768,39))+indirect(address(766,40))-indirect(address(767,40))</f>
        <v>0</v>
      </c>
      <c r="AO768">
        <f>indirect(address(768,40))+indirect(address(766,41))-indirect(address(767,41))</f>
        <v>0</v>
      </c>
    </row>
    <row r="769" spans="1:41">
      <c r="I769" t="s">
        <v>14</v>
      </c>
      <c r="AO769">
        <f>sum(j769:an769)</f>
        <v>0</v>
      </c>
    </row>
    <row r="770" spans="1:41">
      <c r="I770" t="s">
        <v>15</v>
      </c>
      <c r="J770">
        <f>sumif(Plan!B:B,"906-390348-210",Plan!j:j)</f>
        <v>0</v>
      </c>
      <c r="K770">
        <f>sumif(Plan!B:B,"906-390348-210",Plan!k:k)</f>
        <v>0</v>
      </c>
      <c r="L770">
        <f>sumif(Plan!B:B,"906-390348-210",Plan!l:l)</f>
        <v>0</v>
      </c>
      <c r="M770">
        <f>sumif(Plan!B:B,"906-390348-210",Plan!m:m)</f>
        <v>0</v>
      </c>
      <c r="N770">
        <f>sumif(Plan!B:B,"906-390348-210",Plan!n:n)</f>
        <v>0</v>
      </c>
      <c r="O770">
        <f>sumif(Plan!B:B,"906-390348-210",Plan!o:o)</f>
        <v>0</v>
      </c>
      <c r="P770">
        <f>sumif(Plan!B:B,"906-390348-210",Plan!p:p)</f>
        <v>0</v>
      </c>
      <c r="Q770">
        <f>sumif(Plan!B:B,"906-390348-210",Plan!q:q)</f>
        <v>0</v>
      </c>
      <c r="R770">
        <f>sumif(Plan!B:B,"906-390348-210",Plan!r:r)</f>
        <v>0</v>
      </c>
      <c r="S770">
        <f>sumif(Plan!B:B,"906-390348-210",Plan!s:s)</f>
        <v>0</v>
      </c>
      <c r="T770">
        <f>sumif(Plan!B:B,"906-390348-210",Plan!t:t)</f>
        <v>0</v>
      </c>
      <c r="U770">
        <f>sumif(Plan!B:B,"906-390348-210",Plan!u:u)</f>
        <v>0</v>
      </c>
      <c r="V770">
        <f>sumif(Plan!B:B,"906-390348-210",Plan!v:v)</f>
        <v>0</v>
      </c>
      <c r="W770">
        <f>sumif(Plan!B:B,"906-390348-210",Plan!w:w)</f>
        <v>0</v>
      </c>
      <c r="X770">
        <f>sumif(Plan!B:B,"906-390348-210",Plan!x:x)</f>
        <v>0</v>
      </c>
      <c r="Y770">
        <f>sumif(Plan!B:B,"906-390348-210",Plan!y:y)</f>
        <v>0</v>
      </c>
      <c r="Z770">
        <f>sumif(Plan!B:B,"906-390348-210",Plan!z:z)</f>
        <v>0</v>
      </c>
      <c r="AA770">
        <f>sumif(Plan!B:B,"906-390348-210",Plan!aa:aa)</f>
        <v>0</v>
      </c>
      <c r="AB770">
        <f>sumif(Plan!B:B,"906-390348-210",Plan!ab:ab)</f>
        <v>0</v>
      </c>
      <c r="AC770">
        <f>sumif(Plan!B:B,"906-390348-210",Plan!ac:ac)</f>
        <v>0</v>
      </c>
      <c r="AD770">
        <f>sumif(Plan!B:B,"906-390348-210",Plan!ad:ad)</f>
        <v>0</v>
      </c>
      <c r="AE770">
        <f>sumif(Plan!B:B,"906-390348-210",Plan!ae:ae)</f>
        <v>0</v>
      </c>
      <c r="AF770">
        <f>sumif(Plan!B:B,"906-390348-210",Plan!af:af)</f>
        <v>0</v>
      </c>
      <c r="AG770">
        <f>sumif(Plan!B:B,"906-390348-210",Plan!ag:ag)</f>
        <v>0</v>
      </c>
      <c r="AH770">
        <f>sumif(Plan!B:B,"906-390348-210",Plan!ah:ah)</f>
        <v>0</v>
      </c>
      <c r="AI770">
        <f>sumif(Plan!B:B,"906-390348-210",Plan!ai:ai)</f>
        <v>0</v>
      </c>
      <c r="AJ770">
        <f>sumif(Plan!B:B,"906-390348-210",Plan!aj:aj)</f>
        <v>0</v>
      </c>
      <c r="AK770">
        <f>sumif(Plan!B:B,"906-390348-210",Plan!ak:ak)</f>
        <v>0</v>
      </c>
      <c r="AL770">
        <f>sumif(Plan!B:B,"906-390348-210",Plan!al:al)</f>
        <v>0</v>
      </c>
      <c r="AM770">
        <f>sumif(Plan!B:B,"906-390348-210",Plan!am:am)</f>
        <v>0</v>
      </c>
      <c r="AN770">
        <f>sumif(Plan!B:B,"906-390348-210",Plan!an:an)</f>
        <v>0</v>
      </c>
      <c r="AO770">
        <f>sumif(Plan!B:B,"906-390348-210",Plan!ao:ao)</f>
        <v>0</v>
      </c>
    </row>
    <row r="771" spans="1:41">
      <c r="A771" t="s">
        <v>17</v>
      </c>
      <c r="B771" t="s">
        <v>506</v>
      </c>
      <c r="C771" t="s">
        <v>507</v>
      </c>
      <c r="E771">
        <v>1</v>
      </c>
      <c r="F771" t="s">
        <v>13</v>
      </c>
      <c r="H771" t="s">
        <v>16</v>
      </c>
      <c r="J771">
        <f>indirect(address(771,9))+indirect(address(769,10))-indirect(address(770,10))</f>
        <v>0</v>
      </c>
      <c r="K771">
        <f>indirect(address(771,10))+indirect(address(769,11))-indirect(address(770,11))</f>
        <v>0</v>
      </c>
      <c r="L771">
        <f>indirect(address(771,11))+indirect(address(769,12))-indirect(address(770,12))</f>
        <v>0</v>
      </c>
      <c r="M771">
        <f>indirect(address(771,12))+indirect(address(769,13))-indirect(address(770,13))</f>
        <v>0</v>
      </c>
      <c r="N771">
        <f>indirect(address(771,13))+indirect(address(769,14))-indirect(address(770,14))</f>
        <v>0</v>
      </c>
      <c r="O771">
        <f>indirect(address(771,14))+indirect(address(769,15))-indirect(address(770,15))</f>
        <v>0</v>
      </c>
      <c r="P771">
        <f>indirect(address(771,15))+indirect(address(769,16))-indirect(address(770,16))</f>
        <v>0</v>
      </c>
      <c r="Q771">
        <f>indirect(address(771,16))+indirect(address(769,17))-indirect(address(770,17))</f>
        <v>0</v>
      </c>
      <c r="R771">
        <f>indirect(address(771,17))+indirect(address(769,18))-indirect(address(770,18))</f>
        <v>0</v>
      </c>
      <c r="S771">
        <f>indirect(address(771,18))+indirect(address(769,19))-indirect(address(770,19))</f>
        <v>0</v>
      </c>
      <c r="T771">
        <f>indirect(address(771,19))+indirect(address(769,20))-indirect(address(770,20))</f>
        <v>0</v>
      </c>
      <c r="U771">
        <f>indirect(address(771,20))+indirect(address(769,21))-indirect(address(770,21))</f>
        <v>0</v>
      </c>
      <c r="V771">
        <f>indirect(address(771,21))+indirect(address(769,22))-indirect(address(770,22))</f>
        <v>0</v>
      </c>
      <c r="W771">
        <f>indirect(address(771,22))+indirect(address(769,23))-indirect(address(770,23))</f>
        <v>0</v>
      </c>
      <c r="X771">
        <f>indirect(address(771,23))+indirect(address(769,24))-indirect(address(770,24))</f>
        <v>0</v>
      </c>
      <c r="Y771">
        <f>indirect(address(771,24))+indirect(address(769,25))-indirect(address(770,25))</f>
        <v>0</v>
      </c>
      <c r="Z771">
        <f>indirect(address(771,25))+indirect(address(769,26))-indirect(address(770,26))</f>
        <v>0</v>
      </c>
      <c r="AA771">
        <f>indirect(address(771,26))+indirect(address(769,27))-indirect(address(770,27))</f>
        <v>0</v>
      </c>
      <c r="AB771">
        <f>indirect(address(771,27))+indirect(address(769,28))-indirect(address(770,28))</f>
        <v>0</v>
      </c>
      <c r="AC771">
        <f>indirect(address(771,28))+indirect(address(769,29))-indirect(address(770,29))</f>
        <v>0</v>
      </c>
      <c r="AD771">
        <f>indirect(address(771,29))+indirect(address(769,30))-indirect(address(770,30))</f>
        <v>0</v>
      </c>
      <c r="AE771">
        <f>indirect(address(771,30))+indirect(address(769,31))-indirect(address(770,31))</f>
        <v>0</v>
      </c>
      <c r="AF771">
        <f>indirect(address(771,31))+indirect(address(769,32))-indirect(address(770,32))</f>
        <v>0</v>
      </c>
      <c r="AG771">
        <f>indirect(address(771,32))+indirect(address(769,33))-indirect(address(770,33))</f>
        <v>0</v>
      </c>
      <c r="AH771">
        <f>indirect(address(771,33))+indirect(address(769,34))-indirect(address(770,34))</f>
        <v>0</v>
      </c>
      <c r="AI771">
        <f>indirect(address(771,34))+indirect(address(769,35))-indirect(address(770,35))</f>
        <v>0</v>
      </c>
      <c r="AJ771">
        <f>indirect(address(771,35))+indirect(address(769,36))-indirect(address(770,36))</f>
        <v>0</v>
      </c>
      <c r="AK771">
        <f>indirect(address(771,36))+indirect(address(769,37))-indirect(address(770,37))</f>
        <v>0</v>
      </c>
      <c r="AL771">
        <f>indirect(address(771,37))+indirect(address(769,38))-indirect(address(770,38))</f>
        <v>0</v>
      </c>
      <c r="AM771">
        <f>indirect(address(771,38))+indirect(address(769,39))-indirect(address(770,39))</f>
        <v>0</v>
      </c>
      <c r="AN771">
        <f>indirect(address(771,39))+indirect(address(769,40))-indirect(address(770,40))</f>
        <v>0</v>
      </c>
      <c r="AO771">
        <f>indirect(address(771,40))+indirect(address(769,41))-indirect(address(770,41))</f>
        <v>0</v>
      </c>
    </row>
    <row r="772" spans="1:41">
      <c r="I772" t="s">
        <v>14</v>
      </c>
      <c r="AO772">
        <f>sum(j772:an772)</f>
        <v>0</v>
      </c>
    </row>
    <row r="773" spans="1:41">
      <c r="I773" t="s">
        <v>15</v>
      </c>
      <c r="J773">
        <f>sumif(Plan!B:B,"261-000000-000",Plan!j:j)</f>
        <v>0</v>
      </c>
      <c r="K773">
        <f>sumif(Plan!B:B,"261-000000-000",Plan!k:k)</f>
        <v>0</v>
      </c>
      <c r="L773">
        <f>sumif(Plan!B:B,"261-000000-000",Plan!l:l)</f>
        <v>0</v>
      </c>
      <c r="M773">
        <f>sumif(Plan!B:B,"261-000000-000",Plan!m:m)</f>
        <v>0</v>
      </c>
      <c r="N773">
        <f>sumif(Plan!B:B,"261-000000-000",Plan!n:n)</f>
        <v>0</v>
      </c>
      <c r="O773">
        <f>sumif(Plan!B:B,"261-000000-000",Plan!o:o)</f>
        <v>0</v>
      </c>
      <c r="P773">
        <f>sumif(Plan!B:B,"261-000000-000",Plan!p:p)</f>
        <v>0</v>
      </c>
      <c r="Q773">
        <f>sumif(Plan!B:B,"261-000000-000",Plan!q:q)</f>
        <v>0</v>
      </c>
      <c r="R773">
        <f>sumif(Plan!B:B,"261-000000-000",Plan!r:r)</f>
        <v>0</v>
      </c>
      <c r="S773">
        <f>sumif(Plan!B:B,"261-000000-000",Plan!s:s)</f>
        <v>0</v>
      </c>
      <c r="T773">
        <f>sumif(Plan!B:B,"261-000000-000",Plan!t:t)</f>
        <v>0</v>
      </c>
      <c r="U773">
        <f>sumif(Plan!B:B,"261-000000-000",Plan!u:u)</f>
        <v>0</v>
      </c>
      <c r="V773">
        <f>sumif(Plan!B:B,"261-000000-000",Plan!v:v)</f>
        <v>0</v>
      </c>
      <c r="W773">
        <f>sumif(Plan!B:B,"261-000000-000",Plan!w:w)</f>
        <v>0</v>
      </c>
      <c r="X773">
        <f>sumif(Plan!B:B,"261-000000-000",Plan!x:x)</f>
        <v>0</v>
      </c>
      <c r="Y773">
        <f>sumif(Plan!B:B,"261-000000-000",Plan!y:y)</f>
        <v>0</v>
      </c>
      <c r="Z773">
        <f>sumif(Plan!B:B,"261-000000-000",Plan!z:z)</f>
        <v>0</v>
      </c>
      <c r="AA773">
        <f>sumif(Plan!B:B,"261-000000-000",Plan!aa:aa)</f>
        <v>0</v>
      </c>
      <c r="AB773">
        <f>sumif(Plan!B:B,"261-000000-000",Plan!ab:ab)</f>
        <v>0</v>
      </c>
      <c r="AC773">
        <f>sumif(Plan!B:B,"261-000000-000",Plan!ac:ac)</f>
        <v>0</v>
      </c>
      <c r="AD773">
        <f>sumif(Plan!B:B,"261-000000-000",Plan!ad:ad)</f>
        <v>0</v>
      </c>
      <c r="AE773">
        <f>sumif(Plan!B:B,"261-000000-000",Plan!ae:ae)</f>
        <v>0</v>
      </c>
      <c r="AF773">
        <f>sumif(Plan!B:B,"261-000000-000",Plan!af:af)</f>
        <v>0</v>
      </c>
      <c r="AG773">
        <f>sumif(Plan!B:B,"261-000000-000",Plan!ag:ag)</f>
        <v>0</v>
      </c>
      <c r="AH773">
        <f>sumif(Plan!B:B,"261-000000-000",Plan!ah:ah)</f>
        <v>0</v>
      </c>
      <c r="AI773">
        <f>sumif(Plan!B:B,"261-000000-000",Plan!ai:ai)</f>
        <v>0</v>
      </c>
      <c r="AJ773">
        <f>sumif(Plan!B:B,"261-000000-000",Plan!aj:aj)</f>
        <v>0</v>
      </c>
      <c r="AK773">
        <f>sumif(Plan!B:B,"261-000000-000",Plan!ak:ak)</f>
        <v>0</v>
      </c>
      <c r="AL773">
        <f>sumif(Plan!B:B,"261-000000-000",Plan!al:al)</f>
        <v>0</v>
      </c>
      <c r="AM773">
        <f>sumif(Plan!B:B,"261-000000-000",Plan!am:am)</f>
        <v>0</v>
      </c>
      <c r="AN773">
        <f>sumif(Plan!B:B,"261-000000-000",Plan!an:an)</f>
        <v>0</v>
      </c>
      <c r="AO773">
        <f>sumif(Plan!B:B,"261-000000-000",Plan!ao:ao)</f>
        <v>0</v>
      </c>
    </row>
    <row r="774" spans="1:41">
      <c r="A774" t="s">
        <v>22</v>
      </c>
      <c r="B774" t="s">
        <v>508</v>
      </c>
      <c r="C774" t="s">
        <v>509</v>
      </c>
      <c r="E774">
        <v>2</v>
      </c>
      <c r="F774" t="s">
        <v>13</v>
      </c>
      <c r="H774" t="s">
        <v>16</v>
      </c>
      <c r="J774">
        <f>indirect(address(774,9))+indirect(address(772,10))-indirect(address(773,10))</f>
        <v>0</v>
      </c>
      <c r="K774">
        <f>indirect(address(774,10))+indirect(address(772,11))-indirect(address(773,11))</f>
        <v>0</v>
      </c>
      <c r="L774">
        <f>indirect(address(774,11))+indirect(address(772,12))-indirect(address(773,12))</f>
        <v>0</v>
      </c>
      <c r="M774">
        <f>indirect(address(774,12))+indirect(address(772,13))-indirect(address(773,13))</f>
        <v>0</v>
      </c>
      <c r="N774">
        <f>indirect(address(774,13))+indirect(address(772,14))-indirect(address(773,14))</f>
        <v>0</v>
      </c>
      <c r="O774">
        <f>indirect(address(774,14))+indirect(address(772,15))-indirect(address(773,15))</f>
        <v>0</v>
      </c>
      <c r="P774">
        <f>indirect(address(774,15))+indirect(address(772,16))-indirect(address(773,16))</f>
        <v>0</v>
      </c>
      <c r="Q774">
        <f>indirect(address(774,16))+indirect(address(772,17))-indirect(address(773,17))</f>
        <v>0</v>
      </c>
      <c r="R774">
        <f>indirect(address(774,17))+indirect(address(772,18))-indirect(address(773,18))</f>
        <v>0</v>
      </c>
      <c r="S774">
        <f>indirect(address(774,18))+indirect(address(772,19))-indirect(address(773,19))</f>
        <v>0</v>
      </c>
      <c r="T774">
        <f>indirect(address(774,19))+indirect(address(772,20))-indirect(address(773,20))</f>
        <v>0</v>
      </c>
      <c r="U774">
        <f>indirect(address(774,20))+indirect(address(772,21))-indirect(address(773,21))</f>
        <v>0</v>
      </c>
      <c r="V774">
        <f>indirect(address(774,21))+indirect(address(772,22))-indirect(address(773,22))</f>
        <v>0</v>
      </c>
      <c r="W774">
        <f>indirect(address(774,22))+indirect(address(772,23))-indirect(address(773,23))</f>
        <v>0</v>
      </c>
      <c r="X774">
        <f>indirect(address(774,23))+indirect(address(772,24))-indirect(address(773,24))</f>
        <v>0</v>
      </c>
      <c r="Y774">
        <f>indirect(address(774,24))+indirect(address(772,25))-indirect(address(773,25))</f>
        <v>0</v>
      </c>
      <c r="Z774">
        <f>indirect(address(774,25))+indirect(address(772,26))-indirect(address(773,26))</f>
        <v>0</v>
      </c>
      <c r="AA774">
        <f>indirect(address(774,26))+indirect(address(772,27))-indirect(address(773,27))</f>
        <v>0</v>
      </c>
      <c r="AB774">
        <f>indirect(address(774,27))+indirect(address(772,28))-indirect(address(773,28))</f>
        <v>0</v>
      </c>
      <c r="AC774">
        <f>indirect(address(774,28))+indirect(address(772,29))-indirect(address(773,29))</f>
        <v>0</v>
      </c>
      <c r="AD774">
        <f>indirect(address(774,29))+indirect(address(772,30))-indirect(address(773,30))</f>
        <v>0</v>
      </c>
      <c r="AE774">
        <f>indirect(address(774,30))+indirect(address(772,31))-indirect(address(773,31))</f>
        <v>0</v>
      </c>
      <c r="AF774">
        <f>indirect(address(774,31))+indirect(address(772,32))-indirect(address(773,32))</f>
        <v>0</v>
      </c>
      <c r="AG774">
        <f>indirect(address(774,32))+indirect(address(772,33))-indirect(address(773,33))</f>
        <v>0</v>
      </c>
      <c r="AH774">
        <f>indirect(address(774,33))+indirect(address(772,34))-indirect(address(773,34))</f>
        <v>0</v>
      </c>
      <c r="AI774">
        <f>indirect(address(774,34))+indirect(address(772,35))-indirect(address(773,35))</f>
        <v>0</v>
      </c>
      <c r="AJ774">
        <f>indirect(address(774,35))+indirect(address(772,36))-indirect(address(773,36))</f>
        <v>0</v>
      </c>
      <c r="AK774">
        <f>indirect(address(774,36))+indirect(address(772,37))-indirect(address(773,37))</f>
        <v>0</v>
      </c>
      <c r="AL774">
        <f>indirect(address(774,37))+indirect(address(772,38))-indirect(address(773,38))</f>
        <v>0</v>
      </c>
      <c r="AM774">
        <f>indirect(address(774,38))+indirect(address(772,39))-indirect(address(773,39))</f>
        <v>0</v>
      </c>
      <c r="AN774">
        <f>indirect(address(774,39))+indirect(address(772,40))-indirect(address(773,40))</f>
        <v>0</v>
      </c>
      <c r="AO774">
        <f>indirect(address(774,40))+indirect(address(772,41))-indirect(address(773,41))</f>
        <v>0</v>
      </c>
    </row>
    <row r="775" spans="1:41">
      <c r="I775" t="s">
        <v>14</v>
      </c>
      <c r="AO775">
        <f>sum(j775:an775)</f>
        <v>0</v>
      </c>
    </row>
    <row r="776" spans="1:41">
      <c r="I776" t="s">
        <v>15</v>
      </c>
      <c r="J776">
        <f>sumif(Plan!B:B,"263-000000-024",Plan!j:j)</f>
        <v>0</v>
      </c>
      <c r="K776">
        <f>sumif(Plan!B:B,"263-000000-024",Plan!k:k)</f>
        <v>0</v>
      </c>
      <c r="L776">
        <f>sumif(Plan!B:B,"263-000000-024",Plan!l:l)</f>
        <v>0</v>
      </c>
      <c r="M776">
        <f>sumif(Plan!B:B,"263-000000-024",Plan!m:m)</f>
        <v>0</v>
      </c>
      <c r="N776">
        <f>sumif(Plan!B:B,"263-000000-024",Plan!n:n)</f>
        <v>0</v>
      </c>
      <c r="O776">
        <f>sumif(Plan!B:B,"263-000000-024",Plan!o:o)</f>
        <v>0</v>
      </c>
      <c r="P776">
        <f>sumif(Plan!B:B,"263-000000-024",Plan!p:p)</f>
        <v>0</v>
      </c>
      <c r="Q776">
        <f>sumif(Plan!B:B,"263-000000-024",Plan!q:q)</f>
        <v>0</v>
      </c>
      <c r="R776">
        <f>sumif(Plan!B:B,"263-000000-024",Plan!r:r)</f>
        <v>0</v>
      </c>
      <c r="S776">
        <f>sumif(Plan!B:B,"263-000000-024",Plan!s:s)</f>
        <v>0</v>
      </c>
      <c r="T776">
        <f>sumif(Plan!B:B,"263-000000-024",Plan!t:t)</f>
        <v>0</v>
      </c>
      <c r="U776">
        <f>sumif(Plan!B:B,"263-000000-024",Plan!u:u)</f>
        <v>0</v>
      </c>
      <c r="V776">
        <f>sumif(Plan!B:B,"263-000000-024",Plan!v:v)</f>
        <v>0</v>
      </c>
      <c r="W776">
        <f>sumif(Plan!B:B,"263-000000-024",Plan!w:w)</f>
        <v>0</v>
      </c>
      <c r="X776">
        <f>sumif(Plan!B:B,"263-000000-024",Plan!x:x)</f>
        <v>0</v>
      </c>
      <c r="Y776">
        <f>sumif(Plan!B:B,"263-000000-024",Plan!y:y)</f>
        <v>0</v>
      </c>
      <c r="Z776">
        <f>sumif(Plan!B:B,"263-000000-024",Plan!z:z)</f>
        <v>0</v>
      </c>
      <c r="AA776">
        <f>sumif(Plan!B:B,"263-000000-024",Plan!aa:aa)</f>
        <v>0</v>
      </c>
      <c r="AB776">
        <f>sumif(Plan!B:B,"263-000000-024",Plan!ab:ab)</f>
        <v>0</v>
      </c>
      <c r="AC776">
        <f>sumif(Plan!B:B,"263-000000-024",Plan!ac:ac)</f>
        <v>0</v>
      </c>
      <c r="AD776">
        <f>sumif(Plan!B:B,"263-000000-024",Plan!ad:ad)</f>
        <v>0</v>
      </c>
      <c r="AE776">
        <f>sumif(Plan!B:B,"263-000000-024",Plan!ae:ae)</f>
        <v>0</v>
      </c>
      <c r="AF776">
        <f>sumif(Plan!B:B,"263-000000-024",Plan!af:af)</f>
        <v>0</v>
      </c>
      <c r="AG776">
        <f>sumif(Plan!B:B,"263-000000-024",Plan!ag:ag)</f>
        <v>0</v>
      </c>
      <c r="AH776">
        <f>sumif(Plan!B:B,"263-000000-024",Plan!ah:ah)</f>
        <v>0</v>
      </c>
      <c r="AI776">
        <f>sumif(Plan!B:B,"263-000000-024",Plan!ai:ai)</f>
        <v>0</v>
      </c>
      <c r="AJ776">
        <f>sumif(Plan!B:B,"263-000000-024",Plan!aj:aj)</f>
        <v>0</v>
      </c>
      <c r="AK776">
        <f>sumif(Plan!B:B,"263-000000-024",Plan!ak:ak)</f>
        <v>0</v>
      </c>
      <c r="AL776">
        <f>sumif(Plan!B:B,"263-000000-024",Plan!al:al)</f>
        <v>0</v>
      </c>
      <c r="AM776">
        <f>sumif(Plan!B:B,"263-000000-024",Plan!am:am)</f>
        <v>0</v>
      </c>
      <c r="AN776">
        <f>sumif(Plan!B:B,"263-000000-024",Plan!an:an)</f>
        <v>0</v>
      </c>
      <c r="AO776">
        <f>sumif(Plan!B:B,"263-000000-024",Plan!ao:ao)</f>
        <v>0</v>
      </c>
    </row>
    <row r="777" spans="1:41">
      <c r="A777" t="s">
        <v>22</v>
      </c>
      <c r="B777" t="s">
        <v>510</v>
      </c>
      <c r="C777" t="s">
        <v>511</v>
      </c>
      <c r="E777">
        <v>7</v>
      </c>
      <c r="F777" t="s">
        <v>13</v>
      </c>
      <c r="H777" t="s">
        <v>16</v>
      </c>
      <c r="J777">
        <f>indirect(address(777,9))+indirect(address(775,10))-indirect(address(776,10))</f>
        <v>0</v>
      </c>
      <c r="K777">
        <f>indirect(address(777,10))+indirect(address(775,11))-indirect(address(776,11))</f>
        <v>0</v>
      </c>
      <c r="L777">
        <f>indirect(address(777,11))+indirect(address(775,12))-indirect(address(776,12))</f>
        <v>0</v>
      </c>
      <c r="M777">
        <f>indirect(address(777,12))+indirect(address(775,13))-indirect(address(776,13))</f>
        <v>0</v>
      </c>
      <c r="N777">
        <f>indirect(address(777,13))+indirect(address(775,14))-indirect(address(776,14))</f>
        <v>0</v>
      </c>
      <c r="O777">
        <f>indirect(address(777,14))+indirect(address(775,15))-indirect(address(776,15))</f>
        <v>0</v>
      </c>
      <c r="P777">
        <f>indirect(address(777,15))+indirect(address(775,16))-indirect(address(776,16))</f>
        <v>0</v>
      </c>
      <c r="Q777">
        <f>indirect(address(777,16))+indirect(address(775,17))-indirect(address(776,17))</f>
        <v>0</v>
      </c>
      <c r="R777">
        <f>indirect(address(777,17))+indirect(address(775,18))-indirect(address(776,18))</f>
        <v>0</v>
      </c>
      <c r="S777">
        <f>indirect(address(777,18))+indirect(address(775,19))-indirect(address(776,19))</f>
        <v>0</v>
      </c>
      <c r="T777">
        <f>indirect(address(777,19))+indirect(address(775,20))-indirect(address(776,20))</f>
        <v>0</v>
      </c>
      <c r="U777">
        <f>indirect(address(777,20))+indirect(address(775,21))-indirect(address(776,21))</f>
        <v>0</v>
      </c>
      <c r="V777">
        <f>indirect(address(777,21))+indirect(address(775,22))-indirect(address(776,22))</f>
        <v>0</v>
      </c>
      <c r="W777">
        <f>indirect(address(777,22))+indirect(address(775,23))-indirect(address(776,23))</f>
        <v>0</v>
      </c>
      <c r="X777">
        <f>indirect(address(777,23))+indirect(address(775,24))-indirect(address(776,24))</f>
        <v>0</v>
      </c>
      <c r="Y777">
        <f>indirect(address(777,24))+indirect(address(775,25))-indirect(address(776,25))</f>
        <v>0</v>
      </c>
      <c r="Z777">
        <f>indirect(address(777,25))+indirect(address(775,26))-indirect(address(776,26))</f>
        <v>0</v>
      </c>
      <c r="AA777">
        <f>indirect(address(777,26))+indirect(address(775,27))-indirect(address(776,27))</f>
        <v>0</v>
      </c>
      <c r="AB777">
        <f>indirect(address(777,27))+indirect(address(775,28))-indirect(address(776,28))</f>
        <v>0</v>
      </c>
      <c r="AC777">
        <f>indirect(address(777,28))+indirect(address(775,29))-indirect(address(776,29))</f>
        <v>0</v>
      </c>
      <c r="AD777">
        <f>indirect(address(777,29))+indirect(address(775,30))-indirect(address(776,30))</f>
        <v>0</v>
      </c>
      <c r="AE777">
        <f>indirect(address(777,30))+indirect(address(775,31))-indirect(address(776,31))</f>
        <v>0</v>
      </c>
      <c r="AF777">
        <f>indirect(address(777,31))+indirect(address(775,32))-indirect(address(776,32))</f>
        <v>0</v>
      </c>
      <c r="AG777">
        <f>indirect(address(777,32))+indirect(address(775,33))-indirect(address(776,33))</f>
        <v>0</v>
      </c>
      <c r="AH777">
        <f>indirect(address(777,33))+indirect(address(775,34))-indirect(address(776,34))</f>
        <v>0</v>
      </c>
      <c r="AI777">
        <f>indirect(address(777,34))+indirect(address(775,35))-indirect(address(776,35))</f>
        <v>0</v>
      </c>
      <c r="AJ777">
        <f>indirect(address(777,35))+indirect(address(775,36))-indirect(address(776,36))</f>
        <v>0</v>
      </c>
      <c r="AK777">
        <f>indirect(address(777,36))+indirect(address(775,37))-indirect(address(776,37))</f>
        <v>0</v>
      </c>
      <c r="AL777">
        <f>indirect(address(777,37))+indirect(address(775,38))-indirect(address(776,38))</f>
        <v>0</v>
      </c>
      <c r="AM777">
        <f>indirect(address(777,38))+indirect(address(775,39))-indirect(address(776,39))</f>
        <v>0</v>
      </c>
      <c r="AN777">
        <f>indirect(address(777,39))+indirect(address(775,40))-indirect(address(776,40))</f>
        <v>0</v>
      </c>
      <c r="AO777">
        <f>indirect(address(777,40))+indirect(address(775,41))-indirect(address(776,41))</f>
        <v>0</v>
      </c>
    </row>
    <row r="778" spans="1:41">
      <c r="I778" t="s">
        <v>14</v>
      </c>
      <c r="AO778">
        <f>sum(j778:an778)</f>
        <v>0</v>
      </c>
    </row>
    <row r="779" spans="1:41">
      <c r="I779" t="s">
        <v>15</v>
      </c>
      <c r="J779">
        <f>sumif(Plan!B:B,"261-002500-255",Plan!j:j)</f>
        <v>0</v>
      </c>
      <c r="K779">
        <f>sumif(Plan!B:B,"261-002500-255",Plan!k:k)</f>
        <v>0</v>
      </c>
      <c r="L779">
        <f>sumif(Plan!B:B,"261-002500-255",Plan!l:l)</f>
        <v>0</v>
      </c>
      <c r="M779">
        <f>sumif(Plan!B:B,"261-002500-255",Plan!m:m)</f>
        <v>0</v>
      </c>
      <c r="N779">
        <f>sumif(Plan!B:B,"261-002500-255",Plan!n:n)</f>
        <v>0</v>
      </c>
      <c r="O779">
        <f>sumif(Plan!B:B,"261-002500-255",Plan!o:o)</f>
        <v>0</v>
      </c>
      <c r="P779">
        <f>sumif(Plan!B:B,"261-002500-255",Plan!p:p)</f>
        <v>0</v>
      </c>
      <c r="Q779">
        <f>sumif(Plan!B:B,"261-002500-255",Plan!q:q)</f>
        <v>0</v>
      </c>
      <c r="R779">
        <f>sumif(Plan!B:B,"261-002500-255",Plan!r:r)</f>
        <v>0</v>
      </c>
      <c r="S779">
        <f>sumif(Plan!B:B,"261-002500-255",Plan!s:s)</f>
        <v>0</v>
      </c>
      <c r="T779">
        <f>sumif(Plan!B:B,"261-002500-255",Plan!t:t)</f>
        <v>0</v>
      </c>
      <c r="U779">
        <f>sumif(Plan!B:B,"261-002500-255",Plan!u:u)</f>
        <v>0</v>
      </c>
      <c r="V779">
        <f>sumif(Plan!B:B,"261-002500-255",Plan!v:v)</f>
        <v>0</v>
      </c>
      <c r="W779">
        <f>sumif(Plan!B:B,"261-002500-255",Plan!w:w)</f>
        <v>0</v>
      </c>
      <c r="X779">
        <f>sumif(Plan!B:B,"261-002500-255",Plan!x:x)</f>
        <v>0</v>
      </c>
      <c r="Y779">
        <f>sumif(Plan!B:B,"261-002500-255",Plan!y:y)</f>
        <v>0</v>
      </c>
      <c r="Z779">
        <f>sumif(Plan!B:B,"261-002500-255",Plan!z:z)</f>
        <v>0</v>
      </c>
      <c r="AA779">
        <f>sumif(Plan!B:B,"261-002500-255",Plan!aa:aa)</f>
        <v>0</v>
      </c>
      <c r="AB779">
        <f>sumif(Plan!B:B,"261-002500-255",Plan!ab:ab)</f>
        <v>0</v>
      </c>
      <c r="AC779">
        <f>sumif(Plan!B:B,"261-002500-255",Plan!ac:ac)</f>
        <v>0</v>
      </c>
      <c r="AD779">
        <f>sumif(Plan!B:B,"261-002500-255",Plan!ad:ad)</f>
        <v>0</v>
      </c>
      <c r="AE779">
        <f>sumif(Plan!B:B,"261-002500-255",Plan!ae:ae)</f>
        <v>0</v>
      </c>
      <c r="AF779">
        <f>sumif(Plan!B:B,"261-002500-255",Plan!af:af)</f>
        <v>0</v>
      </c>
      <c r="AG779">
        <f>sumif(Plan!B:B,"261-002500-255",Plan!ag:ag)</f>
        <v>0</v>
      </c>
      <c r="AH779">
        <f>sumif(Plan!B:B,"261-002500-255",Plan!ah:ah)</f>
        <v>0</v>
      </c>
      <c r="AI779">
        <f>sumif(Plan!B:B,"261-002500-255",Plan!ai:ai)</f>
        <v>0</v>
      </c>
      <c r="AJ779">
        <f>sumif(Plan!B:B,"261-002500-255",Plan!aj:aj)</f>
        <v>0</v>
      </c>
      <c r="AK779">
        <f>sumif(Plan!B:B,"261-002500-255",Plan!ak:ak)</f>
        <v>0</v>
      </c>
      <c r="AL779">
        <f>sumif(Plan!B:B,"261-002500-255",Plan!al:al)</f>
        <v>0</v>
      </c>
      <c r="AM779">
        <f>sumif(Plan!B:B,"261-002500-255",Plan!am:am)</f>
        <v>0</v>
      </c>
      <c r="AN779">
        <f>sumif(Plan!B:B,"261-002500-255",Plan!an:an)</f>
        <v>0</v>
      </c>
      <c r="AO779">
        <f>sumif(Plan!B:B,"261-002500-255",Plan!ao:ao)</f>
        <v>0</v>
      </c>
    </row>
    <row r="780" spans="1:41">
      <c r="A780" t="s">
        <v>22</v>
      </c>
      <c r="B780" t="s">
        <v>512</v>
      </c>
      <c r="C780" t="s">
        <v>513</v>
      </c>
      <c r="E780">
        <v>1</v>
      </c>
      <c r="F780" t="s">
        <v>13</v>
      </c>
      <c r="H780" t="s">
        <v>16</v>
      </c>
      <c r="J780">
        <f>indirect(address(780,9))+indirect(address(778,10))-indirect(address(779,10))</f>
        <v>0</v>
      </c>
      <c r="K780">
        <f>indirect(address(780,10))+indirect(address(778,11))-indirect(address(779,11))</f>
        <v>0</v>
      </c>
      <c r="L780">
        <f>indirect(address(780,11))+indirect(address(778,12))-indirect(address(779,12))</f>
        <v>0</v>
      </c>
      <c r="M780">
        <f>indirect(address(780,12))+indirect(address(778,13))-indirect(address(779,13))</f>
        <v>0</v>
      </c>
      <c r="N780">
        <f>indirect(address(780,13))+indirect(address(778,14))-indirect(address(779,14))</f>
        <v>0</v>
      </c>
      <c r="O780">
        <f>indirect(address(780,14))+indirect(address(778,15))-indirect(address(779,15))</f>
        <v>0</v>
      </c>
      <c r="P780">
        <f>indirect(address(780,15))+indirect(address(778,16))-indirect(address(779,16))</f>
        <v>0</v>
      </c>
      <c r="Q780">
        <f>indirect(address(780,16))+indirect(address(778,17))-indirect(address(779,17))</f>
        <v>0</v>
      </c>
      <c r="R780">
        <f>indirect(address(780,17))+indirect(address(778,18))-indirect(address(779,18))</f>
        <v>0</v>
      </c>
      <c r="S780">
        <f>indirect(address(780,18))+indirect(address(778,19))-indirect(address(779,19))</f>
        <v>0</v>
      </c>
      <c r="T780">
        <f>indirect(address(780,19))+indirect(address(778,20))-indirect(address(779,20))</f>
        <v>0</v>
      </c>
      <c r="U780">
        <f>indirect(address(780,20))+indirect(address(778,21))-indirect(address(779,21))</f>
        <v>0</v>
      </c>
      <c r="V780">
        <f>indirect(address(780,21))+indirect(address(778,22))-indirect(address(779,22))</f>
        <v>0</v>
      </c>
      <c r="W780">
        <f>indirect(address(780,22))+indirect(address(778,23))-indirect(address(779,23))</f>
        <v>0</v>
      </c>
      <c r="X780">
        <f>indirect(address(780,23))+indirect(address(778,24))-indirect(address(779,24))</f>
        <v>0</v>
      </c>
      <c r="Y780">
        <f>indirect(address(780,24))+indirect(address(778,25))-indirect(address(779,25))</f>
        <v>0</v>
      </c>
      <c r="Z780">
        <f>indirect(address(780,25))+indirect(address(778,26))-indirect(address(779,26))</f>
        <v>0</v>
      </c>
      <c r="AA780">
        <f>indirect(address(780,26))+indirect(address(778,27))-indirect(address(779,27))</f>
        <v>0</v>
      </c>
      <c r="AB780">
        <f>indirect(address(780,27))+indirect(address(778,28))-indirect(address(779,28))</f>
        <v>0</v>
      </c>
      <c r="AC780">
        <f>indirect(address(780,28))+indirect(address(778,29))-indirect(address(779,29))</f>
        <v>0</v>
      </c>
      <c r="AD780">
        <f>indirect(address(780,29))+indirect(address(778,30))-indirect(address(779,30))</f>
        <v>0</v>
      </c>
      <c r="AE780">
        <f>indirect(address(780,30))+indirect(address(778,31))-indirect(address(779,31))</f>
        <v>0</v>
      </c>
      <c r="AF780">
        <f>indirect(address(780,31))+indirect(address(778,32))-indirect(address(779,32))</f>
        <v>0</v>
      </c>
      <c r="AG780">
        <f>indirect(address(780,32))+indirect(address(778,33))-indirect(address(779,33))</f>
        <v>0</v>
      </c>
      <c r="AH780">
        <f>indirect(address(780,33))+indirect(address(778,34))-indirect(address(779,34))</f>
        <v>0</v>
      </c>
      <c r="AI780">
        <f>indirect(address(780,34))+indirect(address(778,35))-indirect(address(779,35))</f>
        <v>0</v>
      </c>
      <c r="AJ780">
        <f>indirect(address(780,35))+indirect(address(778,36))-indirect(address(779,36))</f>
        <v>0</v>
      </c>
      <c r="AK780">
        <f>indirect(address(780,36))+indirect(address(778,37))-indirect(address(779,37))</f>
        <v>0</v>
      </c>
      <c r="AL780">
        <f>indirect(address(780,37))+indirect(address(778,38))-indirect(address(779,38))</f>
        <v>0</v>
      </c>
      <c r="AM780">
        <f>indirect(address(780,38))+indirect(address(778,39))-indirect(address(779,39))</f>
        <v>0</v>
      </c>
      <c r="AN780">
        <f>indirect(address(780,39))+indirect(address(778,40))-indirect(address(779,40))</f>
        <v>0</v>
      </c>
      <c r="AO780">
        <f>indirect(address(780,40))+indirect(address(778,41))-indirect(address(779,41))</f>
        <v>0</v>
      </c>
    </row>
    <row r="781" spans="1:41">
      <c r="I781" t="s">
        <v>14</v>
      </c>
      <c r="AO781">
        <f>sum(j781:an781)</f>
        <v>0</v>
      </c>
    </row>
    <row r="782" spans="1:41">
      <c r="I782" t="s">
        <v>15</v>
      </c>
      <c r="J782">
        <f>sumif(Plan!B:B,"261-149500-103",Plan!j:j)</f>
        <v>0</v>
      </c>
      <c r="K782">
        <f>sumif(Plan!B:B,"261-149500-103",Plan!k:k)</f>
        <v>0</v>
      </c>
      <c r="L782">
        <f>sumif(Plan!B:B,"261-149500-103",Plan!l:l)</f>
        <v>0</v>
      </c>
      <c r="M782">
        <f>sumif(Plan!B:B,"261-149500-103",Plan!m:m)</f>
        <v>0</v>
      </c>
      <c r="N782">
        <f>sumif(Plan!B:B,"261-149500-103",Plan!n:n)</f>
        <v>0</v>
      </c>
      <c r="O782">
        <f>sumif(Plan!B:B,"261-149500-103",Plan!o:o)</f>
        <v>0</v>
      </c>
      <c r="P782">
        <f>sumif(Plan!B:B,"261-149500-103",Plan!p:p)</f>
        <v>0</v>
      </c>
      <c r="Q782">
        <f>sumif(Plan!B:B,"261-149500-103",Plan!q:q)</f>
        <v>0</v>
      </c>
      <c r="R782">
        <f>sumif(Plan!B:B,"261-149500-103",Plan!r:r)</f>
        <v>0</v>
      </c>
      <c r="S782">
        <f>sumif(Plan!B:B,"261-149500-103",Plan!s:s)</f>
        <v>0</v>
      </c>
      <c r="T782">
        <f>sumif(Plan!B:B,"261-149500-103",Plan!t:t)</f>
        <v>0</v>
      </c>
      <c r="U782">
        <f>sumif(Plan!B:B,"261-149500-103",Plan!u:u)</f>
        <v>0</v>
      </c>
      <c r="V782">
        <f>sumif(Plan!B:B,"261-149500-103",Plan!v:v)</f>
        <v>0</v>
      </c>
      <c r="W782">
        <f>sumif(Plan!B:B,"261-149500-103",Plan!w:w)</f>
        <v>0</v>
      </c>
      <c r="X782">
        <f>sumif(Plan!B:B,"261-149500-103",Plan!x:x)</f>
        <v>0</v>
      </c>
      <c r="Y782">
        <f>sumif(Plan!B:B,"261-149500-103",Plan!y:y)</f>
        <v>0</v>
      </c>
      <c r="Z782">
        <f>sumif(Plan!B:B,"261-149500-103",Plan!z:z)</f>
        <v>0</v>
      </c>
      <c r="AA782">
        <f>sumif(Plan!B:B,"261-149500-103",Plan!aa:aa)</f>
        <v>0</v>
      </c>
      <c r="AB782">
        <f>sumif(Plan!B:B,"261-149500-103",Plan!ab:ab)</f>
        <v>0</v>
      </c>
      <c r="AC782">
        <f>sumif(Plan!B:B,"261-149500-103",Plan!ac:ac)</f>
        <v>0</v>
      </c>
      <c r="AD782">
        <f>sumif(Plan!B:B,"261-149500-103",Plan!ad:ad)</f>
        <v>0</v>
      </c>
      <c r="AE782">
        <f>sumif(Plan!B:B,"261-149500-103",Plan!ae:ae)</f>
        <v>0</v>
      </c>
      <c r="AF782">
        <f>sumif(Plan!B:B,"261-149500-103",Plan!af:af)</f>
        <v>0</v>
      </c>
      <c r="AG782">
        <f>sumif(Plan!B:B,"261-149500-103",Plan!ag:ag)</f>
        <v>0</v>
      </c>
      <c r="AH782">
        <f>sumif(Plan!B:B,"261-149500-103",Plan!ah:ah)</f>
        <v>0</v>
      </c>
      <c r="AI782">
        <f>sumif(Plan!B:B,"261-149500-103",Plan!ai:ai)</f>
        <v>0</v>
      </c>
      <c r="AJ782">
        <f>sumif(Plan!B:B,"261-149500-103",Plan!aj:aj)</f>
        <v>0</v>
      </c>
      <c r="AK782">
        <f>sumif(Plan!B:B,"261-149500-103",Plan!ak:ak)</f>
        <v>0</v>
      </c>
      <c r="AL782">
        <f>sumif(Plan!B:B,"261-149500-103",Plan!al:al)</f>
        <v>0</v>
      </c>
      <c r="AM782">
        <f>sumif(Plan!B:B,"261-149500-103",Plan!am:am)</f>
        <v>0</v>
      </c>
      <c r="AN782">
        <f>sumif(Plan!B:B,"261-149500-103",Plan!an:an)</f>
        <v>0</v>
      </c>
      <c r="AO782">
        <f>sumif(Plan!B:B,"261-149500-103",Plan!ao:ao)</f>
        <v>0</v>
      </c>
    </row>
    <row r="783" spans="1:41">
      <c r="A783" t="s">
        <v>22</v>
      </c>
      <c r="B783" t="s">
        <v>514</v>
      </c>
      <c r="C783" t="s">
        <v>515</v>
      </c>
      <c r="E783">
        <v>1</v>
      </c>
      <c r="F783" t="s">
        <v>13</v>
      </c>
      <c r="H783" t="s">
        <v>16</v>
      </c>
      <c r="J783">
        <f>indirect(address(783,9))+indirect(address(781,10))-indirect(address(782,10))</f>
        <v>0</v>
      </c>
      <c r="K783">
        <f>indirect(address(783,10))+indirect(address(781,11))-indirect(address(782,11))</f>
        <v>0</v>
      </c>
      <c r="L783">
        <f>indirect(address(783,11))+indirect(address(781,12))-indirect(address(782,12))</f>
        <v>0</v>
      </c>
      <c r="M783">
        <f>indirect(address(783,12))+indirect(address(781,13))-indirect(address(782,13))</f>
        <v>0</v>
      </c>
      <c r="N783">
        <f>indirect(address(783,13))+indirect(address(781,14))-indirect(address(782,14))</f>
        <v>0</v>
      </c>
      <c r="O783">
        <f>indirect(address(783,14))+indirect(address(781,15))-indirect(address(782,15))</f>
        <v>0</v>
      </c>
      <c r="P783">
        <f>indirect(address(783,15))+indirect(address(781,16))-indirect(address(782,16))</f>
        <v>0</v>
      </c>
      <c r="Q783">
        <f>indirect(address(783,16))+indirect(address(781,17))-indirect(address(782,17))</f>
        <v>0</v>
      </c>
      <c r="R783">
        <f>indirect(address(783,17))+indirect(address(781,18))-indirect(address(782,18))</f>
        <v>0</v>
      </c>
      <c r="S783">
        <f>indirect(address(783,18))+indirect(address(781,19))-indirect(address(782,19))</f>
        <v>0</v>
      </c>
      <c r="T783">
        <f>indirect(address(783,19))+indirect(address(781,20))-indirect(address(782,20))</f>
        <v>0</v>
      </c>
      <c r="U783">
        <f>indirect(address(783,20))+indirect(address(781,21))-indirect(address(782,21))</f>
        <v>0</v>
      </c>
      <c r="V783">
        <f>indirect(address(783,21))+indirect(address(781,22))-indirect(address(782,22))</f>
        <v>0</v>
      </c>
      <c r="W783">
        <f>indirect(address(783,22))+indirect(address(781,23))-indirect(address(782,23))</f>
        <v>0</v>
      </c>
      <c r="X783">
        <f>indirect(address(783,23))+indirect(address(781,24))-indirect(address(782,24))</f>
        <v>0</v>
      </c>
      <c r="Y783">
        <f>indirect(address(783,24))+indirect(address(781,25))-indirect(address(782,25))</f>
        <v>0</v>
      </c>
      <c r="Z783">
        <f>indirect(address(783,25))+indirect(address(781,26))-indirect(address(782,26))</f>
        <v>0</v>
      </c>
      <c r="AA783">
        <f>indirect(address(783,26))+indirect(address(781,27))-indirect(address(782,27))</f>
        <v>0</v>
      </c>
      <c r="AB783">
        <f>indirect(address(783,27))+indirect(address(781,28))-indirect(address(782,28))</f>
        <v>0</v>
      </c>
      <c r="AC783">
        <f>indirect(address(783,28))+indirect(address(781,29))-indirect(address(782,29))</f>
        <v>0</v>
      </c>
      <c r="AD783">
        <f>indirect(address(783,29))+indirect(address(781,30))-indirect(address(782,30))</f>
        <v>0</v>
      </c>
      <c r="AE783">
        <f>indirect(address(783,30))+indirect(address(781,31))-indirect(address(782,31))</f>
        <v>0</v>
      </c>
      <c r="AF783">
        <f>indirect(address(783,31))+indirect(address(781,32))-indirect(address(782,32))</f>
        <v>0</v>
      </c>
      <c r="AG783">
        <f>indirect(address(783,32))+indirect(address(781,33))-indirect(address(782,33))</f>
        <v>0</v>
      </c>
      <c r="AH783">
        <f>indirect(address(783,33))+indirect(address(781,34))-indirect(address(782,34))</f>
        <v>0</v>
      </c>
      <c r="AI783">
        <f>indirect(address(783,34))+indirect(address(781,35))-indirect(address(782,35))</f>
        <v>0</v>
      </c>
      <c r="AJ783">
        <f>indirect(address(783,35))+indirect(address(781,36))-indirect(address(782,36))</f>
        <v>0</v>
      </c>
      <c r="AK783">
        <f>indirect(address(783,36))+indirect(address(781,37))-indirect(address(782,37))</f>
        <v>0</v>
      </c>
      <c r="AL783">
        <f>indirect(address(783,37))+indirect(address(781,38))-indirect(address(782,38))</f>
        <v>0</v>
      </c>
      <c r="AM783">
        <f>indirect(address(783,38))+indirect(address(781,39))-indirect(address(782,39))</f>
        <v>0</v>
      </c>
      <c r="AN783">
        <f>indirect(address(783,39))+indirect(address(781,40))-indirect(address(782,40))</f>
        <v>0</v>
      </c>
      <c r="AO783">
        <f>indirect(address(783,40))+indirect(address(781,41))-indirect(address(782,41))</f>
        <v>0</v>
      </c>
    </row>
    <row r="784" spans="1:41">
      <c r="I784" t="s">
        <v>14</v>
      </c>
      <c r="AO784">
        <f>sum(j784:an784)</f>
        <v>0</v>
      </c>
    </row>
    <row r="785" spans="1:41">
      <c r="I785" t="s">
        <v>15</v>
      </c>
      <c r="J785">
        <f>sumif(Plan!B:B,"261-002500-155",Plan!j:j)</f>
        <v>0</v>
      </c>
      <c r="K785">
        <f>sumif(Plan!B:B,"261-002500-155",Plan!k:k)</f>
        <v>0</v>
      </c>
      <c r="L785">
        <f>sumif(Plan!B:B,"261-002500-155",Plan!l:l)</f>
        <v>0</v>
      </c>
      <c r="M785">
        <f>sumif(Plan!B:B,"261-002500-155",Plan!m:m)</f>
        <v>0</v>
      </c>
      <c r="N785">
        <f>sumif(Plan!B:B,"261-002500-155",Plan!n:n)</f>
        <v>0</v>
      </c>
      <c r="O785">
        <f>sumif(Plan!B:B,"261-002500-155",Plan!o:o)</f>
        <v>0</v>
      </c>
      <c r="P785">
        <f>sumif(Plan!B:B,"261-002500-155",Plan!p:p)</f>
        <v>0</v>
      </c>
      <c r="Q785">
        <f>sumif(Plan!B:B,"261-002500-155",Plan!q:q)</f>
        <v>0</v>
      </c>
      <c r="R785">
        <f>sumif(Plan!B:B,"261-002500-155",Plan!r:r)</f>
        <v>0</v>
      </c>
      <c r="S785">
        <f>sumif(Plan!B:B,"261-002500-155",Plan!s:s)</f>
        <v>0</v>
      </c>
      <c r="T785">
        <f>sumif(Plan!B:B,"261-002500-155",Plan!t:t)</f>
        <v>0</v>
      </c>
      <c r="U785">
        <f>sumif(Plan!B:B,"261-002500-155",Plan!u:u)</f>
        <v>0</v>
      </c>
      <c r="V785">
        <f>sumif(Plan!B:B,"261-002500-155",Plan!v:v)</f>
        <v>0</v>
      </c>
      <c r="W785">
        <f>sumif(Plan!B:B,"261-002500-155",Plan!w:w)</f>
        <v>0</v>
      </c>
      <c r="X785">
        <f>sumif(Plan!B:B,"261-002500-155",Plan!x:x)</f>
        <v>0</v>
      </c>
      <c r="Y785">
        <f>sumif(Plan!B:B,"261-002500-155",Plan!y:y)</f>
        <v>0</v>
      </c>
      <c r="Z785">
        <f>sumif(Plan!B:B,"261-002500-155",Plan!z:z)</f>
        <v>0</v>
      </c>
      <c r="AA785">
        <f>sumif(Plan!B:B,"261-002500-155",Plan!aa:aa)</f>
        <v>0</v>
      </c>
      <c r="AB785">
        <f>sumif(Plan!B:B,"261-002500-155",Plan!ab:ab)</f>
        <v>0</v>
      </c>
      <c r="AC785">
        <f>sumif(Plan!B:B,"261-002500-155",Plan!ac:ac)</f>
        <v>0</v>
      </c>
      <c r="AD785">
        <f>sumif(Plan!B:B,"261-002500-155",Plan!ad:ad)</f>
        <v>0</v>
      </c>
      <c r="AE785">
        <f>sumif(Plan!B:B,"261-002500-155",Plan!ae:ae)</f>
        <v>0</v>
      </c>
      <c r="AF785">
        <f>sumif(Plan!B:B,"261-002500-155",Plan!af:af)</f>
        <v>0</v>
      </c>
      <c r="AG785">
        <f>sumif(Plan!B:B,"261-002500-155",Plan!ag:ag)</f>
        <v>0</v>
      </c>
      <c r="AH785">
        <f>sumif(Plan!B:B,"261-002500-155",Plan!ah:ah)</f>
        <v>0</v>
      </c>
      <c r="AI785">
        <f>sumif(Plan!B:B,"261-002500-155",Plan!ai:ai)</f>
        <v>0</v>
      </c>
      <c r="AJ785">
        <f>sumif(Plan!B:B,"261-002500-155",Plan!aj:aj)</f>
        <v>0</v>
      </c>
      <c r="AK785">
        <f>sumif(Plan!B:B,"261-002500-155",Plan!ak:ak)</f>
        <v>0</v>
      </c>
      <c r="AL785">
        <f>sumif(Plan!B:B,"261-002500-155",Plan!al:al)</f>
        <v>0</v>
      </c>
      <c r="AM785">
        <f>sumif(Plan!B:B,"261-002500-155",Plan!am:am)</f>
        <v>0</v>
      </c>
      <c r="AN785">
        <f>sumif(Plan!B:B,"261-002500-155",Plan!an:an)</f>
        <v>0</v>
      </c>
      <c r="AO785">
        <f>sumif(Plan!B:B,"261-002500-155",Plan!ao:ao)</f>
        <v>0</v>
      </c>
    </row>
    <row r="786" spans="1:41">
      <c r="A786" t="s">
        <v>22</v>
      </c>
      <c r="B786" t="s">
        <v>516</v>
      </c>
      <c r="C786" t="s">
        <v>517</v>
      </c>
      <c r="E786">
        <v>7</v>
      </c>
      <c r="F786" t="s">
        <v>13</v>
      </c>
      <c r="H786" t="s">
        <v>16</v>
      </c>
      <c r="J786">
        <f>indirect(address(786,9))+indirect(address(784,10))-indirect(address(785,10))</f>
        <v>0</v>
      </c>
      <c r="K786">
        <f>indirect(address(786,10))+indirect(address(784,11))-indirect(address(785,11))</f>
        <v>0</v>
      </c>
      <c r="L786">
        <f>indirect(address(786,11))+indirect(address(784,12))-indirect(address(785,12))</f>
        <v>0</v>
      </c>
      <c r="M786">
        <f>indirect(address(786,12))+indirect(address(784,13))-indirect(address(785,13))</f>
        <v>0</v>
      </c>
      <c r="N786">
        <f>indirect(address(786,13))+indirect(address(784,14))-indirect(address(785,14))</f>
        <v>0</v>
      </c>
      <c r="O786">
        <f>indirect(address(786,14))+indirect(address(784,15))-indirect(address(785,15))</f>
        <v>0</v>
      </c>
      <c r="P786">
        <f>indirect(address(786,15))+indirect(address(784,16))-indirect(address(785,16))</f>
        <v>0</v>
      </c>
      <c r="Q786">
        <f>indirect(address(786,16))+indirect(address(784,17))-indirect(address(785,17))</f>
        <v>0</v>
      </c>
      <c r="R786">
        <f>indirect(address(786,17))+indirect(address(784,18))-indirect(address(785,18))</f>
        <v>0</v>
      </c>
      <c r="S786">
        <f>indirect(address(786,18))+indirect(address(784,19))-indirect(address(785,19))</f>
        <v>0</v>
      </c>
      <c r="T786">
        <f>indirect(address(786,19))+indirect(address(784,20))-indirect(address(785,20))</f>
        <v>0</v>
      </c>
      <c r="U786">
        <f>indirect(address(786,20))+indirect(address(784,21))-indirect(address(785,21))</f>
        <v>0</v>
      </c>
      <c r="V786">
        <f>indirect(address(786,21))+indirect(address(784,22))-indirect(address(785,22))</f>
        <v>0</v>
      </c>
      <c r="W786">
        <f>indirect(address(786,22))+indirect(address(784,23))-indirect(address(785,23))</f>
        <v>0</v>
      </c>
      <c r="X786">
        <f>indirect(address(786,23))+indirect(address(784,24))-indirect(address(785,24))</f>
        <v>0</v>
      </c>
      <c r="Y786">
        <f>indirect(address(786,24))+indirect(address(784,25))-indirect(address(785,25))</f>
        <v>0</v>
      </c>
      <c r="Z786">
        <f>indirect(address(786,25))+indirect(address(784,26))-indirect(address(785,26))</f>
        <v>0</v>
      </c>
      <c r="AA786">
        <f>indirect(address(786,26))+indirect(address(784,27))-indirect(address(785,27))</f>
        <v>0</v>
      </c>
      <c r="AB786">
        <f>indirect(address(786,27))+indirect(address(784,28))-indirect(address(785,28))</f>
        <v>0</v>
      </c>
      <c r="AC786">
        <f>indirect(address(786,28))+indirect(address(784,29))-indirect(address(785,29))</f>
        <v>0</v>
      </c>
      <c r="AD786">
        <f>indirect(address(786,29))+indirect(address(784,30))-indirect(address(785,30))</f>
        <v>0</v>
      </c>
      <c r="AE786">
        <f>indirect(address(786,30))+indirect(address(784,31))-indirect(address(785,31))</f>
        <v>0</v>
      </c>
      <c r="AF786">
        <f>indirect(address(786,31))+indirect(address(784,32))-indirect(address(785,32))</f>
        <v>0</v>
      </c>
      <c r="AG786">
        <f>indirect(address(786,32))+indirect(address(784,33))-indirect(address(785,33))</f>
        <v>0</v>
      </c>
      <c r="AH786">
        <f>indirect(address(786,33))+indirect(address(784,34))-indirect(address(785,34))</f>
        <v>0</v>
      </c>
      <c r="AI786">
        <f>indirect(address(786,34))+indirect(address(784,35))-indirect(address(785,35))</f>
        <v>0</v>
      </c>
      <c r="AJ786">
        <f>indirect(address(786,35))+indirect(address(784,36))-indirect(address(785,36))</f>
        <v>0</v>
      </c>
      <c r="AK786">
        <f>indirect(address(786,36))+indirect(address(784,37))-indirect(address(785,37))</f>
        <v>0</v>
      </c>
      <c r="AL786">
        <f>indirect(address(786,37))+indirect(address(784,38))-indirect(address(785,38))</f>
        <v>0</v>
      </c>
      <c r="AM786">
        <f>indirect(address(786,38))+indirect(address(784,39))-indirect(address(785,39))</f>
        <v>0</v>
      </c>
      <c r="AN786">
        <f>indirect(address(786,39))+indirect(address(784,40))-indirect(address(785,40))</f>
        <v>0</v>
      </c>
      <c r="AO786">
        <f>indirect(address(786,40))+indirect(address(784,41))-indirect(address(785,41))</f>
        <v>0</v>
      </c>
    </row>
    <row r="787" spans="1:41">
      <c r="I787" t="s">
        <v>14</v>
      </c>
      <c r="AO787">
        <f>sum(j787:an787)</f>
        <v>0</v>
      </c>
    </row>
    <row r="788" spans="1:41">
      <c r="I788" t="s">
        <v>15</v>
      </c>
      <c r="J788">
        <f>sumif(Plan!B:B,"261-000000-108",Plan!j:j)</f>
        <v>0</v>
      </c>
      <c r="K788">
        <f>sumif(Plan!B:B,"261-000000-108",Plan!k:k)</f>
        <v>0</v>
      </c>
      <c r="L788">
        <f>sumif(Plan!B:B,"261-000000-108",Plan!l:l)</f>
        <v>0</v>
      </c>
      <c r="M788">
        <f>sumif(Plan!B:B,"261-000000-108",Plan!m:m)</f>
        <v>0</v>
      </c>
      <c r="N788">
        <f>sumif(Plan!B:B,"261-000000-108",Plan!n:n)</f>
        <v>0</v>
      </c>
      <c r="O788">
        <f>sumif(Plan!B:B,"261-000000-108",Plan!o:o)</f>
        <v>0</v>
      </c>
      <c r="P788">
        <f>sumif(Plan!B:B,"261-000000-108",Plan!p:p)</f>
        <v>0</v>
      </c>
      <c r="Q788">
        <f>sumif(Plan!B:B,"261-000000-108",Plan!q:q)</f>
        <v>0</v>
      </c>
      <c r="R788">
        <f>sumif(Plan!B:B,"261-000000-108",Plan!r:r)</f>
        <v>0</v>
      </c>
      <c r="S788">
        <f>sumif(Plan!B:B,"261-000000-108",Plan!s:s)</f>
        <v>0</v>
      </c>
      <c r="T788">
        <f>sumif(Plan!B:B,"261-000000-108",Plan!t:t)</f>
        <v>0</v>
      </c>
      <c r="U788">
        <f>sumif(Plan!B:B,"261-000000-108",Plan!u:u)</f>
        <v>0</v>
      </c>
      <c r="V788">
        <f>sumif(Plan!B:B,"261-000000-108",Plan!v:v)</f>
        <v>0</v>
      </c>
      <c r="W788">
        <f>sumif(Plan!B:B,"261-000000-108",Plan!w:w)</f>
        <v>0</v>
      </c>
      <c r="X788">
        <f>sumif(Plan!B:B,"261-000000-108",Plan!x:x)</f>
        <v>0</v>
      </c>
      <c r="Y788">
        <f>sumif(Plan!B:B,"261-000000-108",Plan!y:y)</f>
        <v>0</v>
      </c>
      <c r="Z788">
        <f>sumif(Plan!B:B,"261-000000-108",Plan!z:z)</f>
        <v>0</v>
      </c>
      <c r="AA788">
        <f>sumif(Plan!B:B,"261-000000-108",Plan!aa:aa)</f>
        <v>0</v>
      </c>
      <c r="AB788">
        <f>sumif(Plan!B:B,"261-000000-108",Plan!ab:ab)</f>
        <v>0</v>
      </c>
      <c r="AC788">
        <f>sumif(Plan!B:B,"261-000000-108",Plan!ac:ac)</f>
        <v>0</v>
      </c>
      <c r="AD788">
        <f>sumif(Plan!B:B,"261-000000-108",Plan!ad:ad)</f>
        <v>0</v>
      </c>
      <c r="AE788">
        <f>sumif(Plan!B:B,"261-000000-108",Plan!ae:ae)</f>
        <v>0</v>
      </c>
      <c r="AF788">
        <f>sumif(Plan!B:B,"261-000000-108",Plan!af:af)</f>
        <v>0</v>
      </c>
      <c r="AG788">
        <f>sumif(Plan!B:B,"261-000000-108",Plan!ag:ag)</f>
        <v>0</v>
      </c>
      <c r="AH788">
        <f>sumif(Plan!B:B,"261-000000-108",Plan!ah:ah)</f>
        <v>0</v>
      </c>
      <c r="AI788">
        <f>sumif(Plan!B:B,"261-000000-108",Plan!ai:ai)</f>
        <v>0</v>
      </c>
      <c r="AJ788">
        <f>sumif(Plan!B:B,"261-000000-108",Plan!aj:aj)</f>
        <v>0</v>
      </c>
      <c r="AK788">
        <f>sumif(Plan!B:B,"261-000000-108",Plan!ak:ak)</f>
        <v>0</v>
      </c>
      <c r="AL788">
        <f>sumif(Plan!B:B,"261-000000-108",Plan!al:al)</f>
        <v>0</v>
      </c>
      <c r="AM788">
        <f>sumif(Plan!B:B,"261-000000-108",Plan!am:am)</f>
        <v>0</v>
      </c>
      <c r="AN788">
        <f>sumif(Plan!B:B,"261-000000-108",Plan!an:an)</f>
        <v>0</v>
      </c>
      <c r="AO788">
        <f>sumif(Plan!B:B,"261-000000-108",Plan!ao:ao)</f>
        <v>0</v>
      </c>
    </row>
    <row r="789" spans="1:41">
      <c r="A789" t="s">
        <v>22</v>
      </c>
      <c r="B789" t="s">
        <v>518</v>
      </c>
      <c r="C789" t="s">
        <v>519</v>
      </c>
      <c r="E789">
        <v>1</v>
      </c>
      <c r="F789" t="s">
        <v>13</v>
      </c>
      <c r="H789" t="s">
        <v>16</v>
      </c>
      <c r="J789">
        <f>indirect(address(789,9))+indirect(address(787,10))-indirect(address(788,10))</f>
        <v>0</v>
      </c>
      <c r="K789">
        <f>indirect(address(789,10))+indirect(address(787,11))-indirect(address(788,11))</f>
        <v>0</v>
      </c>
      <c r="L789">
        <f>indirect(address(789,11))+indirect(address(787,12))-indirect(address(788,12))</f>
        <v>0</v>
      </c>
      <c r="M789">
        <f>indirect(address(789,12))+indirect(address(787,13))-indirect(address(788,13))</f>
        <v>0</v>
      </c>
      <c r="N789">
        <f>indirect(address(789,13))+indirect(address(787,14))-indirect(address(788,14))</f>
        <v>0</v>
      </c>
      <c r="O789">
        <f>indirect(address(789,14))+indirect(address(787,15))-indirect(address(788,15))</f>
        <v>0</v>
      </c>
      <c r="P789">
        <f>indirect(address(789,15))+indirect(address(787,16))-indirect(address(788,16))</f>
        <v>0</v>
      </c>
      <c r="Q789">
        <f>indirect(address(789,16))+indirect(address(787,17))-indirect(address(788,17))</f>
        <v>0</v>
      </c>
      <c r="R789">
        <f>indirect(address(789,17))+indirect(address(787,18))-indirect(address(788,18))</f>
        <v>0</v>
      </c>
      <c r="S789">
        <f>indirect(address(789,18))+indirect(address(787,19))-indirect(address(788,19))</f>
        <v>0</v>
      </c>
      <c r="T789">
        <f>indirect(address(789,19))+indirect(address(787,20))-indirect(address(788,20))</f>
        <v>0</v>
      </c>
      <c r="U789">
        <f>indirect(address(789,20))+indirect(address(787,21))-indirect(address(788,21))</f>
        <v>0</v>
      </c>
      <c r="V789">
        <f>indirect(address(789,21))+indirect(address(787,22))-indirect(address(788,22))</f>
        <v>0</v>
      </c>
      <c r="W789">
        <f>indirect(address(789,22))+indirect(address(787,23))-indirect(address(788,23))</f>
        <v>0</v>
      </c>
      <c r="X789">
        <f>indirect(address(789,23))+indirect(address(787,24))-indirect(address(788,24))</f>
        <v>0</v>
      </c>
      <c r="Y789">
        <f>indirect(address(789,24))+indirect(address(787,25))-indirect(address(788,25))</f>
        <v>0</v>
      </c>
      <c r="Z789">
        <f>indirect(address(789,25))+indirect(address(787,26))-indirect(address(788,26))</f>
        <v>0</v>
      </c>
      <c r="AA789">
        <f>indirect(address(789,26))+indirect(address(787,27))-indirect(address(788,27))</f>
        <v>0</v>
      </c>
      <c r="AB789">
        <f>indirect(address(789,27))+indirect(address(787,28))-indirect(address(788,28))</f>
        <v>0</v>
      </c>
      <c r="AC789">
        <f>indirect(address(789,28))+indirect(address(787,29))-indirect(address(788,29))</f>
        <v>0</v>
      </c>
      <c r="AD789">
        <f>indirect(address(789,29))+indirect(address(787,30))-indirect(address(788,30))</f>
        <v>0</v>
      </c>
      <c r="AE789">
        <f>indirect(address(789,30))+indirect(address(787,31))-indirect(address(788,31))</f>
        <v>0</v>
      </c>
      <c r="AF789">
        <f>indirect(address(789,31))+indirect(address(787,32))-indirect(address(788,32))</f>
        <v>0</v>
      </c>
      <c r="AG789">
        <f>indirect(address(789,32))+indirect(address(787,33))-indirect(address(788,33))</f>
        <v>0</v>
      </c>
      <c r="AH789">
        <f>indirect(address(789,33))+indirect(address(787,34))-indirect(address(788,34))</f>
        <v>0</v>
      </c>
      <c r="AI789">
        <f>indirect(address(789,34))+indirect(address(787,35))-indirect(address(788,35))</f>
        <v>0</v>
      </c>
      <c r="AJ789">
        <f>indirect(address(789,35))+indirect(address(787,36))-indirect(address(788,36))</f>
        <v>0</v>
      </c>
      <c r="AK789">
        <f>indirect(address(789,36))+indirect(address(787,37))-indirect(address(788,37))</f>
        <v>0</v>
      </c>
      <c r="AL789">
        <f>indirect(address(789,37))+indirect(address(787,38))-indirect(address(788,38))</f>
        <v>0</v>
      </c>
      <c r="AM789">
        <f>indirect(address(789,38))+indirect(address(787,39))-indirect(address(788,39))</f>
        <v>0</v>
      </c>
      <c r="AN789">
        <f>indirect(address(789,39))+indirect(address(787,40))-indirect(address(788,40))</f>
        <v>0</v>
      </c>
      <c r="AO789">
        <f>indirect(address(789,40))+indirect(address(787,41))-indirect(address(788,41))</f>
        <v>0</v>
      </c>
    </row>
    <row r="790" spans="1:41">
      <c r="I790" t="s">
        <v>14</v>
      </c>
      <c r="AO790">
        <f>sum(j790:an790)</f>
        <v>0</v>
      </c>
    </row>
    <row r="791" spans="1:41">
      <c r="I791" t="s">
        <v>15</v>
      </c>
      <c r="J791">
        <f>sumif(Plan!B:B,"261-000000-109",Plan!j:j)</f>
        <v>0</v>
      </c>
      <c r="K791">
        <f>sumif(Plan!B:B,"261-000000-109",Plan!k:k)</f>
        <v>0</v>
      </c>
      <c r="L791">
        <f>sumif(Plan!B:B,"261-000000-109",Plan!l:l)</f>
        <v>0</v>
      </c>
      <c r="M791">
        <f>sumif(Plan!B:B,"261-000000-109",Plan!m:m)</f>
        <v>0</v>
      </c>
      <c r="N791">
        <f>sumif(Plan!B:B,"261-000000-109",Plan!n:n)</f>
        <v>0</v>
      </c>
      <c r="O791">
        <f>sumif(Plan!B:B,"261-000000-109",Plan!o:o)</f>
        <v>0</v>
      </c>
      <c r="P791">
        <f>sumif(Plan!B:B,"261-000000-109",Plan!p:p)</f>
        <v>0</v>
      </c>
      <c r="Q791">
        <f>sumif(Plan!B:B,"261-000000-109",Plan!q:q)</f>
        <v>0</v>
      </c>
      <c r="R791">
        <f>sumif(Plan!B:B,"261-000000-109",Plan!r:r)</f>
        <v>0</v>
      </c>
      <c r="S791">
        <f>sumif(Plan!B:B,"261-000000-109",Plan!s:s)</f>
        <v>0</v>
      </c>
      <c r="T791">
        <f>sumif(Plan!B:B,"261-000000-109",Plan!t:t)</f>
        <v>0</v>
      </c>
      <c r="U791">
        <f>sumif(Plan!B:B,"261-000000-109",Plan!u:u)</f>
        <v>0</v>
      </c>
      <c r="V791">
        <f>sumif(Plan!B:B,"261-000000-109",Plan!v:v)</f>
        <v>0</v>
      </c>
      <c r="W791">
        <f>sumif(Plan!B:B,"261-000000-109",Plan!w:w)</f>
        <v>0</v>
      </c>
      <c r="X791">
        <f>sumif(Plan!B:B,"261-000000-109",Plan!x:x)</f>
        <v>0</v>
      </c>
      <c r="Y791">
        <f>sumif(Plan!B:B,"261-000000-109",Plan!y:y)</f>
        <v>0</v>
      </c>
      <c r="Z791">
        <f>sumif(Plan!B:B,"261-000000-109",Plan!z:z)</f>
        <v>0</v>
      </c>
      <c r="AA791">
        <f>sumif(Plan!B:B,"261-000000-109",Plan!aa:aa)</f>
        <v>0</v>
      </c>
      <c r="AB791">
        <f>sumif(Plan!B:B,"261-000000-109",Plan!ab:ab)</f>
        <v>0</v>
      </c>
      <c r="AC791">
        <f>sumif(Plan!B:B,"261-000000-109",Plan!ac:ac)</f>
        <v>0</v>
      </c>
      <c r="AD791">
        <f>sumif(Plan!B:B,"261-000000-109",Plan!ad:ad)</f>
        <v>0</v>
      </c>
      <c r="AE791">
        <f>sumif(Plan!B:B,"261-000000-109",Plan!ae:ae)</f>
        <v>0</v>
      </c>
      <c r="AF791">
        <f>sumif(Plan!B:B,"261-000000-109",Plan!af:af)</f>
        <v>0</v>
      </c>
      <c r="AG791">
        <f>sumif(Plan!B:B,"261-000000-109",Plan!ag:ag)</f>
        <v>0</v>
      </c>
      <c r="AH791">
        <f>sumif(Plan!B:B,"261-000000-109",Plan!ah:ah)</f>
        <v>0</v>
      </c>
      <c r="AI791">
        <f>sumif(Plan!B:B,"261-000000-109",Plan!ai:ai)</f>
        <v>0</v>
      </c>
      <c r="AJ791">
        <f>sumif(Plan!B:B,"261-000000-109",Plan!aj:aj)</f>
        <v>0</v>
      </c>
      <c r="AK791">
        <f>sumif(Plan!B:B,"261-000000-109",Plan!ak:ak)</f>
        <v>0</v>
      </c>
      <c r="AL791">
        <f>sumif(Plan!B:B,"261-000000-109",Plan!al:al)</f>
        <v>0</v>
      </c>
      <c r="AM791">
        <f>sumif(Plan!B:B,"261-000000-109",Plan!am:am)</f>
        <v>0</v>
      </c>
      <c r="AN791">
        <f>sumif(Plan!B:B,"261-000000-109",Plan!an:an)</f>
        <v>0</v>
      </c>
      <c r="AO791">
        <f>sumif(Plan!B:B,"261-000000-109",Plan!ao:ao)</f>
        <v>0</v>
      </c>
    </row>
    <row r="792" spans="1:41">
      <c r="A792" t="s">
        <v>22</v>
      </c>
      <c r="B792" t="s">
        <v>520</v>
      </c>
      <c r="C792" t="s">
        <v>521</v>
      </c>
      <c r="E792">
        <v>1</v>
      </c>
      <c r="F792" t="s">
        <v>13</v>
      </c>
      <c r="H792" t="s">
        <v>16</v>
      </c>
      <c r="J792">
        <f>indirect(address(792,9))+indirect(address(790,10))-indirect(address(791,10))</f>
        <v>0</v>
      </c>
      <c r="K792">
        <f>indirect(address(792,10))+indirect(address(790,11))-indirect(address(791,11))</f>
        <v>0</v>
      </c>
      <c r="L792">
        <f>indirect(address(792,11))+indirect(address(790,12))-indirect(address(791,12))</f>
        <v>0</v>
      </c>
      <c r="M792">
        <f>indirect(address(792,12))+indirect(address(790,13))-indirect(address(791,13))</f>
        <v>0</v>
      </c>
      <c r="N792">
        <f>indirect(address(792,13))+indirect(address(790,14))-indirect(address(791,14))</f>
        <v>0</v>
      </c>
      <c r="O792">
        <f>indirect(address(792,14))+indirect(address(790,15))-indirect(address(791,15))</f>
        <v>0</v>
      </c>
      <c r="P792">
        <f>indirect(address(792,15))+indirect(address(790,16))-indirect(address(791,16))</f>
        <v>0</v>
      </c>
      <c r="Q792">
        <f>indirect(address(792,16))+indirect(address(790,17))-indirect(address(791,17))</f>
        <v>0</v>
      </c>
      <c r="R792">
        <f>indirect(address(792,17))+indirect(address(790,18))-indirect(address(791,18))</f>
        <v>0</v>
      </c>
      <c r="S792">
        <f>indirect(address(792,18))+indirect(address(790,19))-indirect(address(791,19))</f>
        <v>0</v>
      </c>
      <c r="T792">
        <f>indirect(address(792,19))+indirect(address(790,20))-indirect(address(791,20))</f>
        <v>0</v>
      </c>
      <c r="U792">
        <f>indirect(address(792,20))+indirect(address(790,21))-indirect(address(791,21))</f>
        <v>0</v>
      </c>
      <c r="V792">
        <f>indirect(address(792,21))+indirect(address(790,22))-indirect(address(791,22))</f>
        <v>0</v>
      </c>
      <c r="W792">
        <f>indirect(address(792,22))+indirect(address(790,23))-indirect(address(791,23))</f>
        <v>0</v>
      </c>
      <c r="X792">
        <f>indirect(address(792,23))+indirect(address(790,24))-indirect(address(791,24))</f>
        <v>0</v>
      </c>
      <c r="Y792">
        <f>indirect(address(792,24))+indirect(address(790,25))-indirect(address(791,25))</f>
        <v>0</v>
      </c>
      <c r="Z792">
        <f>indirect(address(792,25))+indirect(address(790,26))-indirect(address(791,26))</f>
        <v>0</v>
      </c>
      <c r="AA792">
        <f>indirect(address(792,26))+indirect(address(790,27))-indirect(address(791,27))</f>
        <v>0</v>
      </c>
      <c r="AB792">
        <f>indirect(address(792,27))+indirect(address(790,28))-indirect(address(791,28))</f>
        <v>0</v>
      </c>
      <c r="AC792">
        <f>indirect(address(792,28))+indirect(address(790,29))-indirect(address(791,29))</f>
        <v>0</v>
      </c>
      <c r="AD792">
        <f>indirect(address(792,29))+indirect(address(790,30))-indirect(address(791,30))</f>
        <v>0</v>
      </c>
      <c r="AE792">
        <f>indirect(address(792,30))+indirect(address(790,31))-indirect(address(791,31))</f>
        <v>0</v>
      </c>
      <c r="AF792">
        <f>indirect(address(792,31))+indirect(address(790,32))-indirect(address(791,32))</f>
        <v>0</v>
      </c>
      <c r="AG792">
        <f>indirect(address(792,32))+indirect(address(790,33))-indirect(address(791,33))</f>
        <v>0</v>
      </c>
      <c r="AH792">
        <f>indirect(address(792,33))+indirect(address(790,34))-indirect(address(791,34))</f>
        <v>0</v>
      </c>
      <c r="AI792">
        <f>indirect(address(792,34))+indirect(address(790,35))-indirect(address(791,35))</f>
        <v>0</v>
      </c>
      <c r="AJ792">
        <f>indirect(address(792,35))+indirect(address(790,36))-indirect(address(791,36))</f>
        <v>0</v>
      </c>
      <c r="AK792">
        <f>indirect(address(792,36))+indirect(address(790,37))-indirect(address(791,37))</f>
        <v>0</v>
      </c>
      <c r="AL792">
        <f>indirect(address(792,37))+indirect(address(790,38))-indirect(address(791,38))</f>
        <v>0</v>
      </c>
      <c r="AM792">
        <f>indirect(address(792,38))+indirect(address(790,39))-indirect(address(791,39))</f>
        <v>0</v>
      </c>
      <c r="AN792">
        <f>indirect(address(792,39))+indirect(address(790,40))-indirect(address(791,40))</f>
        <v>0</v>
      </c>
      <c r="AO792">
        <f>indirect(address(792,40))+indirect(address(790,41))-indirect(address(791,41))</f>
        <v>0</v>
      </c>
    </row>
    <row r="793" spans="1:41">
      <c r="I793" t="s">
        <v>14</v>
      </c>
      <c r="AO793">
        <f>sum(j793:an793)</f>
        <v>0</v>
      </c>
    </row>
    <row r="794" spans="1:41">
      <c r="I794" t="s">
        <v>15</v>
      </c>
      <c r="J794">
        <f>sumif(Plan!B:B,"261-000000-110",Plan!j:j)</f>
        <v>0</v>
      </c>
      <c r="K794">
        <f>sumif(Plan!B:B,"261-000000-110",Plan!k:k)</f>
        <v>0</v>
      </c>
      <c r="L794">
        <f>sumif(Plan!B:B,"261-000000-110",Plan!l:l)</f>
        <v>0</v>
      </c>
      <c r="M794">
        <f>sumif(Plan!B:B,"261-000000-110",Plan!m:m)</f>
        <v>0</v>
      </c>
      <c r="N794">
        <f>sumif(Plan!B:B,"261-000000-110",Plan!n:n)</f>
        <v>0</v>
      </c>
      <c r="O794">
        <f>sumif(Plan!B:B,"261-000000-110",Plan!o:o)</f>
        <v>0</v>
      </c>
      <c r="P794">
        <f>sumif(Plan!B:B,"261-000000-110",Plan!p:p)</f>
        <v>0</v>
      </c>
      <c r="Q794">
        <f>sumif(Plan!B:B,"261-000000-110",Plan!q:q)</f>
        <v>0</v>
      </c>
      <c r="R794">
        <f>sumif(Plan!B:B,"261-000000-110",Plan!r:r)</f>
        <v>0</v>
      </c>
      <c r="S794">
        <f>sumif(Plan!B:B,"261-000000-110",Plan!s:s)</f>
        <v>0</v>
      </c>
      <c r="T794">
        <f>sumif(Plan!B:B,"261-000000-110",Plan!t:t)</f>
        <v>0</v>
      </c>
      <c r="U794">
        <f>sumif(Plan!B:B,"261-000000-110",Plan!u:u)</f>
        <v>0</v>
      </c>
      <c r="V794">
        <f>sumif(Plan!B:B,"261-000000-110",Plan!v:v)</f>
        <v>0</v>
      </c>
      <c r="W794">
        <f>sumif(Plan!B:B,"261-000000-110",Plan!w:w)</f>
        <v>0</v>
      </c>
      <c r="X794">
        <f>sumif(Plan!B:B,"261-000000-110",Plan!x:x)</f>
        <v>0</v>
      </c>
      <c r="Y794">
        <f>sumif(Plan!B:B,"261-000000-110",Plan!y:y)</f>
        <v>0</v>
      </c>
      <c r="Z794">
        <f>sumif(Plan!B:B,"261-000000-110",Plan!z:z)</f>
        <v>0</v>
      </c>
      <c r="AA794">
        <f>sumif(Plan!B:B,"261-000000-110",Plan!aa:aa)</f>
        <v>0</v>
      </c>
      <c r="AB794">
        <f>sumif(Plan!B:B,"261-000000-110",Plan!ab:ab)</f>
        <v>0</v>
      </c>
      <c r="AC794">
        <f>sumif(Plan!B:B,"261-000000-110",Plan!ac:ac)</f>
        <v>0</v>
      </c>
      <c r="AD794">
        <f>sumif(Plan!B:B,"261-000000-110",Plan!ad:ad)</f>
        <v>0</v>
      </c>
      <c r="AE794">
        <f>sumif(Plan!B:B,"261-000000-110",Plan!ae:ae)</f>
        <v>0</v>
      </c>
      <c r="AF794">
        <f>sumif(Plan!B:B,"261-000000-110",Plan!af:af)</f>
        <v>0</v>
      </c>
      <c r="AG794">
        <f>sumif(Plan!B:B,"261-000000-110",Plan!ag:ag)</f>
        <v>0</v>
      </c>
      <c r="AH794">
        <f>sumif(Plan!B:B,"261-000000-110",Plan!ah:ah)</f>
        <v>0</v>
      </c>
      <c r="AI794">
        <f>sumif(Plan!B:B,"261-000000-110",Plan!ai:ai)</f>
        <v>0</v>
      </c>
      <c r="AJ794">
        <f>sumif(Plan!B:B,"261-000000-110",Plan!aj:aj)</f>
        <v>0</v>
      </c>
      <c r="AK794">
        <f>sumif(Plan!B:B,"261-000000-110",Plan!ak:ak)</f>
        <v>0</v>
      </c>
      <c r="AL794">
        <f>sumif(Plan!B:B,"261-000000-110",Plan!al:al)</f>
        <v>0</v>
      </c>
      <c r="AM794">
        <f>sumif(Plan!B:B,"261-000000-110",Plan!am:am)</f>
        <v>0</v>
      </c>
      <c r="AN794">
        <f>sumif(Plan!B:B,"261-000000-110",Plan!an:an)</f>
        <v>0</v>
      </c>
      <c r="AO794">
        <f>sumif(Plan!B:B,"261-000000-110",Plan!ao:ao)</f>
        <v>0</v>
      </c>
    </row>
    <row r="795" spans="1:41">
      <c r="A795" t="s">
        <v>22</v>
      </c>
      <c r="B795" t="s">
        <v>522</v>
      </c>
      <c r="C795" t="s">
        <v>523</v>
      </c>
      <c r="E795">
        <v>2</v>
      </c>
      <c r="F795" t="s">
        <v>13</v>
      </c>
      <c r="H795" t="s">
        <v>16</v>
      </c>
      <c r="J795">
        <f>indirect(address(795,9))+indirect(address(793,10))-indirect(address(794,10))</f>
        <v>0</v>
      </c>
      <c r="K795">
        <f>indirect(address(795,10))+indirect(address(793,11))-indirect(address(794,11))</f>
        <v>0</v>
      </c>
      <c r="L795">
        <f>indirect(address(795,11))+indirect(address(793,12))-indirect(address(794,12))</f>
        <v>0</v>
      </c>
      <c r="M795">
        <f>indirect(address(795,12))+indirect(address(793,13))-indirect(address(794,13))</f>
        <v>0</v>
      </c>
      <c r="N795">
        <f>indirect(address(795,13))+indirect(address(793,14))-indirect(address(794,14))</f>
        <v>0</v>
      </c>
      <c r="O795">
        <f>indirect(address(795,14))+indirect(address(793,15))-indirect(address(794,15))</f>
        <v>0</v>
      </c>
      <c r="P795">
        <f>indirect(address(795,15))+indirect(address(793,16))-indirect(address(794,16))</f>
        <v>0</v>
      </c>
      <c r="Q795">
        <f>indirect(address(795,16))+indirect(address(793,17))-indirect(address(794,17))</f>
        <v>0</v>
      </c>
      <c r="R795">
        <f>indirect(address(795,17))+indirect(address(793,18))-indirect(address(794,18))</f>
        <v>0</v>
      </c>
      <c r="S795">
        <f>indirect(address(795,18))+indirect(address(793,19))-indirect(address(794,19))</f>
        <v>0</v>
      </c>
      <c r="T795">
        <f>indirect(address(795,19))+indirect(address(793,20))-indirect(address(794,20))</f>
        <v>0</v>
      </c>
      <c r="U795">
        <f>indirect(address(795,20))+indirect(address(793,21))-indirect(address(794,21))</f>
        <v>0</v>
      </c>
      <c r="V795">
        <f>indirect(address(795,21))+indirect(address(793,22))-indirect(address(794,22))</f>
        <v>0</v>
      </c>
      <c r="W795">
        <f>indirect(address(795,22))+indirect(address(793,23))-indirect(address(794,23))</f>
        <v>0</v>
      </c>
      <c r="X795">
        <f>indirect(address(795,23))+indirect(address(793,24))-indirect(address(794,24))</f>
        <v>0</v>
      </c>
      <c r="Y795">
        <f>indirect(address(795,24))+indirect(address(793,25))-indirect(address(794,25))</f>
        <v>0</v>
      </c>
      <c r="Z795">
        <f>indirect(address(795,25))+indirect(address(793,26))-indirect(address(794,26))</f>
        <v>0</v>
      </c>
      <c r="AA795">
        <f>indirect(address(795,26))+indirect(address(793,27))-indirect(address(794,27))</f>
        <v>0</v>
      </c>
      <c r="AB795">
        <f>indirect(address(795,27))+indirect(address(793,28))-indirect(address(794,28))</f>
        <v>0</v>
      </c>
      <c r="AC795">
        <f>indirect(address(795,28))+indirect(address(793,29))-indirect(address(794,29))</f>
        <v>0</v>
      </c>
      <c r="AD795">
        <f>indirect(address(795,29))+indirect(address(793,30))-indirect(address(794,30))</f>
        <v>0</v>
      </c>
      <c r="AE795">
        <f>indirect(address(795,30))+indirect(address(793,31))-indirect(address(794,31))</f>
        <v>0</v>
      </c>
      <c r="AF795">
        <f>indirect(address(795,31))+indirect(address(793,32))-indirect(address(794,32))</f>
        <v>0</v>
      </c>
      <c r="AG795">
        <f>indirect(address(795,32))+indirect(address(793,33))-indirect(address(794,33))</f>
        <v>0</v>
      </c>
      <c r="AH795">
        <f>indirect(address(795,33))+indirect(address(793,34))-indirect(address(794,34))</f>
        <v>0</v>
      </c>
      <c r="AI795">
        <f>indirect(address(795,34))+indirect(address(793,35))-indirect(address(794,35))</f>
        <v>0</v>
      </c>
      <c r="AJ795">
        <f>indirect(address(795,35))+indirect(address(793,36))-indirect(address(794,36))</f>
        <v>0</v>
      </c>
      <c r="AK795">
        <f>indirect(address(795,36))+indirect(address(793,37))-indirect(address(794,37))</f>
        <v>0</v>
      </c>
      <c r="AL795">
        <f>indirect(address(795,37))+indirect(address(793,38))-indirect(address(794,38))</f>
        <v>0</v>
      </c>
      <c r="AM795">
        <f>indirect(address(795,38))+indirect(address(793,39))-indirect(address(794,39))</f>
        <v>0</v>
      </c>
      <c r="AN795">
        <f>indirect(address(795,39))+indirect(address(793,40))-indirect(address(794,40))</f>
        <v>0</v>
      </c>
      <c r="AO795">
        <f>indirect(address(795,40))+indirect(address(793,41))-indirect(address(794,41))</f>
        <v>0</v>
      </c>
    </row>
    <row r="796" spans="1:41">
      <c r="I796" t="s">
        <v>14</v>
      </c>
      <c r="AO796">
        <f>sum(j796:an796)</f>
        <v>0</v>
      </c>
    </row>
    <row r="797" spans="1:41">
      <c r="I797" t="s">
        <v>15</v>
      </c>
      <c r="J797">
        <f>sumif(Plan!B:B,"261-000000-111",Plan!j:j)</f>
        <v>0</v>
      </c>
      <c r="K797">
        <f>sumif(Plan!B:B,"261-000000-111",Plan!k:k)</f>
        <v>0</v>
      </c>
      <c r="L797">
        <f>sumif(Plan!B:B,"261-000000-111",Plan!l:l)</f>
        <v>0</v>
      </c>
      <c r="M797">
        <f>sumif(Plan!B:B,"261-000000-111",Plan!m:m)</f>
        <v>0</v>
      </c>
      <c r="N797">
        <f>sumif(Plan!B:B,"261-000000-111",Plan!n:n)</f>
        <v>0</v>
      </c>
      <c r="O797">
        <f>sumif(Plan!B:B,"261-000000-111",Plan!o:o)</f>
        <v>0</v>
      </c>
      <c r="P797">
        <f>sumif(Plan!B:B,"261-000000-111",Plan!p:p)</f>
        <v>0</v>
      </c>
      <c r="Q797">
        <f>sumif(Plan!B:B,"261-000000-111",Plan!q:q)</f>
        <v>0</v>
      </c>
      <c r="R797">
        <f>sumif(Plan!B:B,"261-000000-111",Plan!r:r)</f>
        <v>0</v>
      </c>
      <c r="S797">
        <f>sumif(Plan!B:B,"261-000000-111",Plan!s:s)</f>
        <v>0</v>
      </c>
      <c r="T797">
        <f>sumif(Plan!B:B,"261-000000-111",Plan!t:t)</f>
        <v>0</v>
      </c>
      <c r="U797">
        <f>sumif(Plan!B:B,"261-000000-111",Plan!u:u)</f>
        <v>0</v>
      </c>
      <c r="V797">
        <f>sumif(Plan!B:B,"261-000000-111",Plan!v:v)</f>
        <v>0</v>
      </c>
      <c r="W797">
        <f>sumif(Plan!B:B,"261-000000-111",Plan!w:w)</f>
        <v>0</v>
      </c>
      <c r="X797">
        <f>sumif(Plan!B:B,"261-000000-111",Plan!x:x)</f>
        <v>0</v>
      </c>
      <c r="Y797">
        <f>sumif(Plan!B:B,"261-000000-111",Plan!y:y)</f>
        <v>0</v>
      </c>
      <c r="Z797">
        <f>sumif(Plan!B:B,"261-000000-111",Plan!z:z)</f>
        <v>0</v>
      </c>
      <c r="AA797">
        <f>sumif(Plan!B:B,"261-000000-111",Plan!aa:aa)</f>
        <v>0</v>
      </c>
      <c r="AB797">
        <f>sumif(Plan!B:B,"261-000000-111",Plan!ab:ab)</f>
        <v>0</v>
      </c>
      <c r="AC797">
        <f>sumif(Plan!B:B,"261-000000-111",Plan!ac:ac)</f>
        <v>0</v>
      </c>
      <c r="AD797">
        <f>sumif(Plan!B:B,"261-000000-111",Plan!ad:ad)</f>
        <v>0</v>
      </c>
      <c r="AE797">
        <f>sumif(Plan!B:B,"261-000000-111",Plan!ae:ae)</f>
        <v>0</v>
      </c>
      <c r="AF797">
        <f>sumif(Plan!B:B,"261-000000-111",Plan!af:af)</f>
        <v>0</v>
      </c>
      <c r="AG797">
        <f>sumif(Plan!B:B,"261-000000-111",Plan!ag:ag)</f>
        <v>0</v>
      </c>
      <c r="AH797">
        <f>sumif(Plan!B:B,"261-000000-111",Plan!ah:ah)</f>
        <v>0</v>
      </c>
      <c r="AI797">
        <f>sumif(Plan!B:B,"261-000000-111",Plan!ai:ai)</f>
        <v>0</v>
      </c>
      <c r="AJ797">
        <f>sumif(Plan!B:B,"261-000000-111",Plan!aj:aj)</f>
        <v>0</v>
      </c>
      <c r="AK797">
        <f>sumif(Plan!B:B,"261-000000-111",Plan!ak:ak)</f>
        <v>0</v>
      </c>
      <c r="AL797">
        <f>sumif(Plan!B:B,"261-000000-111",Plan!al:al)</f>
        <v>0</v>
      </c>
      <c r="AM797">
        <f>sumif(Plan!B:B,"261-000000-111",Plan!am:am)</f>
        <v>0</v>
      </c>
      <c r="AN797">
        <f>sumif(Plan!B:B,"261-000000-111",Plan!an:an)</f>
        <v>0</v>
      </c>
      <c r="AO797">
        <f>sumif(Plan!B:B,"261-000000-111",Plan!ao:ao)</f>
        <v>0</v>
      </c>
    </row>
    <row r="798" spans="1:41">
      <c r="A798" t="s">
        <v>22</v>
      </c>
      <c r="B798" t="s">
        <v>524</v>
      </c>
      <c r="C798" t="s">
        <v>525</v>
      </c>
      <c r="E798">
        <v>1</v>
      </c>
      <c r="F798" t="s">
        <v>13</v>
      </c>
      <c r="H798" t="s">
        <v>16</v>
      </c>
      <c r="J798">
        <f>indirect(address(798,9))+indirect(address(796,10))-indirect(address(797,10))</f>
        <v>0</v>
      </c>
      <c r="K798">
        <f>indirect(address(798,10))+indirect(address(796,11))-indirect(address(797,11))</f>
        <v>0</v>
      </c>
      <c r="L798">
        <f>indirect(address(798,11))+indirect(address(796,12))-indirect(address(797,12))</f>
        <v>0</v>
      </c>
      <c r="M798">
        <f>indirect(address(798,12))+indirect(address(796,13))-indirect(address(797,13))</f>
        <v>0</v>
      </c>
      <c r="N798">
        <f>indirect(address(798,13))+indirect(address(796,14))-indirect(address(797,14))</f>
        <v>0</v>
      </c>
      <c r="O798">
        <f>indirect(address(798,14))+indirect(address(796,15))-indirect(address(797,15))</f>
        <v>0</v>
      </c>
      <c r="P798">
        <f>indirect(address(798,15))+indirect(address(796,16))-indirect(address(797,16))</f>
        <v>0</v>
      </c>
      <c r="Q798">
        <f>indirect(address(798,16))+indirect(address(796,17))-indirect(address(797,17))</f>
        <v>0</v>
      </c>
      <c r="R798">
        <f>indirect(address(798,17))+indirect(address(796,18))-indirect(address(797,18))</f>
        <v>0</v>
      </c>
      <c r="S798">
        <f>indirect(address(798,18))+indirect(address(796,19))-indirect(address(797,19))</f>
        <v>0</v>
      </c>
      <c r="T798">
        <f>indirect(address(798,19))+indirect(address(796,20))-indirect(address(797,20))</f>
        <v>0</v>
      </c>
      <c r="U798">
        <f>indirect(address(798,20))+indirect(address(796,21))-indirect(address(797,21))</f>
        <v>0</v>
      </c>
      <c r="V798">
        <f>indirect(address(798,21))+indirect(address(796,22))-indirect(address(797,22))</f>
        <v>0</v>
      </c>
      <c r="W798">
        <f>indirect(address(798,22))+indirect(address(796,23))-indirect(address(797,23))</f>
        <v>0</v>
      </c>
      <c r="X798">
        <f>indirect(address(798,23))+indirect(address(796,24))-indirect(address(797,24))</f>
        <v>0</v>
      </c>
      <c r="Y798">
        <f>indirect(address(798,24))+indirect(address(796,25))-indirect(address(797,25))</f>
        <v>0</v>
      </c>
      <c r="Z798">
        <f>indirect(address(798,25))+indirect(address(796,26))-indirect(address(797,26))</f>
        <v>0</v>
      </c>
      <c r="AA798">
        <f>indirect(address(798,26))+indirect(address(796,27))-indirect(address(797,27))</f>
        <v>0</v>
      </c>
      <c r="AB798">
        <f>indirect(address(798,27))+indirect(address(796,28))-indirect(address(797,28))</f>
        <v>0</v>
      </c>
      <c r="AC798">
        <f>indirect(address(798,28))+indirect(address(796,29))-indirect(address(797,29))</f>
        <v>0</v>
      </c>
      <c r="AD798">
        <f>indirect(address(798,29))+indirect(address(796,30))-indirect(address(797,30))</f>
        <v>0</v>
      </c>
      <c r="AE798">
        <f>indirect(address(798,30))+indirect(address(796,31))-indirect(address(797,31))</f>
        <v>0</v>
      </c>
      <c r="AF798">
        <f>indirect(address(798,31))+indirect(address(796,32))-indirect(address(797,32))</f>
        <v>0</v>
      </c>
      <c r="AG798">
        <f>indirect(address(798,32))+indirect(address(796,33))-indirect(address(797,33))</f>
        <v>0</v>
      </c>
      <c r="AH798">
        <f>indirect(address(798,33))+indirect(address(796,34))-indirect(address(797,34))</f>
        <v>0</v>
      </c>
      <c r="AI798">
        <f>indirect(address(798,34))+indirect(address(796,35))-indirect(address(797,35))</f>
        <v>0</v>
      </c>
      <c r="AJ798">
        <f>indirect(address(798,35))+indirect(address(796,36))-indirect(address(797,36))</f>
        <v>0</v>
      </c>
      <c r="AK798">
        <f>indirect(address(798,36))+indirect(address(796,37))-indirect(address(797,37))</f>
        <v>0</v>
      </c>
      <c r="AL798">
        <f>indirect(address(798,37))+indirect(address(796,38))-indirect(address(797,38))</f>
        <v>0</v>
      </c>
      <c r="AM798">
        <f>indirect(address(798,38))+indirect(address(796,39))-indirect(address(797,39))</f>
        <v>0</v>
      </c>
      <c r="AN798">
        <f>indirect(address(798,39))+indirect(address(796,40))-indirect(address(797,40))</f>
        <v>0</v>
      </c>
      <c r="AO798">
        <f>indirect(address(798,40))+indirect(address(796,41))-indirect(address(797,41))</f>
        <v>0</v>
      </c>
    </row>
    <row r="799" spans="1:41">
      <c r="I799" t="s">
        <v>14</v>
      </c>
      <c r="AO799">
        <f>sum(j799:an799)</f>
        <v>0</v>
      </c>
    </row>
    <row r="800" spans="1:41">
      <c r="I800" t="s">
        <v>15</v>
      </c>
      <c r="J800">
        <f>sumif(Plan!B:B,"261-000000-112",Plan!j:j)</f>
        <v>0</v>
      </c>
      <c r="K800">
        <f>sumif(Plan!B:B,"261-000000-112",Plan!k:k)</f>
        <v>0</v>
      </c>
      <c r="L800">
        <f>sumif(Plan!B:B,"261-000000-112",Plan!l:l)</f>
        <v>0</v>
      </c>
      <c r="M800">
        <f>sumif(Plan!B:B,"261-000000-112",Plan!m:m)</f>
        <v>0</v>
      </c>
      <c r="N800">
        <f>sumif(Plan!B:B,"261-000000-112",Plan!n:n)</f>
        <v>0</v>
      </c>
      <c r="O800">
        <f>sumif(Plan!B:B,"261-000000-112",Plan!o:o)</f>
        <v>0</v>
      </c>
      <c r="P800">
        <f>sumif(Plan!B:B,"261-000000-112",Plan!p:p)</f>
        <v>0</v>
      </c>
      <c r="Q800">
        <f>sumif(Plan!B:B,"261-000000-112",Plan!q:q)</f>
        <v>0</v>
      </c>
      <c r="R800">
        <f>sumif(Plan!B:B,"261-000000-112",Plan!r:r)</f>
        <v>0</v>
      </c>
      <c r="S800">
        <f>sumif(Plan!B:B,"261-000000-112",Plan!s:s)</f>
        <v>0</v>
      </c>
      <c r="T800">
        <f>sumif(Plan!B:B,"261-000000-112",Plan!t:t)</f>
        <v>0</v>
      </c>
      <c r="U800">
        <f>sumif(Plan!B:B,"261-000000-112",Plan!u:u)</f>
        <v>0</v>
      </c>
      <c r="V800">
        <f>sumif(Plan!B:B,"261-000000-112",Plan!v:v)</f>
        <v>0</v>
      </c>
      <c r="W800">
        <f>sumif(Plan!B:B,"261-000000-112",Plan!w:w)</f>
        <v>0</v>
      </c>
      <c r="X800">
        <f>sumif(Plan!B:B,"261-000000-112",Plan!x:x)</f>
        <v>0</v>
      </c>
      <c r="Y800">
        <f>sumif(Plan!B:B,"261-000000-112",Plan!y:y)</f>
        <v>0</v>
      </c>
      <c r="Z800">
        <f>sumif(Plan!B:B,"261-000000-112",Plan!z:z)</f>
        <v>0</v>
      </c>
      <c r="AA800">
        <f>sumif(Plan!B:B,"261-000000-112",Plan!aa:aa)</f>
        <v>0</v>
      </c>
      <c r="AB800">
        <f>sumif(Plan!B:B,"261-000000-112",Plan!ab:ab)</f>
        <v>0</v>
      </c>
      <c r="AC800">
        <f>sumif(Plan!B:B,"261-000000-112",Plan!ac:ac)</f>
        <v>0</v>
      </c>
      <c r="AD800">
        <f>sumif(Plan!B:B,"261-000000-112",Plan!ad:ad)</f>
        <v>0</v>
      </c>
      <c r="AE800">
        <f>sumif(Plan!B:B,"261-000000-112",Plan!ae:ae)</f>
        <v>0</v>
      </c>
      <c r="AF800">
        <f>sumif(Plan!B:B,"261-000000-112",Plan!af:af)</f>
        <v>0</v>
      </c>
      <c r="AG800">
        <f>sumif(Plan!B:B,"261-000000-112",Plan!ag:ag)</f>
        <v>0</v>
      </c>
      <c r="AH800">
        <f>sumif(Plan!B:B,"261-000000-112",Plan!ah:ah)</f>
        <v>0</v>
      </c>
      <c r="AI800">
        <f>sumif(Plan!B:B,"261-000000-112",Plan!ai:ai)</f>
        <v>0</v>
      </c>
      <c r="AJ800">
        <f>sumif(Plan!B:B,"261-000000-112",Plan!aj:aj)</f>
        <v>0</v>
      </c>
      <c r="AK800">
        <f>sumif(Plan!B:B,"261-000000-112",Plan!ak:ak)</f>
        <v>0</v>
      </c>
      <c r="AL800">
        <f>sumif(Plan!B:B,"261-000000-112",Plan!al:al)</f>
        <v>0</v>
      </c>
      <c r="AM800">
        <f>sumif(Plan!B:B,"261-000000-112",Plan!am:am)</f>
        <v>0</v>
      </c>
      <c r="AN800">
        <f>sumif(Plan!B:B,"261-000000-112",Plan!an:an)</f>
        <v>0</v>
      </c>
      <c r="AO800">
        <f>sumif(Plan!B:B,"261-000000-112",Plan!ao:ao)</f>
        <v>0</v>
      </c>
    </row>
    <row r="801" spans="1:41">
      <c r="A801" t="s">
        <v>22</v>
      </c>
      <c r="B801" t="s">
        <v>526</v>
      </c>
      <c r="C801" t="s">
        <v>527</v>
      </c>
      <c r="E801">
        <v>1</v>
      </c>
      <c r="F801" t="s">
        <v>13</v>
      </c>
      <c r="H801" t="s">
        <v>16</v>
      </c>
      <c r="J801">
        <f>indirect(address(801,9))+indirect(address(799,10))-indirect(address(800,10))</f>
        <v>0</v>
      </c>
      <c r="K801">
        <f>indirect(address(801,10))+indirect(address(799,11))-indirect(address(800,11))</f>
        <v>0</v>
      </c>
      <c r="L801">
        <f>indirect(address(801,11))+indirect(address(799,12))-indirect(address(800,12))</f>
        <v>0</v>
      </c>
      <c r="M801">
        <f>indirect(address(801,12))+indirect(address(799,13))-indirect(address(800,13))</f>
        <v>0</v>
      </c>
      <c r="N801">
        <f>indirect(address(801,13))+indirect(address(799,14))-indirect(address(800,14))</f>
        <v>0</v>
      </c>
      <c r="O801">
        <f>indirect(address(801,14))+indirect(address(799,15))-indirect(address(800,15))</f>
        <v>0</v>
      </c>
      <c r="P801">
        <f>indirect(address(801,15))+indirect(address(799,16))-indirect(address(800,16))</f>
        <v>0</v>
      </c>
      <c r="Q801">
        <f>indirect(address(801,16))+indirect(address(799,17))-indirect(address(800,17))</f>
        <v>0</v>
      </c>
      <c r="R801">
        <f>indirect(address(801,17))+indirect(address(799,18))-indirect(address(800,18))</f>
        <v>0</v>
      </c>
      <c r="S801">
        <f>indirect(address(801,18))+indirect(address(799,19))-indirect(address(800,19))</f>
        <v>0</v>
      </c>
      <c r="T801">
        <f>indirect(address(801,19))+indirect(address(799,20))-indirect(address(800,20))</f>
        <v>0</v>
      </c>
      <c r="U801">
        <f>indirect(address(801,20))+indirect(address(799,21))-indirect(address(800,21))</f>
        <v>0</v>
      </c>
      <c r="V801">
        <f>indirect(address(801,21))+indirect(address(799,22))-indirect(address(800,22))</f>
        <v>0</v>
      </c>
      <c r="W801">
        <f>indirect(address(801,22))+indirect(address(799,23))-indirect(address(800,23))</f>
        <v>0</v>
      </c>
      <c r="X801">
        <f>indirect(address(801,23))+indirect(address(799,24))-indirect(address(800,24))</f>
        <v>0</v>
      </c>
      <c r="Y801">
        <f>indirect(address(801,24))+indirect(address(799,25))-indirect(address(800,25))</f>
        <v>0</v>
      </c>
      <c r="Z801">
        <f>indirect(address(801,25))+indirect(address(799,26))-indirect(address(800,26))</f>
        <v>0</v>
      </c>
      <c r="AA801">
        <f>indirect(address(801,26))+indirect(address(799,27))-indirect(address(800,27))</f>
        <v>0</v>
      </c>
      <c r="AB801">
        <f>indirect(address(801,27))+indirect(address(799,28))-indirect(address(800,28))</f>
        <v>0</v>
      </c>
      <c r="AC801">
        <f>indirect(address(801,28))+indirect(address(799,29))-indirect(address(800,29))</f>
        <v>0</v>
      </c>
      <c r="AD801">
        <f>indirect(address(801,29))+indirect(address(799,30))-indirect(address(800,30))</f>
        <v>0</v>
      </c>
      <c r="AE801">
        <f>indirect(address(801,30))+indirect(address(799,31))-indirect(address(800,31))</f>
        <v>0</v>
      </c>
      <c r="AF801">
        <f>indirect(address(801,31))+indirect(address(799,32))-indirect(address(800,32))</f>
        <v>0</v>
      </c>
      <c r="AG801">
        <f>indirect(address(801,32))+indirect(address(799,33))-indirect(address(800,33))</f>
        <v>0</v>
      </c>
      <c r="AH801">
        <f>indirect(address(801,33))+indirect(address(799,34))-indirect(address(800,34))</f>
        <v>0</v>
      </c>
      <c r="AI801">
        <f>indirect(address(801,34))+indirect(address(799,35))-indirect(address(800,35))</f>
        <v>0</v>
      </c>
      <c r="AJ801">
        <f>indirect(address(801,35))+indirect(address(799,36))-indirect(address(800,36))</f>
        <v>0</v>
      </c>
      <c r="AK801">
        <f>indirect(address(801,36))+indirect(address(799,37))-indirect(address(800,37))</f>
        <v>0</v>
      </c>
      <c r="AL801">
        <f>indirect(address(801,37))+indirect(address(799,38))-indirect(address(800,38))</f>
        <v>0</v>
      </c>
      <c r="AM801">
        <f>indirect(address(801,38))+indirect(address(799,39))-indirect(address(800,39))</f>
        <v>0</v>
      </c>
      <c r="AN801">
        <f>indirect(address(801,39))+indirect(address(799,40))-indirect(address(800,40))</f>
        <v>0</v>
      </c>
      <c r="AO801">
        <f>indirect(address(801,40))+indirect(address(799,41))-indirect(address(800,41))</f>
        <v>0</v>
      </c>
    </row>
    <row r="802" spans="1:41">
      <c r="I802" t="s">
        <v>14</v>
      </c>
      <c r="AO802">
        <f>sum(j802:an802)</f>
        <v>0</v>
      </c>
    </row>
    <row r="803" spans="1:41">
      <c r="I803" t="s">
        <v>15</v>
      </c>
      <c r="J803">
        <f>sumif(Plan!B:B,"241-014600-000",Plan!j:j)</f>
        <v>0</v>
      </c>
      <c r="K803">
        <f>sumif(Plan!B:B,"241-014600-000",Plan!k:k)</f>
        <v>0</v>
      </c>
      <c r="L803">
        <f>sumif(Plan!B:B,"241-014600-000",Plan!l:l)</f>
        <v>0</v>
      </c>
      <c r="M803">
        <f>sumif(Plan!B:B,"241-014600-000",Plan!m:m)</f>
        <v>0</v>
      </c>
      <c r="N803">
        <f>sumif(Plan!B:B,"241-014600-000",Plan!n:n)</f>
        <v>0</v>
      </c>
      <c r="O803">
        <f>sumif(Plan!B:B,"241-014600-000",Plan!o:o)</f>
        <v>0</v>
      </c>
      <c r="P803">
        <f>sumif(Plan!B:B,"241-014600-000",Plan!p:p)</f>
        <v>0</v>
      </c>
      <c r="Q803">
        <f>sumif(Plan!B:B,"241-014600-000",Plan!q:q)</f>
        <v>0</v>
      </c>
      <c r="R803">
        <f>sumif(Plan!B:B,"241-014600-000",Plan!r:r)</f>
        <v>0</v>
      </c>
      <c r="S803">
        <f>sumif(Plan!B:B,"241-014600-000",Plan!s:s)</f>
        <v>0</v>
      </c>
      <c r="T803">
        <f>sumif(Plan!B:B,"241-014600-000",Plan!t:t)</f>
        <v>0</v>
      </c>
      <c r="U803">
        <f>sumif(Plan!B:B,"241-014600-000",Plan!u:u)</f>
        <v>0</v>
      </c>
      <c r="V803">
        <f>sumif(Plan!B:B,"241-014600-000",Plan!v:v)</f>
        <v>0</v>
      </c>
      <c r="W803">
        <f>sumif(Plan!B:B,"241-014600-000",Plan!w:w)</f>
        <v>0</v>
      </c>
      <c r="X803">
        <f>sumif(Plan!B:B,"241-014600-000",Plan!x:x)</f>
        <v>0</v>
      </c>
      <c r="Y803">
        <f>sumif(Plan!B:B,"241-014600-000",Plan!y:y)</f>
        <v>0</v>
      </c>
      <c r="Z803">
        <f>sumif(Plan!B:B,"241-014600-000",Plan!z:z)</f>
        <v>0</v>
      </c>
      <c r="AA803">
        <f>sumif(Plan!B:B,"241-014600-000",Plan!aa:aa)</f>
        <v>0</v>
      </c>
      <c r="AB803">
        <f>sumif(Plan!B:B,"241-014600-000",Plan!ab:ab)</f>
        <v>0</v>
      </c>
      <c r="AC803">
        <f>sumif(Plan!B:B,"241-014600-000",Plan!ac:ac)</f>
        <v>0</v>
      </c>
      <c r="AD803">
        <f>sumif(Plan!B:B,"241-014600-000",Plan!ad:ad)</f>
        <v>0</v>
      </c>
      <c r="AE803">
        <f>sumif(Plan!B:B,"241-014600-000",Plan!ae:ae)</f>
        <v>0</v>
      </c>
      <c r="AF803">
        <f>sumif(Plan!B:B,"241-014600-000",Plan!af:af)</f>
        <v>0</v>
      </c>
      <c r="AG803">
        <f>sumif(Plan!B:B,"241-014600-000",Plan!ag:ag)</f>
        <v>0</v>
      </c>
      <c r="AH803">
        <f>sumif(Plan!B:B,"241-014600-000",Plan!ah:ah)</f>
        <v>0</v>
      </c>
      <c r="AI803">
        <f>sumif(Plan!B:B,"241-014600-000",Plan!ai:ai)</f>
        <v>0</v>
      </c>
      <c r="AJ803">
        <f>sumif(Plan!B:B,"241-014600-000",Plan!aj:aj)</f>
        <v>0</v>
      </c>
      <c r="AK803">
        <f>sumif(Plan!B:B,"241-014600-000",Plan!ak:ak)</f>
        <v>0</v>
      </c>
      <c r="AL803">
        <f>sumif(Plan!B:B,"241-014600-000",Plan!al:al)</f>
        <v>0</v>
      </c>
      <c r="AM803">
        <f>sumif(Plan!B:B,"241-014600-000",Plan!am:am)</f>
        <v>0</v>
      </c>
      <c r="AN803">
        <f>sumif(Plan!B:B,"241-014600-000",Plan!an:an)</f>
        <v>0</v>
      </c>
      <c r="AO803">
        <f>sumif(Plan!B:B,"241-014600-000",Plan!ao:ao)</f>
        <v>0</v>
      </c>
    </row>
    <row r="804" spans="1:41">
      <c r="A804" t="s">
        <v>78</v>
      </c>
      <c r="B804" t="s">
        <v>528</v>
      </c>
      <c r="C804" t="s">
        <v>529</v>
      </c>
      <c r="E804">
        <v>0.0625</v>
      </c>
      <c r="F804" t="s">
        <v>13</v>
      </c>
      <c r="H804" t="s">
        <v>16</v>
      </c>
      <c r="J804">
        <f>indirect(address(804,9))+indirect(address(802,10))-indirect(address(803,10))</f>
        <v>0</v>
      </c>
      <c r="K804">
        <f>indirect(address(804,10))+indirect(address(802,11))-indirect(address(803,11))</f>
        <v>0</v>
      </c>
      <c r="L804">
        <f>indirect(address(804,11))+indirect(address(802,12))-indirect(address(803,12))</f>
        <v>0</v>
      </c>
      <c r="M804">
        <f>indirect(address(804,12))+indirect(address(802,13))-indirect(address(803,13))</f>
        <v>0</v>
      </c>
      <c r="N804">
        <f>indirect(address(804,13))+indirect(address(802,14))-indirect(address(803,14))</f>
        <v>0</v>
      </c>
      <c r="O804">
        <f>indirect(address(804,14))+indirect(address(802,15))-indirect(address(803,15))</f>
        <v>0</v>
      </c>
      <c r="P804">
        <f>indirect(address(804,15))+indirect(address(802,16))-indirect(address(803,16))</f>
        <v>0</v>
      </c>
      <c r="Q804">
        <f>indirect(address(804,16))+indirect(address(802,17))-indirect(address(803,17))</f>
        <v>0</v>
      </c>
      <c r="R804">
        <f>indirect(address(804,17))+indirect(address(802,18))-indirect(address(803,18))</f>
        <v>0</v>
      </c>
      <c r="S804">
        <f>indirect(address(804,18))+indirect(address(802,19))-indirect(address(803,19))</f>
        <v>0</v>
      </c>
      <c r="T804">
        <f>indirect(address(804,19))+indirect(address(802,20))-indirect(address(803,20))</f>
        <v>0</v>
      </c>
      <c r="U804">
        <f>indirect(address(804,20))+indirect(address(802,21))-indirect(address(803,21))</f>
        <v>0</v>
      </c>
      <c r="V804">
        <f>indirect(address(804,21))+indirect(address(802,22))-indirect(address(803,22))</f>
        <v>0</v>
      </c>
      <c r="W804">
        <f>indirect(address(804,22))+indirect(address(802,23))-indirect(address(803,23))</f>
        <v>0</v>
      </c>
      <c r="X804">
        <f>indirect(address(804,23))+indirect(address(802,24))-indirect(address(803,24))</f>
        <v>0</v>
      </c>
      <c r="Y804">
        <f>indirect(address(804,24))+indirect(address(802,25))-indirect(address(803,25))</f>
        <v>0</v>
      </c>
      <c r="Z804">
        <f>indirect(address(804,25))+indirect(address(802,26))-indirect(address(803,26))</f>
        <v>0</v>
      </c>
      <c r="AA804">
        <f>indirect(address(804,26))+indirect(address(802,27))-indirect(address(803,27))</f>
        <v>0</v>
      </c>
      <c r="AB804">
        <f>indirect(address(804,27))+indirect(address(802,28))-indirect(address(803,28))</f>
        <v>0</v>
      </c>
      <c r="AC804">
        <f>indirect(address(804,28))+indirect(address(802,29))-indirect(address(803,29))</f>
        <v>0</v>
      </c>
      <c r="AD804">
        <f>indirect(address(804,29))+indirect(address(802,30))-indirect(address(803,30))</f>
        <v>0</v>
      </c>
      <c r="AE804">
        <f>indirect(address(804,30))+indirect(address(802,31))-indirect(address(803,31))</f>
        <v>0</v>
      </c>
      <c r="AF804">
        <f>indirect(address(804,31))+indirect(address(802,32))-indirect(address(803,32))</f>
        <v>0</v>
      </c>
      <c r="AG804">
        <f>indirect(address(804,32))+indirect(address(802,33))-indirect(address(803,33))</f>
        <v>0</v>
      </c>
      <c r="AH804">
        <f>indirect(address(804,33))+indirect(address(802,34))-indirect(address(803,34))</f>
        <v>0</v>
      </c>
      <c r="AI804">
        <f>indirect(address(804,34))+indirect(address(802,35))-indirect(address(803,35))</f>
        <v>0</v>
      </c>
      <c r="AJ804">
        <f>indirect(address(804,35))+indirect(address(802,36))-indirect(address(803,36))</f>
        <v>0</v>
      </c>
      <c r="AK804">
        <f>indirect(address(804,36))+indirect(address(802,37))-indirect(address(803,37))</f>
        <v>0</v>
      </c>
      <c r="AL804">
        <f>indirect(address(804,37))+indirect(address(802,38))-indirect(address(803,38))</f>
        <v>0</v>
      </c>
      <c r="AM804">
        <f>indirect(address(804,38))+indirect(address(802,39))-indirect(address(803,39))</f>
        <v>0</v>
      </c>
      <c r="AN804">
        <f>indirect(address(804,39))+indirect(address(802,40))-indirect(address(803,40))</f>
        <v>0</v>
      </c>
      <c r="AO804">
        <f>indirect(address(804,40))+indirect(address(802,41))-indirect(address(803,41))</f>
        <v>0</v>
      </c>
    </row>
    <row r="805" spans="1:41">
      <c r="I805" t="s">
        <v>14</v>
      </c>
      <c r="AO805">
        <f>sum(j805:an805)</f>
        <v>0</v>
      </c>
    </row>
    <row r="806" spans="1:41">
      <c r="I806" t="s">
        <v>15</v>
      </c>
      <c r="J806">
        <f>sumif(Plan!B:B,"241-014600-001",Plan!j:j)</f>
        <v>0</v>
      </c>
      <c r="K806">
        <f>sumif(Plan!B:B,"241-014600-001",Plan!k:k)</f>
        <v>0</v>
      </c>
      <c r="L806">
        <f>sumif(Plan!B:B,"241-014600-001",Plan!l:l)</f>
        <v>0</v>
      </c>
      <c r="M806">
        <f>sumif(Plan!B:B,"241-014600-001",Plan!m:m)</f>
        <v>0</v>
      </c>
      <c r="N806">
        <f>sumif(Plan!B:B,"241-014600-001",Plan!n:n)</f>
        <v>0</v>
      </c>
      <c r="O806">
        <f>sumif(Plan!B:B,"241-014600-001",Plan!o:o)</f>
        <v>0</v>
      </c>
      <c r="P806">
        <f>sumif(Plan!B:B,"241-014600-001",Plan!p:p)</f>
        <v>0</v>
      </c>
      <c r="Q806">
        <f>sumif(Plan!B:B,"241-014600-001",Plan!q:q)</f>
        <v>0</v>
      </c>
      <c r="R806">
        <f>sumif(Plan!B:B,"241-014600-001",Plan!r:r)</f>
        <v>0</v>
      </c>
      <c r="S806">
        <f>sumif(Plan!B:B,"241-014600-001",Plan!s:s)</f>
        <v>0</v>
      </c>
      <c r="T806">
        <f>sumif(Plan!B:B,"241-014600-001",Plan!t:t)</f>
        <v>0</v>
      </c>
      <c r="U806">
        <f>sumif(Plan!B:B,"241-014600-001",Plan!u:u)</f>
        <v>0</v>
      </c>
      <c r="V806">
        <f>sumif(Plan!B:B,"241-014600-001",Plan!v:v)</f>
        <v>0</v>
      </c>
      <c r="W806">
        <f>sumif(Plan!B:B,"241-014600-001",Plan!w:w)</f>
        <v>0</v>
      </c>
      <c r="X806">
        <f>sumif(Plan!B:B,"241-014600-001",Plan!x:x)</f>
        <v>0</v>
      </c>
      <c r="Y806">
        <f>sumif(Plan!B:B,"241-014600-001",Plan!y:y)</f>
        <v>0</v>
      </c>
      <c r="Z806">
        <f>sumif(Plan!B:B,"241-014600-001",Plan!z:z)</f>
        <v>0</v>
      </c>
      <c r="AA806">
        <f>sumif(Plan!B:B,"241-014600-001",Plan!aa:aa)</f>
        <v>0</v>
      </c>
      <c r="AB806">
        <f>sumif(Plan!B:B,"241-014600-001",Plan!ab:ab)</f>
        <v>0</v>
      </c>
      <c r="AC806">
        <f>sumif(Plan!B:B,"241-014600-001",Plan!ac:ac)</f>
        <v>0</v>
      </c>
      <c r="AD806">
        <f>sumif(Plan!B:B,"241-014600-001",Plan!ad:ad)</f>
        <v>0</v>
      </c>
      <c r="AE806">
        <f>sumif(Plan!B:B,"241-014600-001",Plan!ae:ae)</f>
        <v>0</v>
      </c>
      <c r="AF806">
        <f>sumif(Plan!B:B,"241-014600-001",Plan!af:af)</f>
        <v>0</v>
      </c>
      <c r="AG806">
        <f>sumif(Plan!B:B,"241-014600-001",Plan!ag:ag)</f>
        <v>0</v>
      </c>
      <c r="AH806">
        <f>sumif(Plan!B:B,"241-014600-001",Plan!ah:ah)</f>
        <v>0</v>
      </c>
      <c r="AI806">
        <f>sumif(Plan!B:B,"241-014600-001",Plan!ai:ai)</f>
        <v>0</v>
      </c>
      <c r="AJ806">
        <f>sumif(Plan!B:B,"241-014600-001",Plan!aj:aj)</f>
        <v>0</v>
      </c>
      <c r="AK806">
        <f>sumif(Plan!B:B,"241-014600-001",Plan!ak:ak)</f>
        <v>0</v>
      </c>
      <c r="AL806">
        <f>sumif(Plan!B:B,"241-014600-001",Plan!al:al)</f>
        <v>0</v>
      </c>
      <c r="AM806">
        <f>sumif(Plan!B:B,"241-014600-001",Plan!am:am)</f>
        <v>0</v>
      </c>
      <c r="AN806">
        <f>sumif(Plan!B:B,"241-014600-001",Plan!an:an)</f>
        <v>0</v>
      </c>
      <c r="AO806">
        <f>sumif(Plan!B:B,"241-014600-001",Plan!ao:ao)</f>
        <v>0</v>
      </c>
    </row>
    <row r="807" spans="1:41">
      <c r="A807" t="s">
        <v>78</v>
      </c>
      <c r="B807" t="s">
        <v>530</v>
      </c>
      <c r="C807" t="s">
        <v>531</v>
      </c>
      <c r="E807">
        <v>0.1876</v>
      </c>
      <c r="F807" t="s">
        <v>13</v>
      </c>
      <c r="H807" t="s">
        <v>16</v>
      </c>
      <c r="J807">
        <f>indirect(address(807,9))+indirect(address(805,10))-indirect(address(806,10))</f>
        <v>0</v>
      </c>
      <c r="K807">
        <f>indirect(address(807,10))+indirect(address(805,11))-indirect(address(806,11))</f>
        <v>0</v>
      </c>
      <c r="L807">
        <f>indirect(address(807,11))+indirect(address(805,12))-indirect(address(806,12))</f>
        <v>0</v>
      </c>
      <c r="M807">
        <f>indirect(address(807,12))+indirect(address(805,13))-indirect(address(806,13))</f>
        <v>0</v>
      </c>
      <c r="N807">
        <f>indirect(address(807,13))+indirect(address(805,14))-indirect(address(806,14))</f>
        <v>0</v>
      </c>
      <c r="O807">
        <f>indirect(address(807,14))+indirect(address(805,15))-indirect(address(806,15))</f>
        <v>0</v>
      </c>
      <c r="P807">
        <f>indirect(address(807,15))+indirect(address(805,16))-indirect(address(806,16))</f>
        <v>0</v>
      </c>
      <c r="Q807">
        <f>indirect(address(807,16))+indirect(address(805,17))-indirect(address(806,17))</f>
        <v>0</v>
      </c>
      <c r="R807">
        <f>indirect(address(807,17))+indirect(address(805,18))-indirect(address(806,18))</f>
        <v>0</v>
      </c>
      <c r="S807">
        <f>indirect(address(807,18))+indirect(address(805,19))-indirect(address(806,19))</f>
        <v>0</v>
      </c>
      <c r="T807">
        <f>indirect(address(807,19))+indirect(address(805,20))-indirect(address(806,20))</f>
        <v>0</v>
      </c>
      <c r="U807">
        <f>indirect(address(807,20))+indirect(address(805,21))-indirect(address(806,21))</f>
        <v>0</v>
      </c>
      <c r="V807">
        <f>indirect(address(807,21))+indirect(address(805,22))-indirect(address(806,22))</f>
        <v>0</v>
      </c>
      <c r="W807">
        <f>indirect(address(807,22))+indirect(address(805,23))-indirect(address(806,23))</f>
        <v>0</v>
      </c>
      <c r="X807">
        <f>indirect(address(807,23))+indirect(address(805,24))-indirect(address(806,24))</f>
        <v>0</v>
      </c>
      <c r="Y807">
        <f>indirect(address(807,24))+indirect(address(805,25))-indirect(address(806,25))</f>
        <v>0</v>
      </c>
      <c r="Z807">
        <f>indirect(address(807,25))+indirect(address(805,26))-indirect(address(806,26))</f>
        <v>0</v>
      </c>
      <c r="AA807">
        <f>indirect(address(807,26))+indirect(address(805,27))-indirect(address(806,27))</f>
        <v>0</v>
      </c>
      <c r="AB807">
        <f>indirect(address(807,27))+indirect(address(805,28))-indirect(address(806,28))</f>
        <v>0</v>
      </c>
      <c r="AC807">
        <f>indirect(address(807,28))+indirect(address(805,29))-indirect(address(806,29))</f>
        <v>0</v>
      </c>
      <c r="AD807">
        <f>indirect(address(807,29))+indirect(address(805,30))-indirect(address(806,30))</f>
        <v>0</v>
      </c>
      <c r="AE807">
        <f>indirect(address(807,30))+indirect(address(805,31))-indirect(address(806,31))</f>
        <v>0</v>
      </c>
      <c r="AF807">
        <f>indirect(address(807,31))+indirect(address(805,32))-indirect(address(806,32))</f>
        <v>0</v>
      </c>
      <c r="AG807">
        <f>indirect(address(807,32))+indirect(address(805,33))-indirect(address(806,33))</f>
        <v>0</v>
      </c>
      <c r="AH807">
        <f>indirect(address(807,33))+indirect(address(805,34))-indirect(address(806,34))</f>
        <v>0</v>
      </c>
      <c r="AI807">
        <f>indirect(address(807,34))+indirect(address(805,35))-indirect(address(806,35))</f>
        <v>0</v>
      </c>
      <c r="AJ807">
        <f>indirect(address(807,35))+indirect(address(805,36))-indirect(address(806,36))</f>
        <v>0</v>
      </c>
      <c r="AK807">
        <f>indirect(address(807,36))+indirect(address(805,37))-indirect(address(806,37))</f>
        <v>0</v>
      </c>
      <c r="AL807">
        <f>indirect(address(807,37))+indirect(address(805,38))-indirect(address(806,38))</f>
        <v>0</v>
      </c>
      <c r="AM807">
        <f>indirect(address(807,38))+indirect(address(805,39))-indirect(address(806,39))</f>
        <v>0</v>
      </c>
      <c r="AN807">
        <f>indirect(address(807,39))+indirect(address(805,40))-indirect(address(806,40))</f>
        <v>0</v>
      </c>
      <c r="AO807">
        <f>indirect(address(807,40))+indirect(address(805,41))-indirect(address(806,41))</f>
        <v>0</v>
      </c>
    </row>
    <row r="808" spans="1:41">
      <c r="I808" t="s">
        <v>14</v>
      </c>
      <c r="AO808">
        <f>sum(j808:an808)</f>
        <v>0</v>
      </c>
    </row>
    <row r="809" spans="1:41">
      <c r="I809" t="s">
        <v>15</v>
      </c>
      <c r="J809">
        <f>sumif(Plan!B:B,"806-377348-110",Plan!j:j)</f>
        <v>0</v>
      </c>
      <c r="K809">
        <f>sumif(Plan!B:B,"806-377348-110",Plan!k:k)</f>
        <v>0</v>
      </c>
      <c r="L809">
        <f>sumif(Plan!B:B,"806-377348-110",Plan!l:l)</f>
        <v>0</v>
      </c>
      <c r="M809">
        <f>sumif(Plan!B:B,"806-377348-110",Plan!m:m)</f>
        <v>0</v>
      </c>
      <c r="N809">
        <f>sumif(Plan!B:B,"806-377348-110",Plan!n:n)</f>
        <v>0</v>
      </c>
      <c r="O809">
        <f>sumif(Plan!B:B,"806-377348-110",Plan!o:o)</f>
        <v>0</v>
      </c>
      <c r="P809">
        <f>sumif(Plan!B:B,"806-377348-110",Plan!p:p)</f>
        <v>0</v>
      </c>
      <c r="Q809">
        <f>sumif(Plan!B:B,"806-377348-110",Plan!q:q)</f>
        <v>0</v>
      </c>
      <c r="R809">
        <f>sumif(Plan!B:B,"806-377348-110",Plan!r:r)</f>
        <v>0</v>
      </c>
      <c r="S809">
        <f>sumif(Plan!B:B,"806-377348-110",Plan!s:s)</f>
        <v>0</v>
      </c>
      <c r="T809">
        <f>sumif(Plan!B:B,"806-377348-110",Plan!t:t)</f>
        <v>0</v>
      </c>
      <c r="U809">
        <f>sumif(Plan!B:B,"806-377348-110",Plan!u:u)</f>
        <v>0</v>
      </c>
      <c r="V809">
        <f>sumif(Plan!B:B,"806-377348-110",Plan!v:v)</f>
        <v>0</v>
      </c>
      <c r="W809">
        <f>sumif(Plan!B:B,"806-377348-110",Plan!w:w)</f>
        <v>0</v>
      </c>
      <c r="X809">
        <f>sumif(Plan!B:B,"806-377348-110",Plan!x:x)</f>
        <v>0</v>
      </c>
      <c r="Y809">
        <f>sumif(Plan!B:B,"806-377348-110",Plan!y:y)</f>
        <v>0</v>
      </c>
      <c r="Z809">
        <f>sumif(Plan!B:B,"806-377348-110",Plan!z:z)</f>
        <v>0</v>
      </c>
      <c r="AA809">
        <f>sumif(Plan!B:B,"806-377348-110",Plan!aa:aa)</f>
        <v>0</v>
      </c>
      <c r="AB809">
        <f>sumif(Plan!B:B,"806-377348-110",Plan!ab:ab)</f>
        <v>0</v>
      </c>
      <c r="AC809">
        <f>sumif(Plan!B:B,"806-377348-110",Plan!ac:ac)</f>
        <v>0</v>
      </c>
      <c r="AD809">
        <f>sumif(Plan!B:B,"806-377348-110",Plan!ad:ad)</f>
        <v>0</v>
      </c>
      <c r="AE809">
        <f>sumif(Plan!B:B,"806-377348-110",Plan!ae:ae)</f>
        <v>0</v>
      </c>
      <c r="AF809">
        <f>sumif(Plan!B:B,"806-377348-110",Plan!af:af)</f>
        <v>0</v>
      </c>
      <c r="AG809">
        <f>sumif(Plan!B:B,"806-377348-110",Plan!ag:ag)</f>
        <v>0</v>
      </c>
      <c r="AH809">
        <f>sumif(Plan!B:B,"806-377348-110",Plan!ah:ah)</f>
        <v>0</v>
      </c>
      <c r="AI809">
        <f>sumif(Plan!B:B,"806-377348-110",Plan!ai:ai)</f>
        <v>0</v>
      </c>
      <c r="AJ809">
        <f>sumif(Plan!B:B,"806-377348-110",Plan!aj:aj)</f>
        <v>0</v>
      </c>
      <c r="AK809">
        <f>sumif(Plan!B:B,"806-377348-110",Plan!ak:ak)</f>
        <v>0</v>
      </c>
      <c r="AL809">
        <f>sumif(Plan!B:B,"806-377348-110",Plan!al:al)</f>
        <v>0</v>
      </c>
      <c r="AM809">
        <f>sumif(Plan!B:B,"806-377348-110",Plan!am:am)</f>
        <v>0</v>
      </c>
      <c r="AN809">
        <f>sumif(Plan!B:B,"806-377348-110",Plan!an:an)</f>
        <v>0</v>
      </c>
      <c r="AO809">
        <f>sumif(Plan!B:B,"806-377348-110",Plan!ao:ao)</f>
        <v>0</v>
      </c>
    </row>
    <row r="810" spans="1:41">
      <c r="A810" t="s">
        <v>17</v>
      </c>
      <c r="B810" t="s">
        <v>534</v>
      </c>
      <c r="C810" t="s">
        <v>505</v>
      </c>
      <c r="E810">
        <v>1</v>
      </c>
      <c r="F810" t="s">
        <v>13</v>
      </c>
      <c r="H810" t="s">
        <v>16</v>
      </c>
      <c r="J810">
        <f>indirect(address(810,9))+indirect(address(808,10))-indirect(address(809,10))</f>
        <v>0</v>
      </c>
      <c r="K810">
        <f>indirect(address(810,10))+indirect(address(808,11))-indirect(address(809,11))</f>
        <v>0</v>
      </c>
      <c r="L810">
        <f>indirect(address(810,11))+indirect(address(808,12))-indirect(address(809,12))</f>
        <v>0</v>
      </c>
      <c r="M810">
        <f>indirect(address(810,12))+indirect(address(808,13))-indirect(address(809,13))</f>
        <v>0</v>
      </c>
      <c r="N810">
        <f>indirect(address(810,13))+indirect(address(808,14))-indirect(address(809,14))</f>
        <v>0</v>
      </c>
      <c r="O810">
        <f>indirect(address(810,14))+indirect(address(808,15))-indirect(address(809,15))</f>
        <v>0</v>
      </c>
      <c r="P810">
        <f>indirect(address(810,15))+indirect(address(808,16))-indirect(address(809,16))</f>
        <v>0</v>
      </c>
      <c r="Q810">
        <f>indirect(address(810,16))+indirect(address(808,17))-indirect(address(809,17))</f>
        <v>0</v>
      </c>
      <c r="R810">
        <f>indirect(address(810,17))+indirect(address(808,18))-indirect(address(809,18))</f>
        <v>0</v>
      </c>
      <c r="S810">
        <f>indirect(address(810,18))+indirect(address(808,19))-indirect(address(809,19))</f>
        <v>0</v>
      </c>
      <c r="T810">
        <f>indirect(address(810,19))+indirect(address(808,20))-indirect(address(809,20))</f>
        <v>0</v>
      </c>
      <c r="U810">
        <f>indirect(address(810,20))+indirect(address(808,21))-indirect(address(809,21))</f>
        <v>0</v>
      </c>
      <c r="V810">
        <f>indirect(address(810,21))+indirect(address(808,22))-indirect(address(809,22))</f>
        <v>0</v>
      </c>
      <c r="W810">
        <f>indirect(address(810,22))+indirect(address(808,23))-indirect(address(809,23))</f>
        <v>0</v>
      </c>
      <c r="X810">
        <f>indirect(address(810,23))+indirect(address(808,24))-indirect(address(809,24))</f>
        <v>0</v>
      </c>
      <c r="Y810">
        <f>indirect(address(810,24))+indirect(address(808,25))-indirect(address(809,25))</f>
        <v>0</v>
      </c>
      <c r="Z810">
        <f>indirect(address(810,25))+indirect(address(808,26))-indirect(address(809,26))</f>
        <v>0</v>
      </c>
      <c r="AA810">
        <f>indirect(address(810,26))+indirect(address(808,27))-indirect(address(809,27))</f>
        <v>0</v>
      </c>
      <c r="AB810">
        <f>indirect(address(810,27))+indirect(address(808,28))-indirect(address(809,28))</f>
        <v>0</v>
      </c>
      <c r="AC810">
        <f>indirect(address(810,28))+indirect(address(808,29))-indirect(address(809,29))</f>
        <v>0</v>
      </c>
      <c r="AD810">
        <f>indirect(address(810,29))+indirect(address(808,30))-indirect(address(809,30))</f>
        <v>0</v>
      </c>
      <c r="AE810">
        <f>indirect(address(810,30))+indirect(address(808,31))-indirect(address(809,31))</f>
        <v>0</v>
      </c>
      <c r="AF810">
        <f>indirect(address(810,31))+indirect(address(808,32))-indirect(address(809,32))</f>
        <v>0</v>
      </c>
      <c r="AG810">
        <f>indirect(address(810,32))+indirect(address(808,33))-indirect(address(809,33))</f>
        <v>0</v>
      </c>
      <c r="AH810">
        <f>indirect(address(810,33))+indirect(address(808,34))-indirect(address(809,34))</f>
        <v>0</v>
      </c>
      <c r="AI810">
        <f>indirect(address(810,34))+indirect(address(808,35))-indirect(address(809,35))</f>
        <v>0</v>
      </c>
      <c r="AJ810">
        <f>indirect(address(810,35))+indirect(address(808,36))-indirect(address(809,36))</f>
        <v>0</v>
      </c>
      <c r="AK810">
        <f>indirect(address(810,36))+indirect(address(808,37))-indirect(address(809,37))</f>
        <v>0</v>
      </c>
      <c r="AL810">
        <f>indirect(address(810,37))+indirect(address(808,38))-indirect(address(809,38))</f>
        <v>0</v>
      </c>
      <c r="AM810">
        <f>indirect(address(810,38))+indirect(address(808,39))-indirect(address(809,39))</f>
        <v>0</v>
      </c>
      <c r="AN810">
        <f>indirect(address(810,39))+indirect(address(808,40))-indirect(address(809,40))</f>
        <v>0</v>
      </c>
      <c r="AO810">
        <f>indirect(address(810,40))+indirect(address(808,41))-indirect(address(809,41))</f>
        <v>0</v>
      </c>
    </row>
    <row r="811" spans="1:41">
      <c r="I811" t="s">
        <v>14</v>
      </c>
      <c r="AO811">
        <f>sum(j811:an811)</f>
        <v>0</v>
      </c>
    </row>
    <row r="812" spans="1:41">
      <c r="I812" t="s">
        <v>15</v>
      </c>
      <c r="J812">
        <f>sumif(Plan!B:B,"906-401348-110",Plan!j:j)</f>
        <v>0</v>
      </c>
      <c r="K812">
        <f>sumif(Plan!B:B,"906-401348-110",Plan!k:k)</f>
        <v>0</v>
      </c>
      <c r="L812">
        <f>sumif(Plan!B:B,"906-401348-110",Plan!l:l)</f>
        <v>0</v>
      </c>
      <c r="M812">
        <f>sumif(Plan!B:B,"906-401348-110",Plan!m:m)</f>
        <v>0</v>
      </c>
      <c r="N812">
        <f>sumif(Plan!B:B,"906-401348-110",Plan!n:n)</f>
        <v>0</v>
      </c>
      <c r="O812">
        <f>sumif(Plan!B:B,"906-401348-110",Plan!o:o)</f>
        <v>0</v>
      </c>
      <c r="P812">
        <f>sumif(Plan!B:B,"906-401348-110",Plan!p:p)</f>
        <v>0</v>
      </c>
      <c r="Q812">
        <f>sumif(Plan!B:B,"906-401348-110",Plan!q:q)</f>
        <v>0</v>
      </c>
      <c r="R812">
        <f>sumif(Plan!B:B,"906-401348-110",Plan!r:r)</f>
        <v>0</v>
      </c>
      <c r="S812">
        <f>sumif(Plan!B:B,"906-401348-110",Plan!s:s)</f>
        <v>0</v>
      </c>
      <c r="T812">
        <f>sumif(Plan!B:B,"906-401348-110",Plan!t:t)</f>
        <v>0</v>
      </c>
      <c r="U812">
        <f>sumif(Plan!B:B,"906-401348-110",Plan!u:u)</f>
        <v>0</v>
      </c>
      <c r="V812">
        <f>sumif(Plan!B:B,"906-401348-110",Plan!v:v)</f>
        <v>0</v>
      </c>
      <c r="W812">
        <f>sumif(Plan!B:B,"906-401348-110",Plan!w:w)</f>
        <v>0</v>
      </c>
      <c r="X812">
        <f>sumif(Plan!B:B,"906-401348-110",Plan!x:x)</f>
        <v>0</v>
      </c>
      <c r="Y812">
        <f>sumif(Plan!B:B,"906-401348-110",Plan!y:y)</f>
        <v>0</v>
      </c>
      <c r="Z812">
        <f>sumif(Plan!B:B,"906-401348-110",Plan!z:z)</f>
        <v>0</v>
      </c>
      <c r="AA812">
        <f>sumif(Plan!B:B,"906-401348-110",Plan!aa:aa)</f>
        <v>0</v>
      </c>
      <c r="AB812">
        <f>sumif(Plan!B:B,"906-401348-110",Plan!ab:ab)</f>
        <v>0</v>
      </c>
      <c r="AC812">
        <f>sumif(Plan!B:B,"906-401348-110",Plan!ac:ac)</f>
        <v>0</v>
      </c>
      <c r="AD812">
        <f>sumif(Plan!B:B,"906-401348-110",Plan!ad:ad)</f>
        <v>0</v>
      </c>
      <c r="AE812">
        <f>sumif(Plan!B:B,"906-401348-110",Plan!ae:ae)</f>
        <v>0</v>
      </c>
      <c r="AF812">
        <f>sumif(Plan!B:B,"906-401348-110",Plan!af:af)</f>
        <v>0</v>
      </c>
      <c r="AG812">
        <f>sumif(Plan!B:B,"906-401348-110",Plan!ag:ag)</f>
        <v>0</v>
      </c>
      <c r="AH812">
        <f>sumif(Plan!B:B,"906-401348-110",Plan!ah:ah)</f>
        <v>0</v>
      </c>
      <c r="AI812">
        <f>sumif(Plan!B:B,"906-401348-110",Plan!ai:ai)</f>
        <v>0</v>
      </c>
      <c r="AJ812">
        <f>sumif(Plan!B:B,"906-401348-110",Plan!aj:aj)</f>
        <v>0</v>
      </c>
      <c r="AK812">
        <f>sumif(Plan!B:B,"906-401348-110",Plan!ak:ak)</f>
        <v>0</v>
      </c>
      <c r="AL812">
        <f>sumif(Plan!B:B,"906-401348-110",Plan!al:al)</f>
        <v>0</v>
      </c>
      <c r="AM812">
        <f>sumif(Plan!B:B,"906-401348-110",Plan!am:am)</f>
        <v>0</v>
      </c>
      <c r="AN812">
        <f>sumif(Plan!B:B,"906-401348-110",Plan!an:an)</f>
        <v>0</v>
      </c>
      <c r="AO812">
        <f>sumif(Plan!B:B,"906-401348-110",Plan!ao:ao)</f>
        <v>0</v>
      </c>
    </row>
    <row r="813" spans="1:41">
      <c r="A813" t="s">
        <v>17</v>
      </c>
      <c r="B813" t="s">
        <v>535</v>
      </c>
      <c r="C813" t="s">
        <v>507</v>
      </c>
      <c r="E813">
        <v>1</v>
      </c>
      <c r="F813" t="s">
        <v>13</v>
      </c>
      <c r="H813" t="s">
        <v>16</v>
      </c>
      <c r="J813">
        <f>indirect(address(813,9))+indirect(address(811,10))-indirect(address(812,10))</f>
        <v>0</v>
      </c>
      <c r="K813">
        <f>indirect(address(813,10))+indirect(address(811,11))-indirect(address(812,11))</f>
        <v>0</v>
      </c>
      <c r="L813">
        <f>indirect(address(813,11))+indirect(address(811,12))-indirect(address(812,12))</f>
        <v>0</v>
      </c>
      <c r="M813">
        <f>indirect(address(813,12))+indirect(address(811,13))-indirect(address(812,13))</f>
        <v>0</v>
      </c>
      <c r="N813">
        <f>indirect(address(813,13))+indirect(address(811,14))-indirect(address(812,14))</f>
        <v>0</v>
      </c>
      <c r="O813">
        <f>indirect(address(813,14))+indirect(address(811,15))-indirect(address(812,15))</f>
        <v>0</v>
      </c>
      <c r="P813">
        <f>indirect(address(813,15))+indirect(address(811,16))-indirect(address(812,16))</f>
        <v>0</v>
      </c>
      <c r="Q813">
        <f>indirect(address(813,16))+indirect(address(811,17))-indirect(address(812,17))</f>
        <v>0</v>
      </c>
      <c r="R813">
        <f>indirect(address(813,17))+indirect(address(811,18))-indirect(address(812,18))</f>
        <v>0</v>
      </c>
      <c r="S813">
        <f>indirect(address(813,18))+indirect(address(811,19))-indirect(address(812,19))</f>
        <v>0</v>
      </c>
      <c r="T813">
        <f>indirect(address(813,19))+indirect(address(811,20))-indirect(address(812,20))</f>
        <v>0</v>
      </c>
      <c r="U813">
        <f>indirect(address(813,20))+indirect(address(811,21))-indirect(address(812,21))</f>
        <v>0</v>
      </c>
      <c r="V813">
        <f>indirect(address(813,21))+indirect(address(811,22))-indirect(address(812,22))</f>
        <v>0</v>
      </c>
      <c r="W813">
        <f>indirect(address(813,22))+indirect(address(811,23))-indirect(address(812,23))</f>
        <v>0</v>
      </c>
      <c r="X813">
        <f>indirect(address(813,23))+indirect(address(811,24))-indirect(address(812,24))</f>
        <v>0</v>
      </c>
      <c r="Y813">
        <f>indirect(address(813,24))+indirect(address(811,25))-indirect(address(812,25))</f>
        <v>0</v>
      </c>
      <c r="Z813">
        <f>indirect(address(813,25))+indirect(address(811,26))-indirect(address(812,26))</f>
        <v>0</v>
      </c>
      <c r="AA813">
        <f>indirect(address(813,26))+indirect(address(811,27))-indirect(address(812,27))</f>
        <v>0</v>
      </c>
      <c r="AB813">
        <f>indirect(address(813,27))+indirect(address(811,28))-indirect(address(812,28))</f>
        <v>0</v>
      </c>
      <c r="AC813">
        <f>indirect(address(813,28))+indirect(address(811,29))-indirect(address(812,29))</f>
        <v>0</v>
      </c>
      <c r="AD813">
        <f>indirect(address(813,29))+indirect(address(811,30))-indirect(address(812,30))</f>
        <v>0</v>
      </c>
      <c r="AE813">
        <f>indirect(address(813,30))+indirect(address(811,31))-indirect(address(812,31))</f>
        <v>0</v>
      </c>
      <c r="AF813">
        <f>indirect(address(813,31))+indirect(address(811,32))-indirect(address(812,32))</f>
        <v>0</v>
      </c>
      <c r="AG813">
        <f>indirect(address(813,32))+indirect(address(811,33))-indirect(address(812,33))</f>
        <v>0</v>
      </c>
      <c r="AH813">
        <f>indirect(address(813,33))+indirect(address(811,34))-indirect(address(812,34))</f>
        <v>0</v>
      </c>
      <c r="AI813">
        <f>indirect(address(813,34))+indirect(address(811,35))-indirect(address(812,35))</f>
        <v>0</v>
      </c>
      <c r="AJ813">
        <f>indirect(address(813,35))+indirect(address(811,36))-indirect(address(812,36))</f>
        <v>0</v>
      </c>
      <c r="AK813">
        <f>indirect(address(813,36))+indirect(address(811,37))-indirect(address(812,37))</f>
        <v>0</v>
      </c>
      <c r="AL813">
        <f>indirect(address(813,37))+indirect(address(811,38))-indirect(address(812,38))</f>
        <v>0</v>
      </c>
      <c r="AM813">
        <f>indirect(address(813,38))+indirect(address(811,39))-indirect(address(812,39))</f>
        <v>0</v>
      </c>
      <c r="AN813">
        <f>indirect(address(813,39))+indirect(address(811,40))-indirect(address(812,40))</f>
        <v>0</v>
      </c>
      <c r="AO813">
        <f>indirect(address(813,40))+indirect(address(811,41))-indirect(address(812,41))</f>
        <v>0</v>
      </c>
    </row>
    <row r="814" spans="1:41">
      <c r="I814" t="s">
        <v>14</v>
      </c>
      <c r="AO814">
        <f>sum(j814:an814)</f>
        <v>0</v>
      </c>
    </row>
    <row r="815" spans="1:41">
      <c r="I815" t="s">
        <v>15</v>
      </c>
      <c r="J815">
        <f>sumif(Plan!B:B,"261-012000-205",Plan!j:j)</f>
        <v>0</v>
      </c>
      <c r="K815">
        <f>sumif(Plan!B:B,"261-012000-205",Plan!k:k)</f>
        <v>0</v>
      </c>
      <c r="L815">
        <f>sumif(Plan!B:B,"261-012000-205",Plan!l:l)</f>
        <v>0</v>
      </c>
      <c r="M815">
        <f>sumif(Plan!B:B,"261-012000-205",Plan!m:m)</f>
        <v>0</v>
      </c>
      <c r="N815">
        <f>sumif(Plan!B:B,"261-012000-205",Plan!n:n)</f>
        <v>0</v>
      </c>
      <c r="O815">
        <f>sumif(Plan!B:B,"261-012000-205",Plan!o:o)</f>
        <v>0</v>
      </c>
      <c r="P815">
        <f>sumif(Plan!B:B,"261-012000-205",Plan!p:p)</f>
        <v>0</v>
      </c>
      <c r="Q815">
        <f>sumif(Plan!B:B,"261-012000-205",Plan!q:q)</f>
        <v>0</v>
      </c>
      <c r="R815">
        <f>sumif(Plan!B:B,"261-012000-205",Plan!r:r)</f>
        <v>0</v>
      </c>
      <c r="S815">
        <f>sumif(Plan!B:B,"261-012000-205",Plan!s:s)</f>
        <v>0</v>
      </c>
      <c r="T815">
        <f>sumif(Plan!B:B,"261-012000-205",Plan!t:t)</f>
        <v>0</v>
      </c>
      <c r="U815">
        <f>sumif(Plan!B:B,"261-012000-205",Plan!u:u)</f>
        <v>0</v>
      </c>
      <c r="V815">
        <f>sumif(Plan!B:B,"261-012000-205",Plan!v:v)</f>
        <v>0</v>
      </c>
      <c r="W815">
        <f>sumif(Plan!B:B,"261-012000-205",Plan!w:w)</f>
        <v>0</v>
      </c>
      <c r="X815">
        <f>sumif(Plan!B:B,"261-012000-205",Plan!x:x)</f>
        <v>0</v>
      </c>
      <c r="Y815">
        <f>sumif(Plan!B:B,"261-012000-205",Plan!y:y)</f>
        <v>0</v>
      </c>
      <c r="Z815">
        <f>sumif(Plan!B:B,"261-012000-205",Plan!z:z)</f>
        <v>0</v>
      </c>
      <c r="AA815">
        <f>sumif(Plan!B:B,"261-012000-205",Plan!aa:aa)</f>
        <v>0</v>
      </c>
      <c r="AB815">
        <f>sumif(Plan!B:B,"261-012000-205",Plan!ab:ab)</f>
        <v>0</v>
      </c>
      <c r="AC815">
        <f>sumif(Plan!B:B,"261-012000-205",Plan!ac:ac)</f>
        <v>0</v>
      </c>
      <c r="AD815">
        <f>sumif(Plan!B:B,"261-012000-205",Plan!ad:ad)</f>
        <v>0</v>
      </c>
      <c r="AE815">
        <f>sumif(Plan!B:B,"261-012000-205",Plan!ae:ae)</f>
        <v>0</v>
      </c>
      <c r="AF815">
        <f>sumif(Plan!B:B,"261-012000-205",Plan!af:af)</f>
        <v>0</v>
      </c>
      <c r="AG815">
        <f>sumif(Plan!B:B,"261-012000-205",Plan!ag:ag)</f>
        <v>0</v>
      </c>
      <c r="AH815">
        <f>sumif(Plan!B:B,"261-012000-205",Plan!ah:ah)</f>
        <v>0</v>
      </c>
      <c r="AI815">
        <f>sumif(Plan!B:B,"261-012000-205",Plan!ai:ai)</f>
        <v>0</v>
      </c>
      <c r="AJ815">
        <f>sumif(Plan!B:B,"261-012000-205",Plan!aj:aj)</f>
        <v>0</v>
      </c>
      <c r="AK815">
        <f>sumif(Plan!B:B,"261-012000-205",Plan!ak:ak)</f>
        <v>0</v>
      </c>
      <c r="AL815">
        <f>sumif(Plan!B:B,"261-012000-205",Plan!al:al)</f>
        <v>0</v>
      </c>
      <c r="AM815">
        <f>sumif(Plan!B:B,"261-012000-205",Plan!am:am)</f>
        <v>0</v>
      </c>
      <c r="AN815">
        <f>sumif(Plan!B:B,"261-012000-205",Plan!an:an)</f>
        <v>0</v>
      </c>
      <c r="AO815">
        <f>sumif(Plan!B:B,"261-012000-205",Plan!ao:ao)</f>
        <v>0</v>
      </c>
    </row>
    <row r="816" spans="1:41">
      <c r="A816" t="s">
        <v>22</v>
      </c>
      <c r="B816" t="s">
        <v>536</v>
      </c>
      <c r="C816" t="s">
        <v>537</v>
      </c>
      <c r="E816">
        <v>1</v>
      </c>
      <c r="F816" t="s">
        <v>13</v>
      </c>
      <c r="H816" t="s">
        <v>16</v>
      </c>
      <c r="J816">
        <f>indirect(address(816,9))+indirect(address(814,10))-indirect(address(815,10))</f>
        <v>0</v>
      </c>
      <c r="K816">
        <f>indirect(address(816,10))+indirect(address(814,11))-indirect(address(815,11))</f>
        <v>0</v>
      </c>
      <c r="L816">
        <f>indirect(address(816,11))+indirect(address(814,12))-indirect(address(815,12))</f>
        <v>0</v>
      </c>
      <c r="M816">
        <f>indirect(address(816,12))+indirect(address(814,13))-indirect(address(815,13))</f>
        <v>0</v>
      </c>
      <c r="N816">
        <f>indirect(address(816,13))+indirect(address(814,14))-indirect(address(815,14))</f>
        <v>0</v>
      </c>
      <c r="O816">
        <f>indirect(address(816,14))+indirect(address(814,15))-indirect(address(815,15))</f>
        <v>0</v>
      </c>
      <c r="P816">
        <f>indirect(address(816,15))+indirect(address(814,16))-indirect(address(815,16))</f>
        <v>0</v>
      </c>
      <c r="Q816">
        <f>indirect(address(816,16))+indirect(address(814,17))-indirect(address(815,17))</f>
        <v>0</v>
      </c>
      <c r="R816">
        <f>indirect(address(816,17))+indirect(address(814,18))-indirect(address(815,18))</f>
        <v>0</v>
      </c>
      <c r="S816">
        <f>indirect(address(816,18))+indirect(address(814,19))-indirect(address(815,19))</f>
        <v>0</v>
      </c>
      <c r="T816">
        <f>indirect(address(816,19))+indirect(address(814,20))-indirect(address(815,20))</f>
        <v>0</v>
      </c>
      <c r="U816">
        <f>indirect(address(816,20))+indirect(address(814,21))-indirect(address(815,21))</f>
        <v>0</v>
      </c>
      <c r="V816">
        <f>indirect(address(816,21))+indirect(address(814,22))-indirect(address(815,22))</f>
        <v>0</v>
      </c>
      <c r="W816">
        <f>indirect(address(816,22))+indirect(address(814,23))-indirect(address(815,23))</f>
        <v>0</v>
      </c>
      <c r="X816">
        <f>indirect(address(816,23))+indirect(address(814,24))-indirect(address(815,24))</f>
        <v>0</v>
      </c>
      <c r="Y816">
        <f>indirect(address(816,24))+indirect(address(814,25))-indirect(address(815,25))</f>
        <v>0</v>
      </c>
      <c r="Z816">
        <f>indirect(address(816,25))+indirect(address(814,26))-indirect(address(815,26))</f>
        <v>0</v>
      </c>
      <c r="AA816">
        <f>indirect(address(816,26))+indirect(address(814,27))-indirect(address(815,27))</f>
        <v>0</v>
      </c>
      <c r="AB816">
        <f>indirect(address(816,27))+indirect(address(814,28))-indirect(address(815,28))</f>
        <v>0</v>
      </c>
      <c r="AC816">
        <f>indirect(address(816,28))+indirect(address(814,29))-indirect(address(815,29))</f>
        <v>0</v>
      </c>
      <c r="AD816">
        <f>indirect(address(816,29))+indirect(address(814,30))-indirect(address(815,30))</f>
        <v>0</v>
      </c>
      <c r="AE816">
        <f>indirect(address(816,30))+indirect(address(814,31))-indirect(address(815,31))</f>
        <v>0</v>
      </c>
      <c r="AF816">
        <f>indirect(address(816,31))+indirect(address(814,32))-indirect(address(815,32))</f>
        <v>0</v>
      </c>
      <c r="AG816">
        <f>indirect(address(816,32))+indirect(address(814,33))-indirect(address(815,33))</f>
        <v>0</v>
      </c>
      <c r="AH816">
        <f>indirect(address(816,33))+indirect(address(814,34))-indirect(address(815,34))</f>
        <v>0</v>
      </c>
      <c r="AI816">
        <f>indirect(address(816,34))+indirect(address(814,35))-indirect(address(815,35))</f>
        <v>0</v>
      </c>
      <c r="AJ816">
        <f>indirect(address(816,35))+indirect(address(814,36))-indirect(address(815,36))</f>
        <v>0</v>
      </c>
      <c r="AK816">
        <f>indirect(address(816,36))+indirect(address(814,37))-indirect(address(815,37))</f>
        <v>0</v>
      </c>
      <c r="AL816">
        <f>indirect(address(816,37))+indirect(address(814,38))-indirect(address(815,38))</f>
        <v>0</v>
      </c>
      <c r="AM816">
        <f>indirect(address(816,38))+indirect(address(814,39))-indirect(address(815,39))</f>
        <v>0</v>
      </c>
      <c r="AN816">
        <f>indirect(address(816,39))+indirect(address(814,40))-indirect(address(815,40))</f>
        <v>0</v>
      </c>
      <c r="AO816">
        <f>indirect(address(816,40))+indirect(address(814,41))-indirect(address(815,41))</f>
        <v>0</v>
      </c>
    </row>
    <row r="817" spans="1:41">
      <c r="I817" t="s">
        <v>14</v>
      </c>
      <c r="AO817">
        <f>sum(j817:an817)</f>
        <v>0</v>
      </c>
    </row>
    <row r="818" spans="1:41">
      <c r="I818" t="s">
        <v>15</v>
      </c>
      <c r="J818">
        <f>sumif(Plan!B:B,"261-022000-205",Plan!j:j)</f>
        <v>0</v>
      </c>
      <c r="K818">
        <f>sumif(Plan!B:B,"261-022000-205",Plan!k:k)</f>
        <v>0</v>
      </c>
      <c r="L818">
        <f>sumif(Plan!B:B,"261-022000-205",Plan!l:l)</f>
        <v>0</v>
      </c>
      <c r="M818">
        <f>sumif(Plan!B:B,"261-022000-205",Plan!m:m)</f>
        <v>0</v>
      </c>
      <c r="N818">
        <f>sumif(Plan!B:B,"261-022000-205",Plan!n:n)</f>
        <v>0</v>
      </c>
      <c r="O818">
        <f>sumif(Plan!B:B,"261-022000-205",Plan!o:o)</f>
        <v>0</v>
      </c>
      <c r="P818">
        <f>sumif(Plan!B:B,"261-022000-205",Plan!p:p)</f>
        <v>0</v>
      </c>
      <c r="Q818">
        <f>sumif(Plan!B:B,"261-022000-205",Plan!q:q)</f>
        <v>0</v>
      </c>
      <c r="R818">
        <f>sumif(Plan!B:B,"261-022000-205",Plan!r:r)</f>
        <v>0</v>
      </c>
      <c r="S818">
        <f>sumif(Plan!B:B,"261-022000-205",Plan!s:s)</f>
        <v>0</v>
      </c>
      <c r="T818">
        <f>sumif(Plan!B:B,"261-022000-205",Plan!t:t)</f>
        <v>0</v>
      </c>
      <c r="U818">
        <f>sumif(Plan!B:B,"261-022000-205",Plan!u:u)</f>
        <v>0</v>
      </c>
      <c r="V818">
        <f>sumif(Plan!B:B,"261-022000-205",Plan!v:v)</f>
        <v>0</v>
      </c>
      <c r="W818">
        <f>sumif(Plan!B:B,"261-022000-205",Plan!w:w)</f>
        <v>0</v>
      </c>
      <c r="X818">
        <f>sumif(Plan!B:B,"261-022000-205",Plan!x:x)</f>
        <v>0</v>
      </c>
      <c r="Y818">
        <f>sumif(Plan!B:B,"261-022000-205",Plan!y:y)</f>
        <v>0</v>
      </c>
      <c r="Z818">
        <f>sumif(Plan!B:B,"261-022000-205",Plan!z:z)</f>
        <v>0</v>
      </c>
      <c r="AA818">
        <f>sumif(Plan!B:B,"261-022000-205",Plan!aa:aa)</f>
        <v>0</v>
      </c>
      <c r="AB818">
        <f>sumif(Plan!B:B,"261-022000-205",Plan!ab:ab)</f>
        <v>0</v>
      </c>
      <c r="AC818">
        <f>sumif(Plan!B:B,"261-022000-205",Plan!ac:ac)</f>
        <v>0</v>
      </c>
      <c r="AD818">
        <f>sumif(Plan!B:B,"261-022000-205",Plan!ad:ad)</f>
        <v>0</v>
      </c>
      <c r="AE818">
        <f>sumif(Plan!B:B,"261-022000-205",Plan!ae:ae)</f>
        <v>0</v>
      </c>
      <c r="AF818">
        <f>sumif(Plan!B:B,"261-022000-205",Plan!af:af)</f>
        <v>0</v>
      </c>
      <c r="AG818">
        <f>sumif(Plan!B:B,"261-022000-205",Plan!ag:ag)</f>
        <v>0</v>
      </c>
      <c r="AH818">
        <f>sumif(Plan!B:B,"261-022000-205",Plan!ah:ah)</f>
        <v>0</v>
      </c>
      <c r="AI818">
        <f>sumif(Plan!B:B,"261-022000-205",Plan!ai:ai)</f>
        <v>0</v>
      </c>
      <c r="AJ818">
        <f>sumif(Plan!B:B,"261-022000-205",Plan!aj:aj)</f>
        <v>0</v>
      </c>
      <c r="AK818">
        <f>sumif(Plan!B:B,"261-022000-205",Plan!ak:ak)</f>
        <v>0</v>
      </c>
      <c r="AL818">
        <f>sumif(Plan!B:B,"261-022000-205",Plan!al:al)</f>
        <v>0</v>
      </c>
      <c r="AM818">
        <f>sumif(Plan!B:B,"261-022000-205",Plan!am:am)</f>
        <v>0</v>
      </c>
      <c r="AN818">
        <f>sumif(Plan!B:B,"261-022000-205",Plan!an:an)</f>
        <v>0</v>
      </c>
      <c r="AO818">
        <f>sumif(Plan!B:B,"261-022000-205",Plan!ao:ao)</f>
        <v>0</v>
      </c>
    </row>
    <row r="819" spans="1:41">
      <c r="A819" t="s">
        <v>22</v>
      </c>
      <c r="B819" t="s">
        <v>538</v>
      </c>
      <c r="C819" t="s">
        <v>539</v>
      </c>
      <c r="E819">
        <v>2</v>
      </c>
      <c r="F819" t="s">
        <v>13</v>
      </c>
      <c r="H819" t="s">
        <v>16</v>
      </c>
      <c r="J819">
        <f>indirect(address(819,9))+indirect(address(817,10))-indirect(address(818,10))</f>
        <v>0</v>
      </c>
      <c r="K819">
        <f>indirect(address(819,10))+indirect(address(817,11))-indirect(address(818,11))</f>
        <v>0</v>
      </c>
      <c r="L819">
        <f>indirect(address(819,11))+indirect(address(817,12))-indirect(address(818,12))</f>
        <v>0</v>
      </c>
      <c r="M819">
        <f>indirect(address(819,12))+indirect(address(817,13))-indirect(address(818,13))</f>
        <v>0</v>
      </c>
      <c r="N819">
        <f>indirect(address(819,13))+indirect(address(817,14))-indirect(address(818,14))</f>
        <v>0</v>
      </c>
      <c r="O819">
        <f>indirect(address(819,14))+indirect(address(817,15))-indirect(address(818,15))</f>
        <v>0</v>
      </c>
      <c r="P819">
        <f>indirect(address(819,15))+indirect(address(817,16))-indirect(address(818,16))</f>
        <v>0</v>
      </c>
      <c r="Q819">
        <f>indirect(address(819,16))+indirect(address(817,17))-indirect(address(818,17))</f>
        <v>0</v>
      </c>
      <c r="R819">
        <f>indirect(address(819,17))+indirect(address(817,18))-indirect(address(818,18))</f>
        <v>0</v>
      </c>
      <c r="S819">
        <f>indirect(address(819,18))+indirect(address(817,19))-indirect(address(818,19))</f>
        <v>0</v>
      </c>
      <c r="T819">
        <f>indirect(address(819,19))+indirect(address(817,20))-indirect(address(818,20))</f>
        <v>0</v>
      </c>
      <c r="U819">
        <f>indirect(address(819,20))+indirect(address(817,21))-indirect(address(818,21))</f>
        <v>0</v>
      </c>
      <c r="V819">
        <f>indirect(address(819,21))+indirect(address(817,22))-indirect(address(818,22))</f>
        <v>0</v>
      </c>
      <c r="W819">
        <f>indirect(address(819,22))+indirect(address(817,23))-indirect(address(818,23))</f>
        <v>0</v>
      </c>
      <c r="X819">
        <f>indirect(address(819,23))+indirect(address(817,24))-indirect(address(818,24))</f>
        <v>0</v>
      </c>
      <c r="Y819">
        <f>indirect(address(819,24))+indirect(address(817,25))-indirect(address(818,25))</f>
        <v>0</v>
      </c>
      <c r="Z819">
        <f>indirect(address(819,25))+indirect(address(817,26))-indirect(address(818,26))</f>
        <v>0</v>
      </c>
      <c r="AA819">
        <f>indirect(address(819,26))+indirect(address(817,27))-indirect(address(818,27))</f>
        <v>0</v>
      </c>
      <c r="AB819">
        <f>indirect(address(819,27))+indirect(address(817,28))-indirect(address(818,28))</f>
        <v>0</v>
      </c>
      <c r="AC819">
        <f>indirect(address(819,28))+indirect(address(817,29))-indirect(address(818,29))</f>
        <v>0</v>
      </c>
      <c r="AD819">
        <f>indirect(address(819,29))+indirect(address(817,30))-indirect(address(818,30))</f>
        <v>0</v>
      </c>
      <c r="AE819">
        <f>indirect(address(819,30))+indirect(address(817,31))-indirect(address(818,31))</f>
        <v>0</v>
      </c>
      <c r="AF819">
        <f>indirect(address(819,31))+indirect(address(817,32))-indirect(address(818,32))</f>
        <v>0</v>
      </c>
      <c r="AG819">
        <f>indirect(address(819,32))+indirect(address(817,33))-indirect(address(818,33))</f>
        <v>0</v>
      </c>
      <c r="AH819">
        <f>indirect(address(819,33))+indirect(address(817,34))-indirect(address(818,34))</f>
        <v>0</v>
      </c>
      <c r="AI819">
        <f>indirect(address(819,34))+indirect(address(817,35))-indirect(address(818,35))</f>
        <v>0</v>
      </c>
      <c r="AJ819">
        <f>indirect(address(819,35))+indirect(address(817,36))-indirect(address(818,36))</f>
        <v>0</v>
      </c>
      <c r="AK819">
        <f>indirect(address(819,36))+indirect(address(817,37))-indirect(address(818,37))</f>
        <v>0</v>
      </c>
      <c r="AL819">
        <f>indirect(address(819,37))+indirect(address(817,38))-indirect(address(818,38))</f>
        <v>0</v>
      </c>
      <c r="AM819">
        <f>indirect(address(819,38))+indirect(address(817,39))-indirect(address(818,39))</f>
        <v>0</v>
      </c>
      <c r="AN819">
        <f>indirect(address(819,39))+indirect(address(817,40))-indirect(address(818,40))</f>
        <v>0</v>
      </c>
      <c r="AO819">
        <f>indirect(address(819,40))+indirect(address(817,41))-indirect(address(818,41))</f>
        <v>0</v>
      </c>
    </row>
    <row r="820" spans="1:41">
      <c r="I820" t="s">
        <v>14</v>
      </c>
      <c r="AO820">
        <f>sum(j820:an820)</f>
        <v>0</v>
      </c>
    </row>
    <row r="821" spans="1:41">
      <c r="I821" t="s">
        <v>15</v>
      </c>
      <c r="J821">
        <f>sumif(Plan!B:B,"261-156500-103",Plan!j:j)</f>
        <v>0</v>
      </c>
      <c r="K821">
        <f>sumif(Plan!B:B,"261-156500-103",Plan!k:k)</f>
        <v>0</v>
      </c>
      <c r="L821">
        <f>sumif(Plan!B:B,"261-156500-103",Plan!l:l)</f>
        <v>0</v>
      </c>
      <c r="M821">
        <f>sumif(Plan!B:B,"261-156500-103",Plan!m:m)</f>
        <v>0</v>
      </c>
      <c r="N821">
        <f>sumif(Plan!B:B,"261-156500-103",Plan!n:n)</f>
        <v>0</v>
      </c>
      <c r="O821">
        <f>sumif(Plan!B:B,"261-156500-103",Plan!o:o)</f>
        <v>0</v>
      </c>
      <c r="P821">
        <f>sumif(Plan!B:B,"261-156500-103",Plan!p:p)</f>
        <v>0</v>
      </c>
      <c r="Q821">
        <f>sumif(Plan!B:B,"261-156500-103",Plan!q:q)</f>
        <v>0</v>
      </c>
      <c r="R821">
        <f>sumif(Plan!B:B,"261-156500-103",Plan!r:r)</f>
        <v>0</v>
      </c>
      <c r="S821">
        <f>sumif(Plan!B:B,"261-156500-103",Plan!s:s)</f>
        <v>0</v>
      </c>
      <c r="T821">
        <f>sumif(Plan!B:B,"261-156500-103",Plan!t:t)</f>
        <v>0</v>
      </c>
      <c r="U821">
        <f>sumif(Plan!B:B,"261-156500-103",Plan!u:u)</f>
        <v>0</v>
      </c>
      <c r="V821">
        <f>sumif(Plan!B:B,"261-156500-103",Plan!v:v)</f>
        <v>0</v>
      </c>
      <c r="W821">
        <f>sumif(Plan!B:B,"261-156500-103",Plan!w:w)</f>
        <v>0</v>
      </c>
      <c r="X821">
        <f>sumif(Plan!B:B,"261-156500-103",Plan!x:x)</f>
        <v>0</v>
      </c>
      <c r="Y821">
        <f>sumif(Plan!B:B,"261-156500-103",Plan!y:y)</f>
        <v>0</v>
      </c>
      <c r="Z821">
        <f>sumif(Plan!B:B,"261-156500-103",Plan!z:z)</f>
        <v>0</v>
      </c>
      <c r="AA821">
        <f>sumif(Plan!B:B,"261-156500-103",Plan!aa:aa)</f>
        <v>0</v>
      </c>
      <c r="AB821">
        <f>sumif(Plan!B:B,"261-156500-103",Plan!ab:ab)</f>
        <v>0</v>
      </c>
      <c r="AC821">
        <f>sumif(Plan!B:B,"261-156500-103",Plan!ac:ac)</f>
        <v>0</v>
      </c>
      <c r="AD821">
        <f>sumif(Plan!B:B,"261-156500-103",Plan!ad:ad)</f>
        <v>0</v>
      </c>
      <c r="AE821">
        <f>sumif(Plan!B:B,"261-156500-103",Plan!ae:ae)</f>
        <v>0</v>
      </c>
      <c r="AF821">
        <f>sumif(Plan!B:B,"261-156500-103",Plan!af:af)</f>
        <v>0</v>
      </c>
      <c r="AG821">
        <f>sumif(Plan!B:B,"261-156500-103",Plan!ag:ag)</f>
        <v>0</v>
      </c>
      <c r="AH821">
        <f>sumif(Plan!B:B,"261-156500-103",Plan!ah:ah)</f>
        <v>0</v>
      </c>
      <c r="AI821">
        <f>sumif(Plan!B:B,"261-156500-103",Plan!ai:ai)</f>
        <v>0</v>
      </c>
      <c r="AJ821">
        <f>sumif(Plan!B:B,"261-156500-103",Plan!aj:aj)</f>
        <v>0</v>
      </c>
      <c r="AK821">
        <f>sumif(Plan!B:B,"261-156500-103",Plan!ak:ak)</f>
        <v>0</v>
      </c>
      <c r="AL821">
        <f>sumif(Plan!B:B,"261-156500-103",Plan!al:al)</f>
        <v>0</v>
      </c>
      <c r="AM821">
        <f>sumif(Plan!B:B,"261-156500-103",Plan!am:am)</f>
        <v>0</v>
      </c>
      <c r="AN821">
        <f>sumif(Plan!B:B,"261-156500-103",Plan!an:an)</f>
        <v>0</v>
      </c>
      <c r="AO821">
        <f>sumif(Plan!B:B,"261-156500-103",Plan!ao:ao)</f>
        <v>0</v>
      </c>
    </row>
    <row r="822" spans="1:41">
      <c r="A822" t="s">
        <v>22</v>
      </c>
      <c r="B822" t="s">
        <v>540</v>
      </c>
      <c r="C822" t="s">
        <v>541</v>
      </c>
      <c r="E822">
        <v>1</v>
      </c>
      <c r="F822" t="s">
        <v>13</v>
      </c>
      <c r="H822" t="s">
        <v>16</v>
      </c>
      <c r="J822">
        <f>indirect(address(822,9))+indirect(address(820,10))-indirect(address(821,10))</f>
        <v>0</v>
      </c>
      <c r="K822">
        <f>indirect(address(822,10))+indirect(address(820,11))-indirect(address(821,11))</f>
        <v>0</v>
      </c>
      <c r="L822">
        <f>indirect(address(822,11))+indirect(address(820,12))-indirect(address(821,12))</f>
        <v>0</v>
      </c>
      <c r="M822">
        <f>indirect(address(822,12))+indirect(address(820,13))-indirect(address(821,13))</f>
        <v>0</v>
      </c>
      <c r="N822">
        <f>indirect(address(822,13))+indirect(address(820,14))-indirect(address(821,14))</f>
        <v>0</v>
      </c>
      <c r="O822">
        <f>indirect(address(822,14))+indirect(address(820,15))-indirect(address(821,15))</f>
        <v>0</v>
      </c>
      <c r="P822">
        <f>indirect(address(822,15))+indirect(address(820,16))-indirect(address(821,16))</f>
        <v>0</v>
      </c>
      <c r="Q822">
        <f>indirect(address(822,16))+indirect(address(820,17))-indirect(address(821,17))</f>
        <v>0</v>
      </c>
      <c r="R822">
        <f>indirect(address(822,17))+indirect(address(820,18))-indirect(address(821,18))</f>
        <v>0</v>
      </c>
      <c r="S822">
        <f>indirect(address(822,18))+indirect(address(820,19))-indirect(address(821,19))</f>
        <v>0</v>
      </c>
      <c r="T822">
        <f>indirect(address(822,19))+indirect(address(820,20))-indirect(address(821,20))</f>
        <v>0</v>
      </c>
      <c r="U822">
        <f>indirect(address(822,20))+indirect(address(820,21))-indirect(address(821,21))</f>
        <v>0</v>
      </c>
      <c r="V822">
        <f>indirect(address(822,21))+indirect(address(820,22))-indirect(address(821,22))</f>
        <v>0</v>
      </c>
      <c r="W822">
        <f>indirect(address(822,22))+indirect(address(820,23))-indirect(address(821,23))</f>
        <v>0</v>
      </c>
      <c r="X822">
        <f>indirect(address(822,23))+indirect(address(820,24))-indirect(address(821,24))</f>
        <v>0</v>
      </c>
      <c r="Y822">
        <f>indirect(address(822,24))+indirect(address(820,25))-indirect(address(821,25))</f>
        <v>0</v>
      </c>
      <c r="Z822">
        <f>indirect(address(822,25))+indirect(address(820,26))-indirect(address(821,26))</f>
        <v>0</v>
      </c>
      <c r="AA822">
        <f>indirect(address(822,26))+indirect(address(820,27))-indirect(address(821,27))</f>
        <v>0</v>
      </c>
      <c r="AB822">
        <f>indirect(address(822,27))+indirect(address(820,28))-indirect(address(821,28))</f>
        <v>0</v>
      </c>
      <c r="AC822">
        <f>indirect(address(822,28))+indirect(address(820,29))-indirect(address(821,29))</f>
        <v>0</v>
      </c>
      <c r="AD822">
        <f>indirect(address(822,29))+indirect(address(820,30))-indirect(address(821,30))</f>
        <v>0</v>
      </c>
      <c r="AE822">
        <f>indirect(address(822,30))+indirect(address(820,31))-indirect(address(821,31))</f>
        <v>0</v>
      </c>
      <c r="AF822">
        <f>indirect(address(822,31))+indirect(address(820,32))-indirect(address(821,32))</f>
        <v>0</v>
      </c>
      <c r="AG822">
        <f>indirect(address(822,32))+indirect(address(820,33))-indirect(address(821,33))</f>
        <v>0</v>
      </c>
      <c r="AH822">
        <f>indirect(address(822,33))+indirect(address(820,34))-indirect(address(821,34))</f>
        <v>0</v>
      </c>
      <c r="AI822">
        <f>indirect(address(822,34))+indirect(address(820,35))-indirect(address(821,35))</f>
        <v>0</v>
      </c>
      <c r="AJ822">
        <f>indirect(address(822,35))+indirect(address(820,36))-indirect(address(821,36))</f>
        <v>0</v>
      </c>
      <c r="AK822">
        <f>indirect(address(822,36))+indirect(address(820,37))-indirect(address(821,37))</f>
        <v>0</v>
      </c>
      <c r="AL822">
        <f>indirect(address(822,37))+indirect(address(820,38))-indirect(address(821,38))</f>
        <v>0</v>
      </c>
      <c r="AM822">
        <f>indirect(address(822,38))+indirect(address(820,39))-indirect(address(821,39))</f>
        <v>0</v>
      </c>
      <c r="AN822">
        <f>indirect(address(822,39))+indirect(address(820,40))-indirect(address(821,40))</f>
        <v>0</v>
      </c>
      <c r="AO822">
        <f>indirect(address(822,40))+indirect(address(820,41))-indirect(address(821,41))</f>
        <v>0</v>
      </c>
    </row>
    <row r="823" spans="1:41">
      <c r="I823" t="s">
        <v>14</v>
      </c>
      <c r="AO823">
        <f>sum(j823:an823)</f>
        <v>0</v>
      </c>
    </row>
    <row r="824" spans="1:41">
      <c r="I824" t="s">
        <v>15</v>
      </c>
      <c r="J824">
        <f>sumif(Plan!B:B,"241-014600-001",Plan!j:j)</f>
        <v>0</v>
      </c>
      <c r="K824">
        <f>sumif(Plan!B:B,"241-014600-001",Plan!k:k)</f>
        <v>0</v>
      </c>
      <c r="L824">
        <f>sumif(Plan!B:B,"241-014600-001",Plan!l:l)</f>
        <v>0</v>
      </c>
      <c r="M824">
        <f>sumif(Plan!B:B,"241-014600-001",Plan!m:m)</f>
        <v>0</v>
      </c>
      <c r="N824">
        <f>sumif(Plan!B:B,"241-014600-001",Plan!n:n)</f>
        <v>0</v>
      </c>
      <c r="O824">
        <f>sumif(Plan!B:B,"241-014600-001",Plan!o:o)</f>
        <v>0</v>
      </c>
      <c r="P824">
        <f>sumif(Plan!B:B,"241-014600-001",Plan!p:p)</f>
        <v>0</v>
      </c>
      <c r="Q824">
        <f>sumif(Plan!B:B,"241-014600-001",Plan!q:q)</f>
        <v>0</v>
      </c>
      <c r="R824">
        <f>sumif(Plan!B:B,"241-014600-001",Plan!r:r)</f>
        <v>0</v>
      </c>
      <c r="S824">
        <f>sumif(Plan!B:B,"241-014600-001",Plan!s:s)</f>
        <v>0</v>
      </c>
      <c r="T824">
        <f>sumif(Plan!B:B,"241-014600-001",Plan!t:t)</f>
        <v>0</v>
      </c>
      <c r="U824">
        <f>sumif(Plan!B:B,"241-014600-001",Plan!u:u)</f>
        <v>0</v>
      </c>
      <c r="V824">
        <f>sumif(Plan!B:B,"241-014600-001",Plan!v:v)</f>
        <v>0</v>
      </c>
      <c r="W824">
        <f>sumif(Plan!B:B,"241-014600-001",Plan!w:w)</f>
        <v>0</v>
      </c>
      <c r="X824">
        <f>sumif(Plan!B:B,"241-014600-001",Plan!x:x)</f>
        <v>0</v>
      </c>
      <c r="Y824">
        <f>sumif(Plan!B:B,"241-014600-001",Plan!y:y)</f>
        <v>0</v>
      </c>
      <c r="Z824">
        <f>sumif(Plan!B:B,"241-014600-001",Plan!z:z)</f>
        <v>0</v>
      </c>
      <c r="AA824">
        <f>sumif(Plan!B:B,"241-014600-001",Plan!aa:aa)</f>
        <v>0</v>
      </c>
      <c r="AB824">
        <f>sumif(Plan!B:B,"241-014600-001",Plan!ab:ab)</f>
        <v>0</v>
      </c>
      <c r="AC824">
        <f>sumif(Plan!B:B,"241-014600-001",Plan!ac:ac)</f>
        <v>0</v>
      </c>
      <c r="AD824">
        <f>sumif(Plan!B:B,"241-014600-001",Plan!ad:ad)</f>
        <v>0</v>
      </c>
      <c r="AE824">
        <f>sumif(Plan!B:B,"241-014600-001",Plan!ae:ae)</f>
        <v>0</v>
      </c>
      <c r="AF824">
        <f>sumif(Plan!B:B,"241-014600-001",Plan!af:af)</f>
        <v>0</v>
      </c>
      <c r="AG824">
        <f>sumif(Plan!B:B,"241-014600-001",Plan!ag:ag)</f>
        <v>0</v>
      </c>
      <c r="AH824">
        <f>sumif(Plan!B:B,"241-014600-001",Plan!ah:ah)</f>
        <v>0</v>
      </c>
      <c r="AI824">
        <f>sumif(Plan!B:B,"241-014600-001",Plan!ai:ai)</f>
        <v>0</v>
      </c>
      <c r="AJ824">
        <f>sumif(Plan!B:B,"241-014600-001",Plan!aj:aj)</f>
        <v>0</v>
      </c>
      <c r="AK824">
        <f>sumif(Plan!B:B,"241-014600-001",Plan!ak:ak)</f>
        <v>0</v>
      </c>
      <c r="AL824">
        <f>sumif(Plan!B:B,"241-014600-001",Plan!al:al)</f>
        <v>0</v>
      </c>
      <c r="AM824">
        <f>sumif(Plan!B:B,"241-014600-001",Plan!am:am)</f>
        <v>0</v>
      </c>
      <c r="AN824">
        <f>sumif(Plan!B:B,"241-014600-001",Plan!an:an)</f>
        <v>0</v>
      </c>
      <c r="AO824">
        <f>sumif(Plan!B:B,"241-014600-001",Plan!ao:ao)</f>
        <v>0</v>
      </c>
    </row>
    <row r="825" spans="1:41">
      <c r="A825" t="s">
        <v>78</v>
      </c>
      <c r="B825" t="s">
        <v>530</v>
      </c>
      <c r="C825" t="s">
        <v>531</v>
      </c>
      <c r="E825">
        <v>0.1875</v>
      </c>
      <c r="F825" t="s">
        <v>13</v>
      </c>
      <c r="H825" t="s">
        <v>16</v>
      </c>
      <c r="J825">
        <f>indirect(address(825,9))+indirect(address(823,10))-indirect(address(824,10))</f>
        <v>0</v>
      </c>
      <c r="K825">
        <f>indirect(address(825,10))+indirect(address(823,11))-indirect(address(824,11))</f>
        <v>0</v>
      </c>
      <c r="L825">
        <f>indirect(address(825,11))+indirect(address(823,12))-indirect(address(824,12))</f>
        <v>0</v>
      </c>
      <c r="M825">
        <f>indirect(address(825,12))+indirect(address(823,13))-indirect(address(824,13))</f>
        <v>0</v>
      </c>
      <c r="N825">
        <f>indirect(address(825,13))+indirect(address(823,14))-indirect(address(824,14))</f>
        <v>0</v>
      </c>
      <c r="O825">
        <f>indirect(address(825,14))+indirect(address(823,15))-indirect(address(824,15))</f>
        <v>0</v>
      </c>
      <c r="P825">
        <f>indirect(address(825,15))+indirect(address(823,16))-indirect(address(824,16))</f>
        <v>0</v>
      </c>
      <c r="Q825">
        <f>indirect(address(825,16))+indirect(address(823,17))-indirect(address(824,17))</f>
        <v>0</v>
      </c>
      <c r="R825">
        <f>indirect(address(825,17))+indirect(address(823,18))-indirect(address(824,18))</f>
        <v>0</v>
      </c>
      <c r="S825">
        <f>indirect(address(825,18))+indirect(address(823,19))-indirect(address(824,19))</f>
        <v>0</v>
      </c>
      <c r="T825">
        <f>indirect(address(825,19))+indirect(address(823,20))-indirect(address(824,20))</f>
        <v>0</v>
      </c>
      <c r="U825">
        <f>indirect(address(825,20))+indirect(address(823,21))-indirect(address(824,21))</f>
        <v>0</v>
      </c>
      <c r="V825">
        <f>indirect(address(825,21))+indirect(address(823,22))-indirect(address(824,22))</f>
        <v>0</v>
      </c>
      <c r="W825">
        <f>indirect(address(825,22))+indirect(address(823,23))-indirect(address(824,23))</f>
        <v>0</v>
      </c>
      <c r="X825">
        <f>indirect(address(825,23))+indirect(address(823,24))-indirect(address(824,24))</f>
        <v>0</v>
      </c>
      <c r="Y825">
        <f>indirect(address(825,24))+indirect(address(823,25))-indirect(address(824,25))</f>
        <v>0</v>
      </c>
      <c r="Z825">
        <f>indirect(address(825,25))+indirect(address(823,26))-indirect(address(824,26))</f>
        <v>0</v>
      </c>
      <c r="AA825">
        <f>indirect(address(825,26))+indirect(address(823,27))-indirect(address(824,27))</f>
        <v>0</v>
      </c>
      <c r="AB825">
        <f>indirect(address(825,27))+indirect(address(823,28))-indirect(address(824,28))</f>
        <v>0</v>
      </c>
      <c r="AC825">
        <f>indirect(address(825,28))+indirect(address(823,29))-indirect(address(824,29))</f>
        <v>0</v>
      </c>
      <c r="AD825">
        <f>indirect(address(825,29))+indirect(address(823,30))-indirect(address(824,30))</f>
        <v>0</v>
      </c>
      <c r="AE825">
        <f>indirect(address(825,30))+indirect(address(823,31))-indirect(address(824,31))</f>
        <v>0</v>
      </c>
      <c r="AF825">
        <f>indirect(address(825,31))+indirect(address(823,32))-indirect(address(824,32))</f>
        <v>0</v>
      </c>
      <c r="AG825">
        <f>indirect(address(825,32))+indirect(address(823,33))-indirect(address(824,33))</f>
        <v>0</v>
      </c>
      <c r="AH825">
        <f>indirect(address(825,33))+indirect(address(823,34))-indirect(address(824,34))</f>
        <v>0</v>
      </c>
      <c r="AI825">
        <f>indirect(address(825,34))+indirect(address(823,35))-indirect(address(824,35))</f>
        <v>0</v>
      </c>
      <c r="AJ825">
        <f>indirect(address(825,35))+indirect(address(823,36))-indirect(address(824,36))</f>
        <v>0</v>
      </c>
      <c r="AK825">
        <f>indirect(address(825,36))+indirect(address(823,37))-indirect(address(824,37))</f>
        <v>0</v>
      </c>
      <c r="AL825">
        <f>indirect(address(825,37))+indirect(address(823,38))-indirect(address(824,38))</f>
        <v>0</v>
      </c>
      <c r="AM825">
        <f>indirect(address(825,38))+indirect(address(823,39))-indirect(address(824,39))</f>
        <v>0</v>
      </c>
      <c r="AN825">
        <f>indirect(address(825,39))+indirect(address(823,40))-indirect(address(824,40))</f>
        <v>0</v>
      </c>
      <c r="AO825">
        <f>indirect(address(825,40))+indirect(address(823,41))-indirect(address(824,41))</f>
        <v>0</v>
      </c>
    </row>
    <row r="826" spans="1:41">
      <c r="I826" t="s">
        <v>14</v>
      </c>
      <c r="AO826">
        <f>sum(j826:an826)</f>
        <v>0</v>
      </c>
    </row>
    <row r="827" spans="1:41">
      <c r="I827" t="s">
        <v>15</v>
      </c>
      <c r="J827">
        <f>sumif(Plan!B:B,"806-091000-110",Plan!j:j)</f>
        <v>0</v>
      </c>
      <c r="K827">
        <f>sumif(Plan!B:B,"806-091000-110",Plan!k:k)</f>
        <v>0</v>
      </c>
      <c r="L827">
        <f>sumif(Plan!B:B,"806-091000-110",Plan!l:l)</f>
        <v>0</v>
      </c>
      <c r="M827">
        <f>sumif(Plan!B:B,"806-091000-110",Plan!m:m)</f>
        <v>0</v>
      </c>
      <c r="N827">
        <f>sumif(Plan!B:B,"806-091000-110",Plan!n:n)</f>
        <v>0</v>
      </c>
      <c r="O827">
        <f>sumif(Plan!B:B,"806-091000-110",Plan!o:o)</f>
        <v>0</v>
      </c>
      <c r="P827">
        <f>sumif(Plan!B:B,"806-091000-110",Plan!p:p)</f>
        <v>0</v>
      </c>
      <c r="Q827">
        <f>sumif(Plan!B:B,"806-091000-110",Plan!q:q)</f>
        <v>0</v>
      </c>
      <c r="R827">
        <f>sumif(Plan!B:B,"806-091000-110",Plan!r:r)</f>
        <v>0</v>
      </c>
      <c r="S827">
        <f>sumif(Plan!B:B,"806-091000-110",Plan!s:s)</f>
        <v>0</v>
      </c>
      <c r="T827">
        <f>sumif(Plan!B:B,"806-091000-110",Plan!t:t)</f>
        <v>0</v>
      </c>
      <c r="U827">
        <f>sumif(Plan!B:B,"806-091000-110",Plan!u:u)</f>
        <v>0</v>
      </c>
      <c r="V827">
        <f>sumif(Plan!B:B,"806-091000-110",Plan!v:v)</f>
        <v>0</v>
      </c>
      <c r="W827">
        <f>sumif(Plan!B:B,"806-091000-110",Plan!w:w)</f>
        <v>0</v>
      </c>
      <c r="X827">
        <f>sumif(Plan!B:B,"806-091000-110",Plan!x:x)</f>
        <v>0</v>
      </c>
      <c r="Y827">
        <f>sumif(Plan!B:B,"806-091000-110",Plan!y:y)</f>
        <v>0</v>
      </c>
      <c r="Z827">
        <f>sumif(Plan!B:B,"806-091000-110",Plan!z:z)</f>
        <v>0</v>
      </c>
      <c r="AA827">
        <f>sumif(Plan!B:B,"806-091000-110",Plan!aa:aa)</f>
        <v>0</v>
      </c>
      <c r="AB827">
        <f>sumif(Plan!B:B,"806-091000-110",Plan!ab:ab)</f>
        <v>0</v>
      </c>
      <c r="AC827">
        <f>sumif(Plan!B:B,"806-091000-110",Plan!ac:ac)</f>
        <v>0</v>
      </c>
      <c r="AD827">
        <f>sumif(Plan!B:B,"806-091000-110",Plan!ad:ad)</f>
        <v>0</v>
      </c>
      <c r="AE827">
        <f>sumif(Plan!B:B,"806-091000-110",Plan!ae:ae)</f>
        <v>0</v>
      </c>
      <c r="AF827">
        <f>sumif(Plan!B:B,"806-091000-110",Plan!af:af)</f>
        <v>0</v>
      </c>
      <c r="AG827">
        <f>sumif(Plan!B:B,"806-091000-110",Plan!ag:ag)</f>
        <v>0</v>
      </c>
      <c r="AH827">
        <f>sumif(Plan!B:B,"806-091000-110",Plan!ah:ah)</f>
        <v>0</v>
      </c>
      <c r="AI827">
        <f>sumif(Plan!B:B,"806-091000-110",Plan!ai:ai)</f>
        <v>0</v>
      </c>
      <c r="AJ827">
        <f>sumif(Plan!B:B,"806-091000-110",Plan!aj:aj)</f>
        <v>0</v>
      </c>
      <c r="AK827">
        <f>sumif(Plan!B:B,"806-091000-110",Plan!ak:ak)</f>
        <v>0</v>
      </c>
      <c r="AL827">
        <f>sumif(Plan!B:B,"806-091000-110",Plan!al:al)</f>
        <v>0</v>
      </c>
      <c r="AM827">
        <f>sumif(Plan!B:B,"806-091000-110",Plan!am:am)</f>
        <v>0</v>
      </c>
      <c r="AN827">
        <f>sumif(Plan!B:B,"806-091000-110",Plan!an:an)</f>
        <v>0</v>
      </c>
      <c r="AO827">
        <f>sumif(Plan!B:B,"806-091000-110",Plan!ao:ao)</f>
        <v>0</v>
      </c>
    </row>
    <row r="828" spans="1:41">
      <c r="A828" t="s">
        <v>17</v>
      </c>
      <c r="B828" t="s">
        <v>546</v>
      </c>
      <c r="C828" t="s">
        <v>547</v>
      </c>
      <c r="E828">
        <v>1</v>
      </c>
      <c r="F828" t="s">
        <v>13</v>
      </c>
      <c r="H828" t="s">
        <v>16</v>
      </c>
      <c r="J828">
        <f>indirect(address(828,9))+indirect(address(826,10))-indirect(address(827,10))</f>
        <v>0</v>
      </c>
      <c r="K828">
        <f>indirect(address(828,10))+indirect(address(826,11))-indirect(address(827,11))</f>
        <v>0</v>
      </c>
      <c r="L828">
        <f>indirect(address(828,11))+indirect(address(826,12))-indirect(address(827,12))</f>
        <v>0</v>
      </c>
      <c r="M828">
        <f>indirect(address(828,12))+indirect(address(826,13))-indirect(address(827,13))</f>
        <v>0</v>
      </c>
      <c r="N828">
        <f>indirect(address(828,13))+indirect(address(826,14))-indirect(address(827,14))</f>
        <v>0</v>
      </c>
      <c r="O828">
        <f>indirect(address(828,14))+indirect(address(826,15))-indirect(address(827,15))</f>
        <v>0</v>
      </c>
      <c r="P828">
        <f>indirect(address(828,15))+indirect(address(826,16))-indirect(address(827,16))</f>
        <v>0</v>
      </c>
      <c r="Q828">
        <f>indirect(address(828,16))+indirect(address(826,17))-indirect(address(827,17))</f>
        <v>0</v>
      </c>
      <c r="R828">
        <f>indirect(address(828,17))+indirect(address(826,18))-indirect(address(827,18))</f>
        <v>0</v>
      </c>
      <c r="S828">
        <f>indirect(address(828,18))+indirect(address(826,19))-indirect(address(827,19))</f>
        <v>0</v>
      </c>
      <c r="T828">
        <f>indirect(address(828,19))+indirect(address(826,20))-indirect(address(827,20))</f>
        <v>0</v>
      </c>
      <c r="U828">
        <f>indirect(address(828,20))+indirect(address(826,21))-indirect(address(827,21))</f>
        <v>0</v>
      </c>
      <c r="V828">
        <f>indirect(address(828,21))+indirect(address(826,22))-indirect(address(827,22))</f>
        <v>0</v>
      </c>
      <c r="W828">
        <f>indirect(address(828,22))+indirect(address(826,23))-indirect(address(827,23))</f>
        <v>0</v>
      </c>
      <c r="X828">
        <f>indirect(address(828,23))+indirect(address(826,24))-indirect(address(827,24))</f>
        <v>0</v>
      </c>
      <c r="Y828">
        <f>indirect(address(828,24))+indirect(address(826,25))-indirect(address(827,25))</f>
        <v>0</v>
      </c>
      <c r="Z828">
        <f>indirect(address(828,25))+indirect(address(826,26))-indirect(address(827,26))</f>
        <v>0</v>
      </c>
      <c r="AA828">
        <f>indirect(address(828,26))+indirect(address(826,27))-indirect(address(827,27))</f>
        <v>0</v>
      </c>
      <c r="AB828">
        <f>indirect(address(828,27))+indirect(address(826,28))-indirect(address(827,28))</f>
        <v>0</v>
      </c>
      <c r="AC828">
        <f>indirect(address(828,28))+indirect(address(826,29))-indirect(address(827,29))</f>
        <v>0</v>
      </c>
      <c r="AD828">
        <f>indirect(address(828,29))+indirect(address(826,30))-indirect(address(827,30))</f>
        <v>0</v>
      </c>
      <c r="AE828">
        <f>indirect(address(828,30))+indirect(address(826,31))-indirect(address(827,31))</f>
        <v>0</v>
      </c>
      <c r="AF828">
        <f>indirect(address(828,31))+indirect(address(826,32))-indirect(address(827,32))</f>
        <v>0</v>
      </c>
      <c r="AG828">
        <f>indirect(address(828,32))+indirect(address(826,33))-indirect(address(827,33))</f>
        <v>0</v>
      </c>
      <c r="AH828">
        <f>indirect(address(828,33))+indirect(address(826,34))-indirect(address(827,34))</f>
        <v>0</v>
      </c>
      <c r="AI828">
        <f>indirect(address(828,34))+indirect(address(826,35))-indirect(address(827,35))</f>
        <v>0</v>
      </c>
      <c r="AJ828">
        <f>indirect(address(828,35))+indirect(address(826,36))-indirect(address(827,36))</f>
        <v>0</v>
      </c>
      <c r="AK828">
        <f>indirect(address(828,36))+indirect(address(826,37))-indirect(address(827,37))</f>
        <v>0</v>
      </c>
      <c r="AL828">
        <f>indirect(address(828,37))+indirect(address(826,38))-indirect(address(827,38))</f>
        <v>0</v>
      </c>
      <c r="AM828">
        <f>indirect(address(828,38))+indirect(address(826,39))-indirect(address(827,39))</f>
        <v>0</v>
      </c>
      <c r="AN828">
        <f>indirect(address(828,39))+indirect(address(826,40))-indirect(address(827,40))</f>
        <v>0</v>
      </c>
      <c r="AO828">
        <f>indirect(address(828,40))+indirect(address(826,41))-indirect(address(827,41))</f>
        <v>0</v>
      </c>
    </row>
    <row r="829" spans="1:41">
      <c r="I829" t="s">
        <v>14</v>
      </c>
      <c r="AO829">
        <f>sum(j829:an829)</f>
        <v>0</v>
      </c>
    </row>
    <row r="830" spans="1:41">
      <c r="I830" t="s">
        <v>15</v>
      </c>
      <c r="J830">
        <f>sumif(Plan!B:B,"806-092000-110",Plan!j:j)</f>
        <v>0</v>
      </c>
      <c r="K830">
        <f>sumif(Plan!B:B,"806-092000-110",Plan!k:k)</f>
        <v>0</v>
      </c>
      <c r="L830">
        <f>sumif(Plan!B:B,"806-092000-110",Plan!l:l)</f>
        <v>0</v>
      </c>
      <c r="M830">
        <f>sumif(Plan!B:B,"806-092000-110",Plan!m:m)</f>
        <v>0</v>
      </c>
      <c r="N830">
        <f>sumif(Plan!B:B,"806-092000-110",Plan!n:n)</f>
        <v>0</v>
      </c>
      <c r="O830">
        <f>sumif(Plan!B:B,"806-092000-110",Plan!o:o)</f>
        <v>0</v>
      </c>
      <c r="P830">
        <f>sumif(Plan!B:B,"806-092000-110",Plan!p:p)</f>
        <v>0</v>
      </c>
      <c r="Q830">
        <f>sumif(Plan!B:B,"806-092000-110",Plan!q:q)</f>
        <v>0</v>
      </c>
      <c r="R830">
        <f>sumif(Plan!B:B,"806-092000-110",Plan!r:r)</f>
        <v>0</v>
      </c>
      <c r="S830">
        <f>sumif(Plan!B:B,"806-092000-110",Plan!s:s)</f>
        <v>0</v>
      </c>
      <c r="T830">
        <f>sumif(Plan!B:B,"806-092000-110",Plan!t:t)</f>
        <v>0</v>
      </c>
      <c r="U830">
        <f>sumif(Plan!B:B,"806-092000-110",Plan!u:u)</f>
        <v>0</v>
      </c>
      <c r="V830">
        <f>sumif(Plan!B:B,"806-092000-110",Plan!v:v)</f>
        <v>0</v>
      </c>
      <c r="W830">
        <f>sumif(Plan!B:B,"806-092000-110",Plan!w:w)</f>
        <v>0</v>
      </c>
      <c r="X830">
        <f>sumif(Plan!B:B,"806-092000-110",Plan!x:x)</f>
        <v>0</v>
      </c>
      <c r="Y830">
        <f>sumif(Plan!B:B,"806-092000-110",Plan!y:y)</f>
        <v>0</v>
      </c>
      <c r="Z830">
        <f>sumif(Plan!B:B,"806-092000-110",Plan!z:z)</f>
        <v>0</v>
      </c>
      <c r="AA830">
        <f>sumif(Plan!B:B,"806-092000-110",Plan!aa:aa)</f>
        <v>0</v>
      </c>
      <c r="AB830">
        <f>sumif(Plan!B:B,"806-092000-110",Plan!ab:ab)</f>
        <v>0</v>
      </c>
      <c r="AC830">
        <f>sumif(Plan!B:B,"806-092000-110",Plan!ac:ac)</f>
        <v>0</v>
      </c>
      <c r="AD830">
        <f>sumif(Plan!B:B,"806-092000-110",Plan!ad:ad)</f>
        <v>0</v>
      </c>
      <c r="AE830">
        <f>sumif(Plan!B:B,"806-092000-110",Plan!ae:ae)</f>
        <v>0</v>
      </c>
      <c r="AF830">
        <f>sumif(Plan!B:B,"806-092000-110",Plan!af:af)</f>
        <v>0</v>
      </c>
      <c r="AG830">
        <f>sumif(Plan!B:B,"806-092000-110",Plan!ag:ag)</f>
        <v>0</v>
      </c>
      <c r="AH830">
        <f>sumif(Plan!B:B,"806-092000-110",Plan!ah:ah)</f>
        <v>0</v>
      </c>
      <c r="AI830">
        <f>sumif(Plan!B:B,"806-092000-110",Plan!ai:ai)</f>
        <v>0</v>
      </c>
      <c r="AJ830">
        <f>sumif(Plan!B:B,"806-092000-110",Plan!aj:aj)</f>
        <v>0</v>
      </c>
      <c r="AK830">
        <f>sumif(Plan!B:B,"806-092000-110",Plan!ak:ak)</f>
        <v>0</v>
      </c>
      <c r="AL830">
        <f>sumif(Plan!B:B,"806-092000-110",Plan!al:al)</f>
        <v>0</v>
      </c>
      <c r="AM830">
        <f>sumif(Plan!B:B,"806-092000-110",Plan!am:am)</f>
        <v>0</v>
      </c>
      <c r="AN830">
        <f>sumif(Plan!B:B,"806-092000-110",Plan!an:an)</f>
        <v>0</v>
      </c>
      <c r="AO830">
        <f>sumif(Plan!B:B,"806-092000-110",Plan!ao:ao)</f>
        <v>0</v>
      </c>
    </row>
    <row r="831" spans="1:41">
      <c r="A831" t="s">
        <v>17</v>
      </c>
      <c r="B831" t="s">
        <v>548</v>
      </c>
      <c r="C831" t="s">
        <v>549</v>
      </c>
      <c r="E831">
        <v>1</v>
      </c>
      <c r="F831" t="s">
        <v>13</v>
      </c>
      <c r="H831" t="s">
        <v>16</v>
      </c>
      <c r="J831">
        <f>indirect(address(831,9))+indirect(address(829,10))-indirect(address(830,10))</f>
        <v>0</v>
      </c>
      <c r="K831">
        <f>indirect(address(831,10))+indirect(address(829,11))-indirect(address(830,11))</f>
        <v>0</v>
      </c>
      <c r="L831">
        <f>indirect(address(831,11))+indirect(address(829,12))-indirect(address(830,12))</f>
        <v>0</v>
      </c>
      <c r="M831">
        <f>indirect(address(831,12))+indirect(address(829,13))-indirect(address(830,13))</f>
        <v>0</v>
      </c>
      <c r="N831">
        <f>indirect(address(831,13))+indirect(address(829,14))-indirect(address(830,14))</f>
        <v>0</v>
      </c>
      <c r="O831">
        <f>indirect(address(831,14))+indirect(address(829,15))-indirect(address(830,15))</f>
        <v>0</v>
      </c>
      <c r="P831">
        <f>indirect(address(831,15))+indirect(address(829,16))-indirect(address(830,16))</f>
        <v>0</v>
      </c>
      <c r="Q831">
        <f>indirect(address(831,16))+indirect(address(829,17))-indirect(address(830,17))</f>
        <v>0</v>
      </c>
      <c r="R831">
        <f>indirect(address(831,17))+indirect(address(829,18))-indirect(address(830,18))</f>
        <v>0</v>
      </c>
      <c r="S831">
        <f>indirect(address(831,18))+indirect(address(829,19))-indirect(address(830,19))</f>
        <v>0</v>
      </c>
      <c r="T831">
        <f>indirect(address(831,19))+indirect(address(829,20))-indirect(address(830,20))</f>
        <v>0</v>
      </c>
      <c r="U831">
        <f>indirect(address(831,20))+indirect(address(829,21))-indirect(address(830,21))</f>
        <v>0</v>
      </c>
      <c r="V831">
        <f>indirect(address(831,21))+indirect(address(829,22))-indirect(address(830,22))</f>
        <v>0</v>
      </c>
      <c r="W831">
        <f>indirect(address(831,22))+indirect(address(829,23))-indirect(address(830,23))</f>
        <v>0</v>
      </c>
      <c r="X831">
        <f>indirect(address(831,23))+indirect(address(829,24))-indirect(address(830,24))</f>
        <v>0</v>
      </c>
      <c r="Y831">
        <f>indirect(address(831,24))+indirect(address(829,25))-indirect(address(830,25))</f>
        <v>0</v>
      </c>
      <c r="Z831">
        <f>indirect(address(831,25))+indirect(address(829,26))-indirect(address(830,26))</f>
        <v>0</v>
      </c>
      <c r="AA831">
        <f>indirect(address(831,26))+indirect(address(829,27))-indirect(address(830,27))</f>
        <v>0</v>
      </c>
      <c r="AB831">
        <f>indirect(address(831,27))+indirect(address(829,28))-indirect(address(830,28))</f>
        <v>0</v>
      </c>
      <c r="AC831">
        <f>indirect(address(831,28))+indirect(address(829,29))-indirect(address(830,29))</f>
        <v>0</v>
      </c>
      <c r="AD831">
        <f>indirect(address(831,29))+indirect(address(829,30))-indirect(address(830,30))</f>
        <v>0</v>
      </c>
      <c r="AE831">
        <f>indirect(address(831,30))+indirect(address(829,31))-indirect(address(830,31))</f>
        <v>0</v>
      </c>
      <c r="AF831">
        <f>indirect(address(831,31))+indirect(address(829,32))-indirect(address(830,32))</f>
        <v>0</v>
      </c>
      <c r="AG831">
        <f>indirect(address(831,32))+indirect(address(829,33))-indirect(address(830,33))</f>
        <v>0</v>
      </c>
      <c r="AH831">
        <f>indirect(address(831,33))+indirect(address(829,34))-indirect(address(830,34))</f>
        <v>0</v>
      </c>
      <c r="AI831">
        <f>indirect(address(831,34))+indirect(address(829,35))-indirect(address(830,35))</f>
        <v>0</v>
      </c>
      <c r="AJ831">
        <f>indirect(address(831,35))+indirect(address(829,36))-indirect(address(830,36))</f>
        <v>0</v>
      </c>
      <c r="AK831">
        <f>indirect(address(831,36))+indirect(address(829,37))-indirect(address(830,37))</f>
        <v>0</v>
      </c>
      <c r="AL831">
        <f>indirect(address(831,37))+indirect(address(829,38))-indirect(address(830,38))</f>
        <v>0</v>
      </c>
      <c r="AM831">
        <f>indirect(address(831,38))+indirect(address(829,39))-indirect(address(830,39))</f>
        <v>0</v>
      </c>
      <c r="AN831">
        <f>indirect(address(831,39))+indirect(address(829,40))-indirect(address(830,40))</f>
        <v>0</v>
      </c>
      <c r="AO831">
        <f>indirect(address(831,40))+indirect(address(829,41))-indirect(address(830,41))</f>
        <v>0</v>
      </c>
    </row>
    <row r="832" spans="1:41">
      <c r="I832" t="s">
        <v>14</v>
      </c>
      <c r="AO832">
        <f>sum(j832:an832)</f>
        <v>0</v>
      </c>
    </row>
    <row r="833" spans="1:41">
      <c r="I833" t="s">
        <v>15</v>
      </c>
      <c r="J833">
        <f>sumif(Plan!B:B,"253-025006-507",Plan!j:j)</f>
        <v>0</v>
      </c>
      <c r="K833">
        <f>sumif(Plan!B:B,"253-025006-507",Plan!k:k)</f>
        <v>0</v>
      </c>
      <c r="L833">
        <f>sumif(Plan!B:B,"253-025006-507",Plan!l:l)</f>
        <v>0</v>
      </c>
      <c r="M833">
        <f>sumif(Plan!B:B,"253-025006-507",Plan!m:m)</f>
        <v>0</v>
      </c>
      <c r="N833">
        <f>sumif(Plan!B:B,"253-025006-507",Plan!n:n)</f>
        <v>0</v>
      </c>
      <c r="O833">
        <f>sumif(Plan!B:B,"253-025006-507",Plan!o:o)</f>
        <v>0</v>
      </c>
      <c r="P833">
        <f>sumif(Plan!B:B,"253-025006-507",Plan!p:p)</f>
        <v>0</v>
      </c>
      <c r="Q833">
        <f>sumif(Plan!B:B,"253-025006-507",Plan!q:q)</f>
        <v>0</v>
      </c>
      <c r="R833">
        <f>sumif(Plan!B:B,"253-025006-507",Plan!r:r)</f>
        <v>0</v>
      </c>
      <c r="S833">
        <f>sumif(Plan!B:B,"253-025006-507",Plan!s:s)</f>
        <v>0</v>
      </c>
      <c r="T833">
        <f>sumif(Plan!B:B,"253-025006-507",Plan!t:t)</f>
        <v>0</v>
      </c>
      <c r="U833">
        <f>sumif(Plan!B:B,"253-025006-507",Plan!u:u)</f>
        <v>0</v>
      </c>
      <c r="V833">
        <f>sumif(Plan!B:B,"253-025006-507",Plan!v:v)</f>
        <v>0</v>
      </c>
      <c r="W833">
        <f>sumif(Plan!B:B,"253-025006-507",Plan!w:w)</f>
        <v>0</v>
      </c>
      <c r="X833">
        <f>sumif(Plan!B:B,"253-025006-507",Plan!x:x)</f>
        <v>0</v>
      </c>
      <c r="Y833">
        <f>sumif(Plan!B:B,"253-025006-507",Plan!y:y)</f>
        <v>0</v>
      </c>
      <c r="Z833">
        <f>sumif(Plan!B:B,"253-025006-507",Plan!z:z)</f>
        <v>0</v>
      </c>
      <c r="AA833">
        <f>sumif(Plan!B:B,"253-025006-507",Plan!aa:aa)</f>
        <v>0</v>
      </c>
      <c r="AB833">
        <f>sumif(Plan!B:B,"253-025006-507",Plan!ab:ab)</f>
        <v>0</v>
      </c>
      <c r="AC833">
        <f>sumif(Plan!B:B,"253-025006-507",Plan!ac:ac)</f>
        <v>0</v>
      </c>
      <c r="AD833">
        <f>sumif(Plan!B:B,"253-025006-507",Plan!ad:ad)</f>
        <v>0</v>
      </c>
      <c r="AE833">
        <f>sumif(Plan!B:B,"253-025006-507",Plan!ae:ae)</f>
        <v>0</v>
      </c>
      <c r="AF833">
        <f>sumif(Plan!B:B,"253-025006-507",Plan!af:af)</f>
        <v>0</v>
      </c>
      <c r="AG833">
        <f>sumif(Plan!B:B,"253-025006-507",Plan!ag:ag)</f>
        <v>0</v>
      </c>
      <c r="AH833">
        <f>sumif(Plan!B:B,"253-025006-507",Plan!ah:ah)</f>
        <v>0</v>
      </c>
      <c r="AI833">
        <f>sumif(Plan!B:B,"253-025006-507",Plan!ai:ai)</f>
        <v>0</v>
      </c>
      <c r="AJ833">
        <f>sumif(Plan!B:B,"253-025006-507",Plan!aj:aj)</f>
        <v>0</v>
      </c>
      <c r="AK833">
        <f>sumif(Plan!B:B,"253-025006-507",Plan!ak:ak)</f>
        <v>0</v>
      </c>
      <c r="AL833">
        <f>sumif(Plan!B:B,"253-025006-507",Plan!al:al)</f>
        <v>0</v>
      </c>
      <c r="AM833">
        <f>sumif(Plan!B:B,"253-025006-507",Plan!am:am)</f>
        <v>0</v>
      </c>
      <c r="AN833">
        <f>sumif(Plan!B:B,"253-025006-507",Plan!an:an)</f>
        <v>0</v>
      </c>
      <c r="AO833">
        <f>sumif(Plan!B:B,"253-025006-507",Plan!ao:ao)</f>
        <v>0</v>
      </c>
    </row>
    <row r="834" spans="1:41">
      <c r="A834" t="s">
        <v>22</v>
      </c>
      <c r="B834" t="s">
        <v>550</v>
      </c>
      <c r="C834" t="s">
        <v>551</v>
      </c>
      <c r="E834">
        <v>1</v>
      </c>
      <c r="F834" t="s">
        <v>13</v>
      </c>
      <c r="H834" t="s">
        <v>16</v>
      </c>
      <c r="J834">
        <f>indirect(address(834,9))+indirect(address(832,10))-indirect(address(833,10))</f>
        <v>0</v>
      </c>
      <c r="K834">
        <f>indirect(address(834,10))+indirect(address(832,11))-indirect(address(833,11))</f>
        <v>0</v>
      </c>
      <c r="L834">
        <f>indirect(address(834,11))+indirect(address(832,12))-indirect(address(833,12))</f>
        <v>0</v>
      </c>
      <c r="M834">
        <f>indirect(address(834,12))+indirect(address(832,13))-indirect(address(833,13))</f>
        <v>0</v>
      </c>
      <c r="N834">
        <f>indirect(address(834,13))+indirect(address(832,14))-indirect(address(833,14))</f>
        <v>0</v>
      </c>
      <c r="O834">
        <f>indirect(address(834,14))+indirect(address(832,15))-indirect(address(833,15))</f>
        <v>0</v>
      </c>
      <c r="P834">
        <f>indirect(address(834,15))+indirect(address(832,16))-indirect(address(833,16))</f>
        <v>0</v>
      </c>
      <c r="Q834">
        <f>indirect(address(834,16))+indirect(address(832,17))-indirect(address(833,17))</f>
        <v>0</v>
      </c>
      <c r="R834">
        <f>indirect(address(834,17))+indirect(address(832,18))-indirect(address(833,18))</f>
        <v>0</v>
      </c>
      <c r="S834">
        <f>indirect(address(834,18))+indirect(address(832,19))-indirect(address(833,19))</f>
        <v>0</v>
      </c>
      <c r="T834">
        <f>indirect(address(834,19))+indirect(address(832,20))-indirect(address(833,20))</f>
        <v>0</v>
      </c>
      <c r="U834">
        <f>indirect(address(834,20))+indirect(address(832,21))-indirect(address(833,21))</f>
        <v>0</v>
      </c>
      <c r="V834">
        <f>indirect(address(834,21))+indirect(address(832,22))-indirect(address(833,22))</f>
        <v>0</v>
      </c>
      <c r="W834">
        <f>indirect(address(834,22))+indirect(address(832,23))-indirect(address(833,23))</f>
        <v>0</v>
      </c>
      <c r="X834">
        <f>indirect(address(834,23))+indirect(address(832,24))-indirect(address(833,24))</f>
        <v>0</v>
      </c>
      <c r="Y834">
        <f>indirect(address(834,24))+indirect(address(832,25))-indirect(address(833,25))</f>
        <v>0</v>
      </c>
      <c r="Z834">
        <f>indirect(address(834,25))+indirect(address(832,26))-indirect(address(833,26))</f>
        <v>0</v>
      </c>
      <c r="AA834">
        <f>indirect(address(834,26))+indirect(address(832,27))-indirect(address(833,27))</f>
        <v>0</v>
      </c>
      <c r="AB834">
        <f>indirect(address(834,27))+indirect(address(832,28))-indirect(address(833,28))</f>
        <v>0</v>
      </c>
      <c r="AC834">
        <f>indirect(address(834,28))+indirect(address(832,29))-indirect(address(833,29))</f>
        <v>0</v>
      </c>
      <c r="AD834">
        <f>indirect(address(834,29))+indirect(address(832,30))-indirect(address(833,30))</f>
        <v>0</v>
      </c>
      <c r="AE834">
        <f>indirect(address(834,30))+indirect(address(832,31))-indirect(address(833,31))</f>
        <v>0</v>
      </c>
      <c r="AF834">
        <f>indirect(address(834,31))+indirect(address(832,32))-indirect(address(833,32))</f>
        <v>0</v>
      </c>
      <c r="AG834">
        <f>indirect(address(834,32))+indirect(address(832,33))-indirect(address(833,33))</f>
        <v>0</v>
      </c>
      <c r="AH834">
        <f>indirect(address(834,33))+indirect(address(832,34))-indirect(address(833,34))</f>
        <v>0</v>
      </c>
      <c r="AI834">
        <f>indirect(address(834,34))+indirect(address(832,35))-indirect(address(833,35))</f>
        <v>0</v>
      </c>
      <c r="AJ834">
        <f>indirect(address(834,35))+indirect(address(832,36))-indirect(address(833,36))</f>
        <v>0</v>
      </c>
      <c r="AK834">
        <f>indirect(address(834,36))+indirect(address(832,37))-indirect(address(833,37))</f>
        <v>0</v>
      </c>
      <c r="AL834">
        <f>indirect(address(834,37))+indirect(address(832,38))-indirect(address(833,38))</f>
        <v>0</v>
      </c>
      <c r="AM834">
        <f>indirect(address(834,38))+indirect(address(832,39))-indirect(address(833,39))</f>
        <v>0</v>
      </c>
      <c r="AN834">
        <f>indirect(address(834,39))+indirect(address(832,40))-indirect(address(833,40))</f>
        <v>0</v>
      </c>
      <c r="AO834">
        <f>indirect(address(834,40))+indirect(address(832,41))-indirect(address(833,41))</f>
        <v>0</v>
      </c>
    </row>
    <row r="835" spans="1:41">
      <c r="I835" t="s">
        <v>14</v>
      </c>
      <c r="AO835">
        <f>sum(j835:an835)</f>
        <v>0</v>
      </c>
    </row>
    <row r="836" spans="1:41">
      <c r="I836" t="s">
        <v>15</v>
      </c>
      <c r="J836">
        <f>sumif(Plan!B:B,"264-200001-250",Plan!j:j)</f>
        <v>0</v>
      </c>
      <c r="K836">
        <f>sumif(Plan!B:B,"264-200001-250",Plan!k:k)</f>
        <v>0</v>
      </c>
      <c r="L836">
        <f>sumif(Plan!B:B,"264-200001-250",Plan!l:l)</f>
        <v>0</v>
      </c>
      <c r="M836">
        <f>sumif(Plan!B:B,"264-200001-250",Plan!m:m)</f>
        <v>0</v>
      </c>
      <c r="N836">
        <f>sumif(Plan!B:B,"264-200001-250",Plan!n:n)</f>
        <v>0</v>
      </c>
      <c r="O836">
        <f>sumif(Plan!B:B,"264-200001-250",Plan!o:o)</f>
        <v>0</v>
      </c>
      <c r="P836">
        <f>sumif(Plan!B:B,"264-200001-250",Plan!p:p)</f>
        <v>0</v>
      </c>
      <c r="Q836">
        <f>sumif(Plan!B:B,"264-200001-250",Plan!q:q)</f>
        <v>0</v>
      </c>
      <c r="R836">
        <f>sumif(Plan!B:B,"264-200001-250",Plan!r:r)</f>
        <v>0</v>
      </c>
      <c r="S836">
        <f>sumif(Plan!B:B,"264-200001-250",Plan!s:s)</f>
        <v>0</v>
      </c>
      <c r="T836">
        <f>sumif(Plan!B:B,"264-200001-250",Plan!t:t)</f>
        <v>0</v>
      </c>
      <c r="U836">
        <f>sumif(Plan!B:B,"264-200001-250",Plan!u:u)</f>
        <v>0</v>
      </c>
      <c r="V836">
        <f>sumif(Plan!B:B,"264-200001-250",Plan!v:v)</f>
        <v>0</v>
      </c>
      <c r="W836">
        <f>sumif(Plan!B:B,"264-200001-250",Plan!w:w)</f>
        <v>0</v>
      </c>
      <c r="X836">
        <f>sumif(Plan!B:B,"264-200001-250",Plan!x:x)</f>
        <v>0</v>
      </c>
      <c r="Y836">
        <f>sumif(Plan!B:B,"264-200001-250",Plan!y:y)</f>
        <v>0</v>
      </c>
      <c r="Z836">
        <f>sumif(Plan!B:B,"264-200001-250",Plan!z:z)</f>
        <v>0</v>
      </c>
      <c r="AA836">
        <f>sumif(Plan!B:B,"264-200001-250",Plan!aa:aa)</f>
        <v>0</v>
      </c>
      <c r="AB836">
        <f>sumif(Plan!B:B,"264-200001-250",Plan!ab:ab)</f>
        <v>0</v>
      </c>
      <c r="AC836">
        <f>sumif(Plan!B:B,"264-200001-250",Plan!ac:ac)</f>
        <v>0</v>
      </c>
      <c r="AD836">
        <f>sumif(Plan!B:B,"264-200001-250",Plan!ad:ad)</f>
        <v>0</v>
      </c>
      <c r="AE836">
        <f>sumif(Plan!B:B,"264-200001-250",Plan!ae:ae)</f>
        <v>0</v>
      </c>
      <c r="AF836">
        <f>sumif(Plan!B:B,"264-200001-250",Plan!af:af)</f>
        <v>0</v>
      </c>
      <c r="AG836">
        <f>sumif(Plan!B:B,"264-200001-250",Plan!ag:ag)</f>
        <v>0</v>
      </c>
      <c r="AH836">
        <f>sumif(Plan!B:B,"264-200001-250",Plan!ah:ah)</f>
        <v>0</v>
      </c>
      <c r="AI836">
        <f>sumif(Plan!B:B,"264-200001-250",Plan!ai:ai)</f>
        <v>0</v>
      </c>
      <c r="AJ836">
        <f>sumif(Plan!B:B,"264-200001-250",Plan!aj:aj)</f>
        <v>0</v>
      </c>
      <c r="AK836">
        <f>sumif(Plan!B:B,"264-200001-250",Plan!ak:ak)</f>
        <v>0</v>
      </c>
      <c r="AL836">
        <f>sumif(Plan!B:B,"264-200001-250",Plan!al:al)</f>
        <v>0</v>
      </c>
      <c r="AM836">
        <f>sumif(Plan!B:B,"264-200001-250",Plan!am:am)</f>
        <v>0</v>
      </c>
      <c r="AN836">
        <f>sumif(Plan!B:B,"264-200001-250",Plan!an:an)</f>
        <v>0</v>
      </c>
      <c r="AO836">
        <f>sumif(Plan!B:B,"264-200001-250",Plan!ao:ao)</f>
        <v>0</v>
      </c>
    </row>
    <row r="837" spans="1:41">
      <c r="A837" t="s">
        <v>22</v>
      </c>
      <c r="B837" t="s">
        <v>552</v>
      </c>
      <c r="C837" t="s">
        <v>553</v>
      </c>
      <c r="E837">
        <v>0.5</v>
      </c>
      <c r="F837" t="s">
        <v>13</v>
      </c>
      <c r="H837" t="s">
        <v>16</v>
      </c>
      <c r="J837">
        <f>indirect(address(837,9))+indirect(address(835,10))-indirect(address(836,10))</f>
        <v>0</v>
      </c>
      <c r="K837">
        <f>indirect(address(837,10))+indirect(address(835,11))-indirect(address(836,11))</f>
        <v>0</v>
      </c>
      <c r="L837">
        <f>indirect(address(837,11))+indirect(address(835,12))-indirect(address(836,12))</f>
        <v>0</v>
      </c>
      <c r="M837">
        <f>indirect(address(837,12))+indirect(address(835,13))-indirect(address(836,13))</f>
        <v>0</v>
      </c>
      <c r="N837">
        <f>indirect(address(837,13))+indirect(address(835,14))-indirect(address(836,14))</f>
        <v>0</v>
      </c>
      <c r="O837">
        <f>indirect(address(837,14))+indirect(address(835,15))-indirect(address(836,15))</f>
        <v>0</v>
      </c>
      <c r="P837">
        <f>indirect(address(837,15))+indirect(address(835,16))-indirect(address(836,16))</f>
        <v>0</v>
      </c>
      <c r="Q837">
        <f>indirect(address(837,16))+indirect(address(835,17))-indirect(address(836,17))</f>
        <v>0</v>
      </c>
      <c r="R837">
        <f>indirect(address(837,17))+indirect(address(835,18))-indirect(address(836,18))</f>
        <v>0</v>
      </c>
      <c r="S837">
        <f>indirect(address(837,18))+indirect(address(835,19))-indirect(address(836,19))</f>
        <v>0</v>
      </c>
      <c r="T837">
        <f>indirect(address(837,19))+indirect(address(835,20))-indirect(address(836,20))</f>
        <v>0</v>
      </c>
      <c r="U837">
        <f>indirect(address(837,20))+indirect(address(835,21))-indirect(address(836,21))</f>
        <v>0</v>
      </c>
      <c r="V837">
        <f>indirect(address(837,21))+indirect(address(835,22))-indirect(address(836,22))</f>
        <v>0</v>
      </c>
      <c r="W837">
        <f>indirect(address(837,22))+indirect(address(835,23))-indirect(address(836,23))</f>
        <v>0</v>
      </c>
      <c r="X837">
        <f>indirect(address(837,23))+indirect(address(835,24))-indirect(address(836,24))</f>
        <v>0</v>
      </c>
      <c r="Y837">
        <f>indirect(address(837,24))+indirect(address(835,25))-indirect(address(836,25))</f>
        <v>0</v>
      </c>
      <c r="Z837">
        <f>indirect(address(837,25))+indirect(address(835,26))-indirect(address(836,26))</f>
        <v>0</v>
      </c>
      <c r="AA837">
        <f>indirect(address(837,26))+indirect(address(835,27))-indirect(address(836,27))</f>
        <v>0</v>
      </c>
      <c r="AB837">
        <f>indirect(address(837,27))+indirect(address(835,28))-indirect(address(836,28))</f>
        <v>0</v>
      </c>
      <c r="AC837">
        <f>indirect(address(837,28))+indirect(address(835,29))-indirect(address(836,29))</f>
        <v>0</v>
      </c>
      <c r="AD837">
        <f>indirect(address(837,29))+indirect(address(835,30))-indirect(address(836,30))</f>
        <v>0</v>
      </c>
      <c r="AE837">
        <f>indirect(address(837,30))+indirect(address(835,31))-indirect(address(836,31))</f>
        <v>0</v>
      </c>
      <c r="AF837">
        <f>indirect(address(837,31))+indirect(address(835,32))-indirect(address(836,32))</f>
        <v>0</v>
      </c>
      <c r="AG837">
        <f>indirect(address(837,32))+indirect(address(835,33))-indirect(address(836,33))</f>
        <v>0</v>
      </c>
      <c r="AH837">
        <f>indirect(address(837,33))+indirect(address(835,34))-indirect(address(836,34))</f>
        <v>0</v>
      </c>
      <c r="AI837">
        <f>indirect(address(837,34))+indirect(address(835,35))-indirect(address(836,35))</f>
        <v>0</v>
      </c>
      <c r="AJ837">
        <f>indirect(address(837,35))+indirect(address(835,36))-indirect(address(836,36))</f>
        <v>0</v>
      </c>
      <c r="AK837">
        <f>indirect(address(837,36))+indirect(address(835,37))-indirect(address(836,37))</f>
        <v>0</v>
      </c>
      <c r="AL837">
        <f>indirect(address(837,37))+indirect(address(835,38))-indirect(address(836,38))</f>
        <v>0</v>
      </c>
      <c r="AM837">
        <f>indirect(address(837,38))+indirect(address(835,39))-indirect(address(836,39))</f>
        <v>0</v>
      </c>
      <c r="AN837">
        <f>indirect(address(837,39))+indirect(address(835,40))-indirect(address(836,40))</f>
        <v>0</v>
      </c>
      <c r="AO837">
        <f>indirect(address(837,40))+indirect(address(835,41))-indirect(address(836,41))</f>
        <v>0</v>
      </c>
    </row>
    <row r="838" spans="1:41">
      <c r="I838" t="s">
        <v>14</v>
      </c>
      <c r="AO838">
        <f>sum(j838:an838)</f>
        <v>0</v>
      </c>
    </row>
    <row r="839" spans="1:41">
      <c r="I839" t="s">
        <v>15</v>
      </c>
      <c r="J839">
        <f>sumif(Plan!B:B,"906-288348-110",Plan!j:j)</f>
        <v>0</v>
      </c>
      <c r="K839">
        <f>sumif(Plan!B:B,"906-288348-110",Plan!k:k)</f>
        <v>0</v>
      </c>
      <c r="L839">
        <f>sumif(Plan!B:B,"906-288348-110",Plan!l:l)</f>
        <v>0</v>
      </c>
      <c r="M839">
        <f>sumif(Plan!B:B,"906-288348-110",Plan!m:m)</f>
        <v>0</v>
      </c>
      <c r="N839">
        <f>sumif(Plan!B:B,"906-288348-110",Plan!n:n)</f>
        <v>0</v>
      </c>
      <c r="O839">
        <f>sumif(Plan!B:B,"906-288348-110",Plan!o:o)</f>
        <v>0</v>
      </c>
      <c r="P839">
        <f>sumif(Plan!B:B,"906-288348-110",Plan!p:p)</f>
        <v>0</v>
      </c>
      <c r="Q839">
        <f>sumif(Plan!B:B,"906-288348-110",Plan!q:q)</f>
        <v>0</v>
      </c>
      <c r="R839">
        <f>sumif(Plan!B:B,"906-288348-110",Plan!r:r)</f>
        <v>0</v>
      </c>
      <c r="S839">
        <f>sumif(Plan!B:B,"906-288348-110",Plan!s:s)</f>
        <v>0</v>
      </c>
      <c r="T839">
        <f>sumif(Plan!B:B,"906-288348-110",Plan!t:t)</f>
        <v>0</v>
      </c>
      <c r="U839">
        <f>sumif(Plan!B:B,"906-288348-110",Plan!u:u)</f>
        <v>0</v>
      </c>
      <c r="V839">
        <f>sumif(Plan!B:B,"906-288348-110",Plan!v:v)</f>
        <v>0</v>
      </c>
      <c r="W839">
        <f>sumif(Plan!B:B,"906-288348-110",Plan!w:w)</f>
        <v>0</v>
      </c>
      <c r="X839">
        <f>sumif(Plan!B:B,"906-288348-110",Plan!x:x)</f>
        <v>0</v>
      </c>
      <c r="Y839">
        <f>sumif(Plan!B:B,"906-288348-110",Plan!y:y)</f>
        <v>0</v>
      </c>
      <c r="Z839">
        <f>sumif(Plan!B:B,"906-288348-110",Plan!z:z)</f>
        <v>0</v>
      </c>
      <c r="AA839">
        <f>sumif(Plan!B:B,"906-288348-110",Plan!aa:aa)</f>
        <v>0</v>
      </c>
      <c r="AB839">
        <f>sumif(Plan!B:B,"906-288348-110",Plan!ab:ab)</f>
        <v>0</v>
      </c>
      <c r="AC839">
        <f>sumif(Plan!B:B,"906-288348-110",Plan!ac:ac)</f>
        <v>0</v>
      </c>
      <c r="AD839">
        <f>sumif(Plan!B:B,"906-288348-110",Plan!ad:ad)</f>
        <v>0</v>
      </c>
      <c r="AE839">
        <f>sumif(Plan!B:B,"906-288348-110",Plan!ae:ae)</f>
        <v>0</v>
      </c>
      <c r="AF839">
        <f>sumif(Plan!B:B,"906-288348-110",Plan!af:af)</f>
        <v>0</v>
      </c>
      <c r="AG839">
        <f>sumif(Plan!B:B,"906-288348-110",Plan!ag:ag)</f>
        <v>0</v>
      </c>
      <c r="AH839">
        <f>sumif(Plan!B:B,"906-288348-110",Plan!ah:ah)</f>
        <v>0</v>
      </c>
      <c r="AI839">
        <f>sumif(Plan!B:B,"906-288348-110",Plan!ai:ai)</f>
        <v>0</v>
      </c>
      <c r="AJ839">
        <f>sumif(Plan!B:B,"906-288348-110",Plan!aj:aj)</f>
        <v>0</v>
      </c>
      <c r="AK839">
        <f>sumif(Plan!B:B,"906-288348-110",Plan!ak:ak)</f>
        <v>0</v>
      </c>
      <c r="AL839">
        <f>sumif(Plan!B:B,"906-288348-110",Plan!al:al)</f>
        <v>0</v>
      </c>
      <c r="AM839">
        <f>sumif(Plan!B:B,"906-288348-110",Plan!am:am)</f>
        <v>0</v>
      </c>
      <c r="AN839">
        <f>sumif(Plan!B:B,"906-288348-110",Plan!an:an)</f>
        <v>0</v>
      </c>
      <c r="AO839">
        <f>sumif(Plan!B:B,"906-288348-110",Plan!ao:ao)</f>
        <v>0</v>
      </c>
    </row>
    <row r="840" spans="1:41">
      <c r="A840" t="s">
        <v>17</v>
      </c>
      <c r="B840" t="s">
        <v>556</v>
      </c>
      <c r="C840" t="s">
        <v>557</v>
      </c>
      <c r="E840">
        <v>1</v>
      </c>
      <c r="F840" t="s">
        <v>13</v>
      </c>
      <c r="H840" t="s">
        <v>16</v>
      </c>
      <c r="J840">
        <f>indirect(address(840,9))+indirect(address(838,10))-indirect(address(839,10))</f>
        <v>0</v>
      </c>
      <c r="K840">
        <f>indirect(address(840,10))+indirect(address(838,11))-indirect(address(839,11))</f>
        <v>0</v>
      </c>
      <c r="L840">
        <f>indirect(address(840,11))+indirect(address(838,12))-indirect(address(839,12))</f>
        <v>0</v>
      </c>
      <c r="M840">
        <f>indirect(address(840,12))+indirect(address(838,13))-indirect(address(839,13))</f>
        <v>0</v>
      </c>
      <c r="N840">
        <f>indirect(address(840,13))+indirect(address(838,14))-indirect(address(839,14))</f>
        <v>0</v>
      </c>
      <c r="O840">
        <f>indirect(address(840,14))+indirect(address(838,15))-indirect(address(839,15))</f>
        <v>0</v>
      </c>
      <c r="P840">
        <f>indirect(address(840,15))+indirect(address(838,16))-indirect(address(839,16))</f>
        <v>0</v>
      </c>
      <c r="Q840">
        <f>indirect(address(840,16))+indirect(address(838,17))-indirect(address(839,17))</f>
        <v>0</v>
      </c>
      <c r="R840">
        <f>indirect(address(840,17))+indirect(address(838,18))-indirect(address(839,18))</f>
        <v>0</v>
      </c>
      <c r="S840">
        <f>indirect(address(840,18))+indirect(address(838,19))-indirect(address(839,19))</f>
        <v>0</v>
      </c>
      <c r="T840">
        <f>indirect(address(840,19))+indirect(address(838,20))-indirect(address(839,20))</f>
        <v>0</v>
      </c>
      <c r="U840">
        <f>indirect(address(840,20))+indirect(address(838,21))-indirect(address(839,21))</f>
        <v>0</v>
      </c>
      <c r="V840">
        <f>indirect(address(840,21))+indirect(address(838,22))-indirect(address(839,22))</f>
        <v>0</v>
      </c>
      <c r="W840">
        <f>indirect(address(840,22))+indirect(address(838,23))-indirect(address(839,23))</f>
        <v>0</v>
      </c>
      <c r="X840">
        <f>indirect(address(840,23))+indirect(address(838,24))-indirect(address(839,24))</f>
        <v>0</v>
      </c>
      <c r="Y840">
        <f>indirect(address(840,24))+indirect(address(838,25))-indirect(address(839,25))</f>
        <v>0</v>
      </c>
      <c r="Z840">
        <f>indirect(address(840,25))+indirect(address(838,26))-indirect(address(839,26))</f>
        <v>0</v>
      </c>
      <c r="AA840">
        <f>indirect(address(840,26))+indirect(address(838,27))-indirect(address(839,27))</f>
        <v>0</v>
      </c>
      <c r="AB840">
        <f>indirect(address(840,27))+indirect(address(838,28))-indirect(address(839,28))</f>
        <v>0</v>
      </c>
      <c r="AC840">
        <f>indirect(address(840,28))+indirect(address(838,29))-indirect(address(839,29))</f>
        <v>0</v>
      </c>
      <c r="AD840">
        <f>indirect(address(840,29))+indirect(address(838,30))-indirect(address(839,30))</f>
        <v>0</v>
      </c>
      <c r="AE840">
        <f>indirect(address(840,30))+indirect(address(838,31))-indirect(address(839,31))</f>
        <v>0</v>
      </c>
      <c r="AF840">
        <f>indirect(address(840,31))+indirect(address(838,32))-indirect(address(839,32))</f>
        <v>0</v>
      </c>
      <c r="AG840">
        <f>indirect(address(840,32))+indirect(address(838,33))-indirect(address(839,33))</f>
        <v>0</v>
      </c>
      <c r="AH840">
        <f>indirect(address(840,33))+indirect(address(838,34))-indirect(address(839,34))</f>
        <v>0</v>
      </c>
      <c r="AI840">
        <f>indirect(address(840,34))+indirect(address(838,35))-indirect(address(839,35))</f>
        <v>0</v>
      </c>
      <c r="AJ840">
        <f>indirect(address(840,35))+indirect(address(838,36))-indirect(address(839,36))</f>
        <v>0</v>
      </c>
      <c r="AK840">
        <f>indirect(address(840,36))+indirect(address(838,37))-indirect(address(839,37))</f>
        <v>0</v>
      </c>
      <c r="AL840">
        <f>indirect(address(840,37))+indirect(address(838,38))-indirect(address(839,38))</f>
        <v>0</v>
      </c>
      <c r="AM840">
        <f>indirect(address(840,38))+indirect(address(838,39))-indirect(address(839,39))</f>
        <v>0</v>
      </c>
      <c r="AN840">
        <f>indirect(address(840,39))+indirect(address(838,40))-indirect(address(839,40))</f>
        <v>0</v>
      </c>
      <c r="AO840">
        <f>indirect(address(840,40))+indirect(address(838,41))-indirect(address(839,41))</f>
        <v>0</v>
      </c>
    </row>
    <row r="841" spans="1:41">
      <c r="I841" t="s">
        <v>14</v>
      </c>
      <c r="AO841">
        <f>sum(j841:an841)</f>
        <v>0</v>
      </c>
    </row>
    <row r="842" spans="1:41">
      <c r="I842" t="s">
        <v>15</v>
      </c>
      <c r="J842">
        <f>sumif(Plan!B:B,"906-289348-110",Plan!j:j)</f>
        <v>0</v>
      </c>
      <c r="K842">
        <f>sumif(Plan!B:B,"906-289348-110",Plan!k:k)</f>
        <v>0</v>
      </c>
      <c r="L842">
        <f>sumif(Plan!B:B,"906-289348-110",Plan!l:l)</f>
        <v>0</v>
      </c>
      <c r="M842">
        <f>sumif(Plan!B:B,"906-289348-110",Plan!m:m)</f>
        <v>0</v>
      </c>
      <c r="N842">
        <f>sumif(Plan!B:B,"906-289348-110",Plan!n:n)</f>
        <v>0</v>
      </c>
      <c r="O842">
        <f>sumif(Plan!B:B,"906-289348-110",Plan!o:o)</f>
        <v>0</v>
      </c>
      <c r="P842">
        <f>sumif(Plan!B:B,"906-289348-110",Plan!p:p)</f>
        <v>0</v>
      </c>
      <c r="Q842">
        <f>sumif(Plan!B:B,"906-289348-110",Plan!q:q)</f>
        <v>0</v>
      </c>
      <c r="R842">
        <f>sumif(Plan!B:B,"906-289348-110",Plan!r:r)</f>
        <v>0</v>
      </c>
      <c r="S842">
        <f>sumif(Plan!B:B,"906-289348-110",Plan!s:s)</f>
        <v>0</v>
      </c>
      <c r="T842">
        <f>sumif(Plan!B:B,"906-289348-110",Plan!t:t)</f>
        <v>0</v>
      </c>
      <c r="U842">
        <f>sumif(Plan!B:B,"906-289348-110",Plan!u:u)</f>
        <v>0</v>
      </c>
      <c r="V842">
        <f>sumif(Plan!B:B,"906-289348-110",Plan!v:v)</f>
        <v>0</v>
      </c>
      <c r="W842">
        <f>sumif(Plan!B:B,"906-289348-110",Plan!w:w)</f>
        <v>0</v>
      </c>
      <c r="X842">
        <f>sumif(Plan!B:B,"906-289348-110",Plan!x:x)</f>
        <v>0</v>
      </c>
      <c r="Y842">
        <f>sumif(Plan!B:B,"906-289348-110",Plan!y:y)</f>
        <v>0</v>
      </c>
      <c r="Z842">
        <f>sumif(Plan!B:B,"906-289348-110",Plan!z:z)</f>
        <v>0</v>
      </c>
      <c r="AA842">
        <f>sumif(Plan!B:B,"906-289348-110",Plan!aa:aa)</f>
        <v>0</v>
      </c>
      <c r="AB842">
        <f>sumif(Plan!B:B,"906-289348-110",Plan!ab:ab)</f>
        <v>0</v>
      </c>
      <c r="AC842">
        <f>sumif(Plan!B:B,"906-289348-110",Plan!ac:ac)</f>
        <v>0</v>
      </c>
      <c r="AD842">
        <f>sumif(Plan!B:B,"906-289348-110",Plan!ad:ad)</f>
        <v>0</v>
      </c>
      <c r="AE842">
        <f>sumif(Plan!B:B,"906-289348-110",Plan!ae:ae)</f>
        <v>0</v>
      </c>
      <c r="AF842">
        <f>sumif(Plan!B:B,"906-289348-110",Plan!af:af)</f>
        <v>0</v>
      </c>
      <c r="AG842">
        <f>sumif(Plan!B:B,"906-289348-110",Plan!ag:ag)</f>
        <v>0</v>
      </c>
      <c r="AH842">
        <f>sumif(Plan!B:B,"906-289348-110",Plan!ah:ah)</f>
        <v>0</v>
      </c>
      <c r="AI842">
        <f>sumif(Plan!B:B,"906-289348-110",Plan!ai:ai)</f>
        <v>0</v>
      </c>
      <c r="AJ842">
        <f>sumif(Plan!B:B,"906-289348-110",Plan!aj:aj)</f>
        <v>0</v>
      </c>
      <c r="AK842">
        <f>sumif(Plan!B:B,"906-289348-110",Plan!ak:ak)</f>
        <v>0</v>
      </c>
      <c r="AL842">
        <f>sumif(Plan!B:B,"906-289348-110",Plan!al:al)</f>
        <v>0</v>
      </c>
      <c r="AM842">
        <f>sumif(Plan!B:B,"906-289348-110",Plan!am:am)</f>
        <v>0</v>
      </c>
      <c r="AN842">
        <f>sumif(Plan!B:B,"906-289348-110",Plan!an:an)</f>
        <v>0</v>
      </c>
      <c r="AO842">
        <f>sumif(Plan!B:B,"906-289348-110",Plan!ao:ao)</f>
        <v>0</v>
      </c>
    </row>
    <row r="843" spans="1:41">
      <c r="A843" t="s">
        <v>17</v>
      </c>
      <c r="B843" t="s">
        <v>558</v>
      </c>
      <c r="C843" t="s">
        <v>559</v>
      </c>
      <c r="E843">
        <v>1</v>
      </c>
      <c r="F843" t="s">
        <v>13</v>
      </c>
      <c r="H843" t="s">
        <v>16</v>
      </c>
      <c r="J843">
        <f>indirect(address(843,9))+indirect(address(841,10))-indirect(address(842,10))</f>
        <v>0</v>
      </c>
      <c r="K843">
        <f>indirect(address(843,10))+indirect(address(841,11))-indirect(address(842,11))</f>
        <v>0</v>
      </c>
      <c r="L843">
        <f>indirect(address(843,11))+indirect(address(841,12))-indirect(address(842,12))</f>
        <v>0</v>
      </c>
      <c r="M843">
        <f>indirect(address(843,12))+indirect(address(841,13))-indirect(address(842,13))</f>
        <v>0</v>
      </c>
      <c r="N843">
        <f>indirect(address(843,13))+indirect(address(841,14))-indirect(address(842,14))</f>
        <v>0</v>
      </c>
      <c r="O843">
        <f>indirect(address(843,14))+indirect(address(841,15))-indirect(address(842,15))</f>
        <v>0</v>
      </c>
      <c r="P843">
        <f>indirect(address(843,15))+indirect(address(841,16))-indirect(address(842,16))</f>
        <v>0</v>
      </c>
      <c r="Q843">
        <f>indirect(address(843,16))+indirect(address(841,17))-indirect(address(842,17))</f>
        <v>0</v>
      </c>
      <c r="R843">
        <f>indirect(address(843,17))+indirect(address(841,18))-indirect(address(842,18))</f>
        <v>0</v>
      </c>
      <c r="S843">
        <f>indirect(address(843,18))+indirect(address(841,19))-indirect(address(842,19))</f>
        <v>0</v>
      </c>
      <c r="T843">
        <f>indirect(address(843,19))+indirect(address(841,20))-indirect(address(842,20))</f>
        <v>0</v>
      </c>
      <c r="U843">
        <f>indirect(address(843,20))+indirect(address(841,21))-indirect(address(842,21))</f>
        <v>0</v>
      </c>
      <c r="V843">
        <f>indirect(address(843,21))+indirect(address(841,22))-indirect(address(842,22))</f>
        <v>0</v>
      </c>
      <c r="W843">
        <f>indirect(address(843,22))+indirect(address(841,23))-indirect(address(842,23))</f>
        <v>0</v>
      </c>
      <c r="X843">
        <f>indirect(address(843,23))+indirect(address(841,24))-indirect(address(842,24))</f>
        <v>0</v>
      </c>
      <c r="Y843">
        <f>indirect(address(843,24))+indirect(address(841,25))-indirect(address(842,25))</f>
        <v>0</v>
      </c>
      <c r="Z843">
        <f>indirect(address(843,25))+indirect(address(841,26))-indirect(address(842,26))</f>
        <v>0</v>
      </c>
      <c r="AA843">
        <f>indirect(address(843,26))+indirect(address(841,27))-indirect(address(842,27))</f>
        <v>0</v>
      </c>
      <c r="AB843">
        <f>indirect(address(843,27))+indirect(address(841,28))-indirect(address(842,28))</f>
        <v>0</v>
      </c>
      <c r="AC843">
        <f>indirect(address(843,28))+indirect(address(841,29))-indirect(address(842,29))</f>
        <v>0</v>
      </c>
      <c r="AD843">
        <f>indirect(address(843,29))+indirect(address(841,30))-indirect(address(842,30))</f>
        <v>0</v>
      </c>
      <c r="AE843">
        <f>indirect(address(843,30))+indirect(address(841,31))-indirect(address(842,31))</f>
        <v>0</v>
      </c>
      <c r="AF843">
        <f>indirect(address(843,31))+indirect(address(841,32))-indirect(address(842,32))</f>
        <v>0</v>
      </c>
      <c r="AG843">
        <f>indirect(address(843,32))+indirect(address(841,33))-indirect(address(842,33))</f>
        <v>0</v>
      </c>
      <c r="AH843">
        <f>indirect(address(843,33))+indirect(address(841,34))-indirect(address(842,34))</f>
        <v>0</v>
      </c>
      <c r="AI843">
        <f>indirect(address(843,34))+indirect(address(841,35))-indirect(address(842,35))</f>
        <v>0</v>
      </c>
      <c r="AJ843">
        <f>indirect(address(843,35))+indirect(address(841,36))-indirect(address(842,36))</f>
        <v>0</v>
      </c>
      <c r="AK843">
        <f>indirect(address(843,36))+indirect(address(841,37))-indirect(address(842,37))</f>
        <v>0</v>
      </c>
      <c r="AL843">
        <f>indirect(address(843,37))+indirect(address(841,38))-indirect(address(842,38))</f>
        <v>0</v>
      </c>
      <c r="AM843">
        <f>indirect(address(843,38))+indirect(address(841,39))-indirect(address(842,39))</f>
        <v>0</v>
      </c>
      <c r="AN843">
        <f>indirect(address(843,39))+indirect(address(841,40))-indirect(address(842,40))</f>
        <v>0</v>
      </c>
      <c r="AO843">
        <f>indirect(address(843,40))+indirect(address(841,41))-indirect(address(842,41))</f>
        <v>0</v>
      </c>
    </row>
    <row r="844" spans="1:41">
      <c r="I844" t="s">
        <v>14</v>
      </c>
      <c r="AO844">
        <f>sum(j844:an844)</f>
        <v>0</v>
      </c>
    </row>
    <row r="845" spans="1:41">
      <c r="I845" t="s">
        <v>15</v>
      </c>
      <c r="J845">
        <f>sumif(Plan!B:B,"906-290500-110",Plan!j:j)</f>
        <v>0</v>
      </c>
      <c r="K845">
        <f>sumif(Plan!B:B,"906-290500-110",Plan!k:k)</f>
        <v>0</v>
      </c>
      <c r="L845">
        <f>sumif(Plan!B:B,"906-290500-110",Plan!l:l)</f>
        <v>0</v>
      </c>
      <c r="M845">
        <f>sumif(Plan!B:B,"906-290500-110",Plan!m:m)</f>
        <v>0</v>
      </c>
      <c r="N845">
        <f>sumif(Plan!B:B,"906-290500-110",Plan!n:n)</f>
        <v>0</v>
      </c>
      <c r="O845">
        <f>sumif(Plan!B:B,"906-290500-110",Plan!o:o)</f>
        <v>0</v>
      </c>
      <c r="P845">
        <f>sumif(Plan!B:B,"906-290500-110",Plan!p:p)</f>
        <v>0</v>
      </c>
      <c r="Q845">
        <f>sumif(Plan!B:B,"906-290500-110",Plan!q:q)</f>
        <v>0</v>
      </c>
      <c r="R845">
        <f>sumif(Plan!B:B,"906-290500-110",Plan!r:r)</f>
        <v>0</v>
      </c>
      <c r="S845">
        <f>sumif(Plan!B:B,"906-290500-110",Plan!s:s)</f>
        <v>0</v>
      </c>
      <c r="T845">
        <f>sumif(Plan!B:B,"906-290500-110",Plan!t:t)</f>
        <v>0</v>
      </c>
      <c r="U845">
        <f>sumif(Plan!B:B,"906-290500-110",Plan!u:u)</f>
        <v>0</v>
      </c>
      <c r="V845">
        <f>sumif(Plan!B:B,"906-290500-110",Plan!v:v)</f>
        <v>0</v>
      </c>
      <c r="W845">
        <f>sumif(Plan!B:B,"906-290500-110",Plan!w:w)</f>
        <v>0</v>
      </c>
      <c r="X845">
        <f>sumif(Plan!B:B,"906-290500-110",Plan!x:x)</f>
        <v>0</v>
      </c>
      <c r="Y845">
        <f>sumif(Plan!B:B,"906-290500-110",Plan!y:y)</f>
        <v>0</v>
      </c>
      <c r="Z845">
        <f>sumif(Plan!B:B,"906-290500-110",Plan!z:z)</f>
        <v>0</v>
      </c>
      <c r="AA845">
        <f>sumif(Plan!B:B,"906-290500-110",Plan!aa:aa)</f>
        <v>0</v>
      </c>
      <c r="AB845">
        <f>sumif(Plan!B:B,"906-290500-110",Plan!ab:ab)</f>
        <v>0</v>
      </c>
      <c r="AC845">
        <f>sumif(Plan!B:B,"906-290500-110",Plan!ac:ac)</f>
        <v>0</v>
      </c>
      <c r="AD845">
        <f>sumif(Plan!B:B,"906-290500-110",Plan!ad:ad)</f>
        <v>0</v>
      </c>
      <c r="AE845">
        <f>sumif(Plan!B:B,"906-290500-110",Plan!ae:ae)</f>
        <v>0</v>
      </c>
      <c r="AF845">
        <f>sumif(Plan!B:B,"906-290500-110",Plan!af:af)</f>
        <v>0</v>
      </c>
      <c r="AG845">
        <f>sumif(Plan!B:B,"906-290500-110",Plan!ag:ag)</f>
        <v>0</v>
      </c>
      <c r="AH845">
        <f>sumif(Plan!B:B,"906-290500-110",Plan!ah:ah)</f>
        <v>0</v>
      </c>
      <c r="AI845">
        <f>sumif(Plan!B:B,"906-290500-110",Plan!ai:ai)</f>
        <v>0</v>
      </c>
      <c r="AJ845">
        <f>sumif(Plan!B:B,"906-290500-110",Plan!aj:aj)</f>
        <v>0</v>
      </c>
      <c r="AK845">
        <f>sumif(Plan!B:B,"906-290500-110",Plan!ak:ak)</f>
        <v>0</v>
      </c>
      <c r="AL845">
        <f>sumif(Plan!B:B,"906-290500-110",Plan!al:al)</f>
        <v>0</v>
      </c>
      <c r="AM845">
        <f>sumif(Plan!B:B,"906-290500-110",Plan!am:am)</f>
        <v>0</v>
      </c>
      <c r="AN845">
        <f>sumif(Plan!B:B,"906-290500-110",Plan!an:an)</f>
        <v>0</v>
      </c>
      <c r="AO845">
        <f>sumif(Plan!B:B,"906-290500-110",Plan!ao:ao)</f>
        <v>0</v>
      </c>
    </row>
    <row r="846" spans="1:41">
      <c r="A846" t="s">
        <v>17</v>
      </c>
      <c r="B846" t="s">
        <v>560</v>
      </c>
      <c r="C846" t="s">
        <v>561</v>
      </c>
      <c r="E846">
        <v>1</v>
      </c>
      <c r="F846" t="s">
        <v>13</v>
      </c>
      <c r="H846" t="s">
        <v>16</v>
      </c>
      <c r="J846">
        <f>indirect(address(846,9))+indirect(address(844,10))-indirect(address(845,10))</f>
        <v>0</v>
      </c>
      <c r="K846">
        <f>indirect(address(846,10))+indirect(address(844,11))-indirect(address(845,11))</f>
        <v>0</v>
      </c>
      <c r="L846">
        <f>indirect(address(846,11))+indirect(address(844,12))-indirect(address(845,12))</f>
        <v>0</v>
      </c>
      <c r="M846">
        <f>indirect(address(846,12))+indirect(address(844,13))-indirect(address(845,13))</f>
        <v>0</v>
      </c>
      <c r="N846">
        <f>indirect(address(846,13))+indirect(address(844,14))-indirect(address(845,14))</f>
        <v>0</v>
      </c>
      <c r="O846">
        <f>indirect(address(846,14))+indirect(address(844,15))-indirect(address(845,15))</f>
        <v>0</v>
      </c>
      <c r="P846">
        <f>indirect(address(846,15))+indirect(address(844,16))-indirect(address(845,16))</f>
        <v>0</v>
      </c>
      <c r="Q846">
        <f>indirect(address(846,16))+indirect(address(844,17))-indirect(address(845,17))</f>
        <v>0</v>
      </c>
      <c r="R846">
        <f>indirect(address(846,17))+indirect(address(844,18))-indirect(address(845,18))</f>
        <v>0</v>
      </c>
      <c r="S846">
        <f>indirect(address(846,18))+indirect(address(844,19))-indirect(address(845,19))</f>
        <v>0</v>
      </c>
      <c r="T846">
        <f>indirect(address(846,19))+indirect(address(844,20))-indirect(address(845,20))</f>
        <v>0</v>
      </c>
      <c r="U846">
        <f>indirect(address(846,20))+indirect(address(844,21))-indirect(address(845,21))</f>
        <v>0</v>
      </c>
      <c r="V846">
        <f>indirect(address(846,21))+indirect(address(844,22))-indirect(address(845,22))</f>
        <v>0</v>
      </c>
      <c r="W846">
        <f>indirect(address(846,22))+indirect(address(844,23))-indirect(address(845,23))</f>
        <v>0</v>
      </c>
      <c r="X846">
        <f>indirect(address(846,23))+indirect(address(844,24))-indirect(address(845,24))</f>
        <v>0</v>
      </c>
      <c r="Y846">
        <f>indirect(address(846,24))+indirect(address(844,25))-indirect(address(845,25))</f>
        <v>0</v>
      </c>
      <c r="Z846">
        <f>indirect(address(846,25))+indirect(address(844,26))-indirect(address(845,26))</f>
        <v>0</v>
      </c>
      <c r="AA846">
        <f>indirect(address(846,26))+indirect(address(844,27))-indirect(address(845,27))</f>
        <v>0</v>
      </c>
      <c r="AB846">
        <f>indirect(address(846,27))+indirect(address(844,28))-indirect(address(845,28))</f>
        <v>0</v>
      </c>
      <c r="AC846">
        <f>indirect(address(846,28))+indirect(address(844,29))-indirect(address(845,29))</f>
        <v>0</v>
      </c>
      <c r="AD846">
        <f>indirect(address(846,29))+indirect(address(844,30))-indirect(address(845,30))</f>
        <v>0</v>
      </c>
      <c r="AE846">
        <f>indirect(address(846,30))+indirect(address(844,31))-indirect(address(845,31))</f>
        <v>0</v>
      </c>
      <c r="AF846">
        <f>indirect(address(846,31))+indirect(address(844,32))-indirect(address(845,32))</f>
        <v>0</v>
      </c>
      <c r="AG846">
        <f>indirect(address(846,32))+indirect(address(844,33))-indirect(address(845,33))</f>
        <v>0</v>
      </c>
      <c r="AH846">
        <f>indirect(address(846,33))+indirect(address(844,34))-indirect(address(845,34))</f>
        <v>0</v>
      </c>
      <c r="AI846">
        <f>indirect(address(846,34))+indirect(address(844,35))-indirect(address(845,35))</f>
        <v>0</v>
      </c>
      <c r="AJ846">
        <f>indirect(address(846,35))+indirect(address(844,36))-indirect(address(845,36))</f>
        <v>0</v>
      </c>
      <c r="AK846">
        <f>indirect(address(846,36))+indirect(address(844,37))-indirect(address(845,37))</f>
        <v>0</v>
      </c>
      <c r="AL846">
        <f>indirect(address(846,37))+indirect(address(844,38))-indirect(address(845,38))</f>
        <v>0</v>
      </c>
      <c r="AM846">
        <f>indirect(address(846,38))+indirect(address(844,39))-indirect(address(845,39))</f>
        <v>0</v>
      </c>
      <c r="AN846">
        <f>indirect(address(846,39))+indirect(address(844,40))-indirect(address(845,40))</f>
        <v>0</v>
      </c>
      <c r="AO846">
        <f>indirect(address(846,40))+indirect(address(844,41))-indirect(address(845,41))</f>
        <v>0</v>
      </c>
    </row>
    <row r="847" spans="1:41">
      <c r="I847" t="s">
        <v>14</v>
      </c>
      <c r="AO847">
        <f>sum(j847:an847)</f>
        <v>0</v>
      </c>
    </row>
    <row r="848" spans="1:41">
      <c r="I848" t="s">
        <v>15</v>
      </c>
      <c r="J848">
        <f>sumif(Plan!B:B,"806-352000-110",Plan!j:j)</f>
        <v>0</v>
      </c>
      <c r="K848">
        <f>sumif(Plan!B:B,"806-352000-110",Plan!k:k)</f>
        <v>0</v>
      </c>
      <c r="L848">
        <f>sumif(Plan!B:B,"806-352000-110",Plan!l:l)</f>
        <v>0</v>
      </c>
      <c r="M848">
        <f>sumif(Plan!B:B,"806-352000-110",Plan!m:m)</f>
        <v>0</v>
      </c>
      <c r="N848">
        <f>sumif(Plan!B:B,"806-352000-110",Plan!n:n)</f>
        <v>0</v>
      </c>
      <c r="O848">
        <f>sumif(Plan!B:B,"806-352000-110",Plan!o:o)</f>
        <v>0</v>
      </c>
      <c r="P848">
        <f>sumif(Plan!B:B,"806-352000-110",Plan!p:p)</f>
        <v>0</v>
      </c>
      <c r="Q848">
        <f>sumif(Plan!B:B,"806-352000-110",Plan!q:q)</f>
        <v>0</v>
      </c>
      <c r="R848">
        <f>sumif(Plan!B:B,"806-352000-110",Plan!r:r)</f>
        <v>0</v>
      </c>
      <c r="S848">
        <f>sumif(Plan!B:B,"806-352000-110",Plan!s:s)</f>
        <v>0</v>
      </c>
      <c r="T848">
        <f>sumif(Plan!B:B,"806-352000-110",Plan!t:t)</f>
        <v>0</v>
      </c>
      <c r="U848">
        <f>sumif(Plan!B:B,"806-352000-110",Plan!u:u)</f>
        <v>0</v>
      </c>
      <c r="V848">
        <f>sumif(Plan!B:B,"806-352000-110",Plan!v:v)</f>
        <v>0</v>
      </c>
      <c r="W848">
        <f>sumif(Plan!B:B,"806-352000-110",Plan!w:w)</f>
        <v>0</v>
      </c>
      <c r="X848">
        <f>sumif(Plan!B:B,"806-352000-110",Plan!x:x)</f>
        <v>0</v>
      </c>
      <c r="Y848">
        <f>sumif(Plan!B:B,"806-352000-110",Plan!y:y)</f>
        <v>0</v>
      </c>
      <c r="Z848">
        <f>sumif(Plan!B:B,"806-352000-110",Plan!z:z)</f>
        <v>0</v>
      </c>
      <c r="AA848">
        <f>sumif(Plan!B:B,"806-352000-110",Plan!aa:aa)</f>
        <v>0</v>
      </c>
      <c r="AB848">
        <f>sumif(Plan!B:B,"806-352000-110",Plan!ab:ab)</f>
        <v>0</v>
      </c>
      <c r="AC848">
        <f>sumif(Plan!B:B,"806-352000-110",Plan!ac:ac)</f>
        <v>0</v>
      </c>
      <c r="AD848">
        <f>sumif(Plan!B:B,"806-352000-110",Plan!ad:ad)</f>
        <v>0</v>
      </c>
      <c r="AE848">
        <f>sumif(Plan!B:B,"806-352000-110",Plan!ae:ae)</f>
        <v>0</v>
      </c>
      <c r="AF848">
        <f>sumif(Plan!B:B,"806-352000-110",Plan!af:af)</f>
        <v>0</v>
      </c>
      <c r="AG848">
        <f>sumif(Plan!B:B,"806-352000-110",Plan!ag:ag)</f>
        <v>0</v>
      </c>
      <c r="AH848">
        <f>sumif(Plan!B:B,"806-352000-110",Plan!ah:ah)</f>
        <v>0</v>
      </c>
      <c r="AI848">
        <f>sumif(Plan!B:B,"806-352000-110",Plan!ai:ai)</f>
        <v>0</v>
      </c>
      <c r="AJ848">
        <f>sumif(Plan!B:B,"806-352000-110",Plan!aj:aj)</f>
        <v>0</v>
      </c>
      <c r="AK848">
        <f>sumif(Plan!B:B,"806-352000-110",Plan!ak:ak)</f>
        <v>0</v>
      </c>
      <c r="AL848">
        <f>sumif(Plan!B:B,"806-352000-110",Plan!al:al)</f>
        <v>0</v>
      </c>
      <c r="AM848">
        <f>sumif(Plan!B:B,"806-352000-110",Plan!am:am)</f>
        <v>0</v>
      </c>
      <c r="AN848">
        <f>sumif(Plan!B:B,"806-352000-110",Plan!an:an)</f>
        <v>0</v>
      </c>
      <c r="AO848">
        <f>sumif(Plan!B:B,"806-352000-110",Plan!ao:ao)</f>
        <v>0</v>
      </c>
    </row>
    <row r="849" spans="1:41">
      <c r="A849" t="s">
        <v>17</v>
      </c>
      <c r="B849" t="s">
        <v>564</v>
      </c>
      <c r="C849" t="s">
        <v>565</v>
      </c>
      <c r="E849">
        <v>1</v>
      </c>
      <c r="F849" t="s">
        <v>13</v>
      </c>
      <c r="H849" t="s">
        <v>16</v>
      </c>
      <c r="J849">
        <f>indirect(address(849,9))+indirect(address(847,10))-indirect(address(848,10))</f>
        <v>0</v>
      </c>
      <c r="K849">
        <f>indirect(address(849,10))+indirect(address(847,11))-indirect(address(848,11))</f>
        <v>0</v>
      </c>
      <c r="L849">
        <f>indirect(address(849,11))+indirect(address(847,12))-indirect(address(848,12))</f>
        <v>0</v>
      </c>
      <c r="M849">
        <f>indirect(address(849,12))+indirect(address(847,13))-indirect(address(848,13))</f>
        <v>0</v>
      </c>
      <c r="N849">
        <f>indirect(address(849,13))+indirect(address(847,14))-indirect(address(848,14))</f>
        <v>0</v>
      </c>
      <c r="O849">
        <f>indirect(address(849,14))+indirect(address(847,15))-indirect(address(848,15))</f>
        <v>0</v>
      </c>
      <c r="P849">
        <f>indirect(address(849,15))+indirect(address(847,16))-indirect(address(848,16))</f>
        <v>0</v>
      </c>
      <c r="Q849">
        <f>indirect(address(849,16))+indirect(address(847,17))-indirect(address(848,17))</f>
        <v>0</v>
      </c>
      <c r="R849">
        <f>indirect(address(849,17))+indirect(address(847,18))-indirect(address(848,18))</f>
        <v>0</v>
      </c>
      <c r="S849">
        <f>indirect(address(849,18))+indirect(address(847,19))-indirect(address(848,19))</f>
        <v>0</v>
      </c>
      <c r="T849">
        <f>indirect(address(849,19))+indirect(address(847,20))-indirect(address(848,20))</f>
        <v>0</v>
      </c>
      <c r="U849">
        <f>indirect(address(849,20))+indirect(address(847,21))-indirect(address(848,21))</f>
        <v>0</v>
      </c>
      <c r="V849">
        <f>indirect(address(849,21))+indirect(address(847,22))-indirect(address(848,22))</f>
        <v>0</v>
      </c>
      <c r="W849">
        <f>indirect(address(849,22))+indirect(address(847,23))-indirect(address(848,23))</f>
        <v>0</v>
      </c>
      <c r="X849">
        <f>indirect(address(849,23))+indirect(address(847,24))-indirect(address(848,24))</f>
        <v>0</v>
      </c>
      <c r="Y849">
        <f>indirect(address(849,24))+indirect(address(847,25))-indirect(address(848,25))</f>
        <v>0</v>
      </c>
      <c r="Z849">
        <f>indirect(address(849,25))+indirect(address(847,26))-indirect(address(848,26))</f>
        <v>0</v>
      </c>
      <c r="AA849">
        <f>indirect(address(849,26))+indirect(address(847,27))-indirect(address(848,27))</f>
        <v>0</v>
      </c>
      <c r="AB849">
        <f>indirect(address(849,27))+indirect(address(847,28))-indirect(address(848,28))</f>
        <v>0</v>
      </c>
      <c r="AC849">
        <f>indirect(address(849,28))+indirect(address(847,29))-indirect(address(848,29))</f>
        <v>0</v>
      </c>
      <c r="AD849">
        <f>indirect(address(849,29))+indirect(address(847,30))-indirect(address(848,30))</f>
        <v>0</v>
      </c>
      <c r="AE849">
        <f>indirect(address(849,30))+indirect(address(847,31))-indirect(address(848,31))</f>
        <v>0</v>
      </c>
      <c r="AF849">
        <f>indirect(address(849,31))+indirect(address(847,32))-indirect(address(848,32))</f>
        <v>0</v>
      </c>
      <c r="AG849">
        <f>indirect(address(849,32))+indirect(address(847,33))-indirect(address(848,33))</f>
        <v>0</v>
      </c>
      <c r="AH849">
        <f>indirect(address(849,33))+indirect(address(847,34))-indirect(address(848,34))</f>
        <v>0</v>
      </c>
      <c r="AI849">
        <f>indirect(address(849,34))+indirect(address(847,35))-indirect(address(848,35))</f>
        <v>0</v>
      </c>
      <c r="AJ849">
        <f>indirect(address(849,35))+indirect(address(847,36))-indirect(address(848,36))</f>
        <v>0</v>
      </c>
      <c r="AK849">
        <f>indirect(address(849,36))+indirect(address(847,37))-indirect(address(848,37))</f>
        <v>0</v>
      </c>
      <c r="AL849">
        <f>indirect(address(849,37))+indirect(address(847,38))-indirect(address(848,38))</f>
        <v>0</v>
      </c>
      <c r="AM849">
        <f>indirect(address(849,38))+indirect(address(847,39))-indirect(address(848,39))</f>
        <v>0</v>
      </c>
      <c r="AN849">
        <f>indirect(address(849,39))+indirect(address(847,40))-indirect(address(848,40))</f>
        <v>0</v>
      </c>
      <c r="AO849">
        <f>indirect(address(849,40))+indirect(address(847,41))-indirect(address(848,41))</f>
        <v>0</v>
      </c>
    </row>
    <row r="850" spans="1:41">
      <c r="I850" t="s">
        <v>14</v>
      </c>
      <c r="AO850">
        <f>sum(j850:an850)</f>
        <v>0</v>
      </c>
    </row>
    <row r="851" spans="1:41">
      <c r="I851" t="s">
        <v>15</v>
      </c>
      <c r="J851">
        <f>sumif(Plan!B:B,"261-000000-115",Plan!j:j)</f>
        <v>0</v>
      </c>
      <c r="K851">
        <f>sumif(Plan!B:B,"261-000000-115",Plan!k:k)</f>
        <v>0</v>
      </c>
      <c r="L851">
        <f>sumif(Plan!B:B,"261-000000-115",Plan!l:l)</f>
        <v>0</v>
      </c>
      <c r="M851">
        <f>sumif(Plan!B:B,"261-000000-115",Plan!m:m)</f>
        <v>0</v>
      </c>
      <c r="N851">
        <f>sumif(Plan!B:B,"261-000000-115",Plan!n:n)</f>
        <v>0</v>
      </c>
      <c r="O851">
        <f>sumif(Plan!B:B,"261-000000-115",Plan!o:o)</f>
        <v>0</v>
      </c>
      <c r="P851">
        <f>sumif(Plan!B:B,"261-000000-115",Plan!p:p)</f>
        <v>0</v>
      </c>
      <c r="Q851">
        <f>sumif(Plan!B:B,"261-000000-115",Plan!q:q)</f>
        <v>0</v>
      </c>
      <c r="R851">
        <f>sumif(Plan!B:B,"261-000000-115",Plan!r:r)</f>
        <v>0</v>
      </c>
      <c r="S851">
        <f>sumif(Plan!B:B,"261-000000-115",Plan!s:s)</f>
        <v>0</v>
      </c>
      <c r="T851">
        <f>sumif(Plan!B:B,"261-000000-115",Plan!t:t)</f>
        <v>0</v>
      </c>
      <c r="U851">
        <f>sumif(Plan!B:B,"261-000000-115",Plan!u:u)</f>
        <v>0</v>
      </c>
      <c r="V851">
        <f>sumif(Plan!B:B,"261-000000-115",Plan!v:v)</f>
        <v>0</v>
      </c>
      <c r="W851">
        <f>sumif(Plan!B:B,"261-000000-115",Plan!w:w)</f>
        <v>0</v>
      </c>
      <c r="X851">
        <f>sumif(Plan!B:B,"261-000000-115",Plan!x:x)</f>
        <v>0</v>
      </c>
      <c r="Y851">
        <f>sumif(Plan!B:B,"261-000000-115",Plan!y:y)</f>
        <v>0</v>
      </c>
      <c r="Z851">
        <f>sumif(Plan!B:B,"261-000000-115",Plan!z:z)</f>
        <v>0</v>
      </c>
      <c r="AA851">
        <f>sumif(Plan!B:B,"261-000000-115",Plan!aa:aa)</f>
        <v>0</v>
      </c>
      <c r="AB851">
        <f>sumif(Plan!B:B,"261-000000-115",Plan!ab:ab)</f>
        <v>0</v>
      </c>
      <c r="AC851">
        <f>sumif(Plan!B:B,"261-000000-115",Plan!ac:ac)</f>
        <v>0</v>
      </c>
      <c r="AD851">
        <f>sumif(Plan!B:B,"261-000000-115",Plan!ad:ad)</f>
        <v>0</v>
      </c>
      <c r="AE851">
        <f>sumif(Plan!B:B,"261-000000-115",Plan!ae:ae)</f>
        <v>0</v>
      </c>
      <c r="AF851">
        <f>sumif(Plan!B:B,"261-000000-115",Plan!af:af)</f>
        <v>0</v>
      </c>
      <c r="AG851">
        <f>sumif(Plan!B:B,"261-000000-115",Plan!ag:ag)</f>
        <v>0</v>
      </c>
      <c r="AH851">
        <f>sumif(Plan!B:B,"261-000000-115",Plan!ah:ah)</f>
        <v>0</v>
      </c>
      <c r="AI851">
        <f>sumif(Plan!B:B,"261-000000-115",Plan!ai:ai)</f>
        <v>0</v>
      </c>
      <c r="AJ851">
        <f>sumif(Plan!B:B,"261-000000-115",Plan!aj:aj)</f>
        <v>0</v>
      </c>
      <c r="AK851">
        <f>sumif(Plan!B:B,"261-000000-115",Plan!ak:ak)</f>
        <v>0</v>
      </c>
      <c r="AL851">
        <f>sumif(Plan!B:B,"261-000000-115",Plan!al:al)</f>
        <v>0</v>
      </c>
      <c r="AM851">
        <f>sumif(Plan!B:B,"261-000000-115",Plan!am:am)</f>
        <v>0</v>
      </c>
      <c r="AN851">
        <f>sumif(Plan!B:B,"261-000000-115",Plan!an:an)</f>
        <v>0</v>
      </c>
      <c r="AO851">
        <f>sumif(Plan!B:B,"261-000000-115",Plan!ao:ao)</f>
        <v>0</v>
      </c>
    </row>
    <row r="852" spans="1:41">
      <c r="A852" t="s">
        <v>22</v>
      </c>
      <c r="B852" t="s">
        <v>566</v>
      </c>
      <c r="C852" t="s">
        <v>567</v>
      </c>
      <c r="E852">
        <v>1</v>
      </c>
      <c r="F852" t="s">
        <v>13</v>
      </c>
      <c r="H852" t="s">
        <v>16</v>
      </c>
      <c r="J852">
        <f>indirect(address(852,9))+indirect(address(850,10))-indirect(address(851,10))</f>
        <v>0</v>
      </c>
      <c r="K852">
        <f>indirect(address(852,10))+indirect(address(850,11))-indirect(address(851,11))</f>
        <v>0</v>
      </c>
      <c r="L852">
        <f>indirect(address(852,11))+indirect(address(850,12))-indirect(address(851,12))</f>
        <v>0</v>
      </c>
      <c r="M852">
        <f>indirect(address(852,12))+indirect(address(850,13))-indirect(address(851,13))</f>
        <v>0</v>
      </c>
      <c r="N852">
        <f>indirect(address(852,13))+indirect(address(850,14))-indirect(address(851,14))</f>
        <v>0</v>
      </c>
      <c r="O852">
        <f>indirect(address(852,14))+indirect(address(850,15))-indirect(address(851,15))</f>
        <v>0</v>
      </c>
      <c r="P852">
        <f>indirect(address(852,15))+indirect(address(850,16))-indirect(address(851,16))</f>
        <v>0</v>
      </c>
      <c r="Q852">
        <f>indirect(address(852,16))+indirect(address(850,17))-indirect(address(851,17))</f>
        <v>0</v>
      </c>
      <c r="R852">
        <f>indirect(address(852,17))+indirect(address(850,18))-indirect(address(851,18))</f>
        <v>0</v>
      </c>
      <c r="S852">
        <f>indirect(address(852,18))+indirect(address(850,19))-indirect(address(851,19))</f>
        <v>0</v>
      </c>
      <c r="T852">
        <f>indirect(address(852,19))+indirect(address(850,20))-indirect(address(851,20))</f>
        <v>0</v>
      </c>
      <c r="U852">
        <f>indirect(address(852,20))+indirect(address(850,21))-indirect(address(851,21))</f>
        <v>0</v>
      </c>
      <c r="V852">
        <f>indirect(address(852,21))+indirect(address(850,22))-indirect(address(851,22))</f>
        <v>0</v>
      </c>
      <c r="W852">
        <f>indirect(address(852,22))+indirect(address(850,23))-indirect(address(851,23))</f>
        <v>0</v>
      </c>
      <c r="X852">
        <f>indirect(address(852,23))+indirect(address(850,24))-indirect(address(851,24))</f>
        <v>0</v>
      </c>
      <c r="Y852">
        <f>indirect(address(852,24))+indirect(address(850,25))-indirect(address(851,25))</f>
        <v>0</v>
      </c>
      <c r="Z852">
        <f>indirect(address(852,25))+indirect(address(850,26))-indirect(address(851,26))</f>
        <v>0</v>
      </c>
      <c r="AA852">
        <f>indirect(address(852,26))+indirect(address(850,27))-indirect(address(851,27))</f>
        <v>0</v>
      </c>
      <c r="AB852">
        <f>indirect(address(852,27))+indirect(address(850,28))-indirect(address(851,28))</f>
        <v>0</v>
      </c>
      <c r="AC852">
        <f>indirect(address(852,28))+indirect(address(850,29))-indirect(address(851,29))</f>
        <v>0</v>
      </c>
      <c r="AD852">
        <f>indirect(address(852,29))+indirect(address(850,30))-indirect(address(851,30))</f>
        <v>0</v>
      </c>
      <c r="AE852">
        <f>indirect(address(852,30))+indirect(address(850,31))-indirect(address(851,31))</f>
        <v>0</v>
      </c>
      <c r="AF852">
        <f>indirect(address(852,31))+indirect(address(850,32))-indirect(address(851,32))</f>
        <v>0</v>
      </c>
      <c r="AG852">
        <f>indirect(address(852,32))+indirect(address(850,33))-indirect(address(851,33))</f>
        <v>0</v>
      </c>
      <c r="AH852">
        <f>indirect(address(852,33))+indirect(address(850,34))-indirect(address(851,34))</f>
        <v>0</v>
      </c>
      <c r="AI852">
        <f>indirect(address(852,34))+indirect(address(850,35))-indirect(address(851,35))</f>
        <v>0</v>
      </c>
      <c r="AJ852">
        <f>indirect(address(852,35))+indirect(address(850,36))-indirect(address(851,36))</f>
        <v>0</v>
      </c>
      <c r="AK852">
        <f>indirect(address(852,36))+indirect(address(850,37))-indirect(address(851,37))</f>
        <v>0</v>
      </c>
      <c r="AL852">
        <f>indirect(address(852,37))+indirect(address(850,38))-indirect(address(851,38))</f>
        <v>0</v>
      </c>
      <c r="AM852">
        <f>indirect(address(852,38))+indirect(address(850,39))-indirect(address(851,39))</f>
        <v>0</v>
      </c>
      <c r="AN852">
        <f>indirect(address(852,39))+indirect(address(850,40))-indirect(address(851,40))</f>
        <v>0</v>
      </c>
      <c r="AO852">
        <f>indirect(address(852,40))+indirect(address(850,41))-indirect(address(851,41))</f>
        <v>0</v>
      </c>
    </row>
    <row r="853" spans="1:41">
      <c r="I853" t="s">
        <v>14</v>
      </c>
      <c r="AO853">
        <f>sum(j853:an853)</f>
        <v>0</v>
      </c>
    </row>
    <row r="854" spans="1:41">
      <c r="I854" t="s">
        <v>15</v>
      </c>
      <c r="J854">
        <f>sumif(Plan!B:B,"261-000000-098",Plan!j:j)</f>
        <v>0</v>
      </c>
      <c r="K854">
        <f>sumif(Plan!B:B,"261-000000-098",Plan!k:k)</f>
        <v>0</v>
      </c>
      <c r="L854">
        <f>sumif(Plan!B:B,"261-000000-098",Plan!l:l)</f>
        <v>0</v>
      </c>
      <c r="M854">
        <f>sumif(Plan!B:B,"261-000000-098",Plan!m:m)</f>
        <v>0</v>
      </c>
      <c r="N854">
        <f>sumif(Plan!B:B,"261-000000-098",Plan!n:n)</f>
        <v>0</v>
      </c>
      <c r="O854">
        <f>sumif(Plan!B:B,"261-000000-098",Plan!o:o)</f>
        <v>0</v>
      </c>
      <c r="P854">
        <f>sumif(Plan!B:B,"261-000000-098",Plan!p:p)</f>
        <v>0</v>
      </c>
      <c r="Q854">
        <f>sumif(Plan!B:B,"261-000000-098",Plan!q:q)</f>
        <v>0</v>
      </c>
      <c r="R854">
        <f>sumif(Plan!B:B,"261-000000-098",Plan!r:r)</f>
        <v>0</v>
      </c>
      <c r="S854">
        <f>sumif(Plan!B:B,"261-000000-098",Plan!s:s)</f>
        <v>0</v>
      </c>
      <c r="T854">
        <f>sumif(Plan!B:B,"261-000000-098",Plan!t:t)</f>
        <v>0</v>
      </c>
      <c r="U854">
        <f>sumif(Plan!B:B,"261-000000-098",Plan!u:u)</f>
        <v>0</v>
      </c>
      <c r="V854">
        <f>sumif(Plan!B:B,"261-000000-098",Plan!v:v)</f>
        <v>0</v>
      </c>
      <c r="W854">
        <f>sumif(Plan!B:B,"261-000000-098",Plan!w:w)</f>
        <v>0</v>
      </c>
      <c r="X854">
        <f>sumif(Plan!B:B,"261-000000-098",Plan!x:x)</f>
        <v>0</v>
      </c>
      <c r="Y854">
        <f>sumif(Plan!B:B,"261-000000-098",Plan!y:y)</f>
        <v>0</v>
      </c>
      <c r="Z854">
        <f>sumif(Plan!B:B,"261-000000-098",Plan!z:z)</f>
        <v>0</v>
      </c>
      <c r="AA854">
        <f>sumif(Plan!B:B,"261-000000-098",Plan!aa:aa)</f>
        <v>0</v>
      </c>
      <c r="AB854">
        <f>sumif(Plan!B:B,"261-000000-098",Plan!ab:ab)</f>
        <v>0</v>
      </c>
      <c r="AC854">
        <f>sumif(Plan!B:B,"261-000000-098",Plan!ac:ac)</f>
        <v>0</v>
      </c>
      <c r="AD854">
        <f>sumif(Plan!B:B,"261-000000-098",Plan!ad:ad)</f>
        <v>0</v>
      </c>
      <c r="AE854">
        <f>sumif(Plan!B:B,"261-000000-098",Plan!ae:ae)</f>
        <v>0</v>
      </c>
      <c r="AF854">
        <f>sumif(Plan!B:B,"261-000000-098",Plan!af:af)</f>
        <v>0</v>
      </c>
      <c r="AG854">
        <f>sumif(Plan!B:B,"261-000000-098",Plan!ag:ag)</f>
        <v>0</v>
      </c>
      <c r="AH854">
        <f>sumif(Plan!B:B,"261-000000-098",Plan!ah:ah)</f>
        <v>0</v>
      </c>
      <c r="AI854">
        <f>sumif(Plan!B:B,"261-000000-098",Plan!ai:ai)</f>
        <v>0</v>
      </c>
      <c r="AJ854">
        <f>sumif(Plan!B:B,"261-000000-098",Plan!aj:aj)</f>
        <v>0</v>
      </c>
      <c r="AK854">
        <f>sumif(Plan!B:B,"261-000000-098",Plan!ak:ak)</f>
        <v>0</v>
      </c>
      <c r="AL854">
        <f>sumif(Plan!B:B,"261-000000-098",Plan!al:al)</f>
        <v>0</v>
      </c>
      <c r="AM854">
        <f>sumif(Plan!B:B,"261-000000-098",Plan!am:am)</f>
        <v>0</v>
      </c>
      <c r="AN854">
        <f>sumif(Plan!B:B,"261-000000-098",Plan!an:an)</f>
        <v>0</v>
      </c>
      <c r="AO854">
        <f>sumif(Plan!B:B,"261-000000-098",Plan!ao:ao)</f>
        <v>0</v>
      </c>
    </row>
    <row r="855" spans="1:41">
      <c r="A855" t="s">
        <v>22</v>
      </c>
      <c r="B855" t="s">
        <v>568</v>
      </c>
      <c r="C855" t="s">
        <v>569</v>
      </c>
      <c r="E855">
        <v>1</v>
      </c>
      <c r="F855" t="s">
        <v>13</v>
      </c>
      <c r="H855" t="s">
        <v>16</v>
      </c>
      <c r="J855">
        <f>indirect(address(855,9))+indirect(address(853,10))-indirect(address(854,10))</f>
        <v>0</v>
      </c>
      <c r="K855">
        <f>indirect(address(855,10))+indirect(address(853,11))-indirect(address(854,11))</f>
        <v>0</v>
      </c>
      <c r="L855">
        <f>indirect(address(855,11))+indirect(address(853,12))-indirect(address(854,12))</f>
        <v>0</v>
      </c>
      <c r="M855">
        <f>indirect(address(855,12))+indirect(address(853,13))-indirect(address(854,13))</f>
        <v>0</v>
      </c>
      <c r="N855">
        <f>indirect(address(855,13))+indirect(address(853,14))-indirect(address(854,14))</f>
        <v>0</v>
      </c>
      <c r="O855">
        <f>indirect(address(855,14))+indirect(address(853,15))-indirect(address(854,15))</f>
        <v>0</v>
      </c>
      <c r="P855">
        <f>indirect(address(855,15))+indirect(address(853,16))-indirect(address(854,16))</f>
        <v>0</v>
      </c>
      <c r="Q855">
        <f>indirect(address(855,16))+indirect(address(853,17))-indirect(address(854,17))</f>
        <v>0</v>
      </c>
      <c r="R855">
        <f>indirect(address(855,17))+indirect(address(853,18))-indirect(address(854,18))</f>
        <v>0</v>
      </c>
      <c r="S855">
        <f>indirect(address(855,18))+indirect(address(853,19))-indirect(address(854,19))</f>
        <v>0</v>
      </c>
      <c r="T855">
        <f>indirect(address(855,19))+indirect(address(853,20))-indirect(address(854,20))</f>
        <v>0</v>
      </c>
      <c r="U855">
        <f>indirect(address(855,20))+indirect(address(853,21))-indirect(address(854,21))</f>
        <v>0</v>
      </c>
      <c r="V855">
        <f>indirect(address(855,21))+indirect(address(853,22))-indirect(address(854,22))</f>
        <v>0</v>
      </c>
      <c r="W855">
        <f>indirect(address(855,22))+indirect(address(853,23))-indirect(address(854,23))</f>
        <v>0</v>
      </c>
      <c r="X855">
        <f>indirect(address(855,23))+indirect(address(853,24))-indirect(address(854,24))</f>
        <v>0</v>
      </c>
      <c r="Y855">
        <f>indirect(address(855,24))+indirect(address(853,25))-indirect(address(854,25))</f>
        <v>0</v>
      </c>
      <c r="Z855">
        <f>indirect(address(855,25))+indirect(address(853,26))-indirect(address(854,26))</f>
        <v>0</v>
      </c>
      <c r="AA855">
        <f>indirect(address(855,26))+indirect(address(853,27))-indirect(address(854,27))</f>
        <v>0</v>
      </c>
      <c r="AB855">
        <f>indirect(address(855,27))+indirect(address(853,28))-indirect(address(854,28))</f>
        <v>0</v>
      </c>
      <c r="AC855">
        <f>indirect(address(855,28))+indirect(address(853,29))-indirect(address(854,29))</f>
        <v>0</v>
      </c>
      <c r="AD855">
        <f>indirect(address(855,29))+indirect(address(853,30))-indirect(address(854,30))</f>
        <v>0</v>
      </c>
      <c r="AE855">
        <f>indirect(address(855,30))+indirect(address(853,31))-indirect(address(854,31))</f>
        <v>0</v>
      </c>
      <c r="AF855">
        <f>indirect(address(855,31))+indirect(address(853,32))-indirect(address(854,32))</f>
        <v>0</v>
      </c>
      <c r="AG855">
        <f>indirect(address(855,32))+indirect(address(853,33))-indirect(address(854,33))</f>
        <v>0</v>
      </c>
      <c r="AH855">
        <f>indirect(address(855,33))+indirect(address(853,34))-indirect(address(854,34))</f>
        <v>0</v>
      </c>
      <c r="AI855">
        <f>indirect(address(855,34))+indirect(address(853,35))-indirect(address(854,35))</f>
        <v>0</v>
      </c>
      <c r="AJ855">
        <f>indirect(address(855,35))+indirect(address(853,36))-indirect(address(854,36))</f>
        <v>0</v>
      </c>
      <c r="AK855">
        <f>indirect(address(855,36))+indirect(address(853,37))-indirect(address(854,37))</f>
        <v>0</v>
      </c>
      <c r="AL855">
        <f>indirect(address(855,37))+indirect(address(853,38))-indirect(address(854,38))</f>
        <v>0</v>
      </c>
      <c r="AM855">
        <f>indirect(address(855,38))+indirect(address(853,39))-indirect(address(854,39))</f>
        <v>0</v>
      </c>
      <c r="AN855">
        <f>indirect(address(855,39))+indirect(address(853,40))-indirect(address(854,40))</f>
        <v>0</v>
      </c>
      <c r="AO855">
        <f>indirect(address(855,40))+indirect(address(853,41))-indirect(address(854,41))</f>
        <v>0</v>
      </c>
    </row>
    <row r="856" spans="1:41">
      <c r="I856" t="s">
        <v>14</v>
      </c>
      <c r="AO856">
        <f>sum(j856:an856)</f>
        <v>0</v>
      </c>
    </row>
    <row r="857" spans="1:41">
      <c r="I857" t="s">
        <v>15</v>
      </c>
      <c r="J857">
        <f>sumif(Plan!B:B,"261-000550-155",Plan!j:j)</f>
        <v>0</v>
      </c>
      <c r="K857">
        <f>sumif(Plan!B:B,"261-000550-155",Plan!k:k)</f>
        <v>0</v>
      </c>
      <c r="L857">
        <f>sumif(Plan!B:B,"261-000550-155",Plan!l:l)</f>
        <v>0</v>
      </c>
      <c r="M857">
        <f>sumif(Plan!B:B,"261-000550-155",Plan!m:m)</f>
        <v>0</v>
      </c>
      <c r="N857">
        <f>sumif(Plan!B:B,"261-000550-155",Plan!n:n)</f>
        <v>0</v>
      </c>
      <c r="O857">
        <f>sumif(Plan!B:B,"261-000550-155",Plan!o:o)</f>
        <v>0</v>
      </c>
      <c r="P857">
        <f>sumif(Plan!B:B,"261-000550-155",Plan!p:p)</f>
        <v>0</v>
      </c>
      <c r="Q857">
        <f>sumif(Plan!B:B,"261-000550-155",Plan!q:q)</f>
        <v>0</v>
      </c>
      <c r="R857">
        <f>sumif(Plan!B:B,"261-000550-155",Plan!r:r)</f>
        <v>0</v>
      </c>
      <c r="S857">
        <f>sumif(Plan!B:B,"261-000550-155",Plan!s:s)</f>
        <v>0</v>
      </c>
      <c r="T857">
        <f>sumif(Plan!B:B,"261-000550-155",Plan!t:t)</f>
        <v>0</v>
      </c>
      <c r="U857">
        <f>sumif(Plan!B:B,"261-000550-155",Plan!u:u)</f>
        <v>0</v>
      </c>
      <c r="V857">
        <f>sumif(Plan!B:B,"261-000550-155",Plan!v:v)</f>
        <v>0</v>
      </c>
      <c r="W857">
        <f>sumif(Plan!B:B,"261-000550-155",Plan!w:w)</f>
        <v>0</v>
      </c>
      <c r="X857">
        <f>sumif(Plan!B:B,"261-000550-155",Plan!x:x)</f>
        <v>0</v>
      </c>
      <c r="Y857">
        <f>sumif(Plan!B:B,"261-000550-155",Plan!y:y)</f>
        <v>0</v>
      </c>
      <c r="Z857">
        <f>sumif(Plan!B:B,"261-000550-155",Plan!z:z)</f>
        <v>0</v>
      </c>
      <c r="AA857">
        <f>sumif(Plan!B:B,"261-000550-155",Plan!aa:aa)</f>
        <v>0</v>
      </c>
      <c r="AB857">
        <f>sumif(Plan!B:B,"261-000550-155",Plan!ab:ab)</f>
        <v>0</v>
      </c>
      <c r="AC857">
        <f>sumif(Plan!B:B,"261-000550-155",Plan!ac:ac)</f>
        <v>0</v>
      </c>
      <c r="AD857">
        <f>sumif(Plan!B:B,"261-000550-155",Plan!ad:ad)</f>
        <v>0</v>
      </c>
      <c r="AE857">
        <f>sumif(Plan!B:B,"261-000550-155",Plan!ae:ae)</f>
        <v>0</v>
      </c>
      <c r="AF857">
        <f>sumif(Plan!B:B,"261-000550-155",Plan!af:af)</f>
        <v>0</v>
      </c>
      <c r="AG857">
        <f>sumif(Plan!B:B,"261-000550-155",Plan!ag:ag)</f>
        <v>0</v>
      </c>
      <c r="AH857">
        <f>sumif(Plan!B:B,"261-000550-155",Plan!ah:ah)</f>
        <v>0</v>
      </c>
      <c r="AI857">
        <f>sumif(Plan!B:B,"261-000550-155",Plan!ai:ai)</f>
        <v>0</v>
      </c>
      <c r="AJ857">
        <f>sumif(Plan!B:B,"261-000550-155",Plan!aj:aj)</f>
        <v>0</v>
      </c>
      <c r="AK857">
        <f>sumif(Plan!B:B,"261-000550-155",Plan!ak:ak)</f>
        <v>0</v>
      </c>
      <c r="AL857">
        <f>sumif(Plan!B:B,"261-000550-155",Plan!al:al)</f>
        <v>0</v>
      </c>
      <c r="AM857">
        <f>sumif(Plan!B:B,"261-000550-155",Plan!am:am)</f>
        <v>0</v>
      </c>
      <c r="AN857">
        <f>sumif(Plan!B:B,"261-000550-155",Plan!an:an)</f>
        <v>0</v>
      </c>
      <c r="AO857">
        <f>sumif(Plan!B:B,"261-000550-155",Plan!ao:ao)</f>
        <v>0</v>
      </c>
    </row>
    <row r="858" spans="1:41">
      <c r="A858" t="s">
        <v>22</v>
      </c>
      <c r="B858" t="s">
        <v>570</v>
      </c>
      <c r="C858" t="s">
        <v>571</v>
      </c>
      <c r="E858">
        <v>2</v>
      </c>
      <c r="F858" t="s">
        <v>13</v>
      </c>
      <c r="H858" t="s">
        <v>16</v>
      </c>
      <c r="J858">
        <f>indirect(address(858,9))+indirect(address(856,10))-indirect(address(857,10))</f>
        <v>0</v>
      </c>
      <c r="K858">
        <f>indirect(address(858,10))+indirect(address(856,11))-indirect(address(857,11))</f>
        <v>0</v>
      </c>
      <c r="L858">
        <f>indirect(address(858,11))+indirect(address(856,12))-indirect(address(857,12))</f>
        <v>0</v>
      </c>
      <c r="M858">
        <f>indirect(address(858,12))+indirect(address(856,13))-indirect(address(857,13))</f>
        <v>0</v>
      </c>
      <c r="N858">
        <f>indirect(address(858,13))+indirect(address(856,14))-indirect(address(857,14))</f>
        <v>0</v>
      </c>
      <c r="O858">
        <f>indirect(address(858,14))+indirect(address(856,15))-indirect(address(857,15))</f>
        <v>0</v>
      </c>
      <c r="P858">
        <f>indirect(address(858,15))+indirect(address(856,16))-indirect(address(857,16))</f>
        <v>0</v>
      </c>
      <c r="Q858">
        <f>indirect(address(858,16))+indirect(address(856,17))-indirect(address(857,17))</f>
        <v>0</v>
      </c>
      <c r="R858">
        <f>indirect(address(858,17))+indirect(address(856,18))-indirect(address(857,18))</f>
        <v>0</v>
      </c>
      <c r="S858">
        <f>indirect(address(858,18))+indirect(address(856,19))-indirect(address(857,19))</f>
        <v>0</v>
      </c>
      <c r="T858">
        <f>indirect(address(858,19))+indirect(address(856,20))-indirect(address(857,20))</f>
        <v>0</v>
      </c>
      <c r="U858">
        <f>indirect(address(858,20))+indirect(address(856,21))-indirect(address(857,21))</f>
        <v>0</v>
      </c>
      <c r="V858">
        <f>indirect(address(858,21))+indirect(address(856,22))-indirect(address(857,22))</f>
        <v>0</v>
      </c>
      <c r="W858">
        <f>indirect(address(858,22))+indirect(address(856,23))-indirect(address(857,23))</f>
        <v>0</v>
      </c>
      <c r="X858">
        <f>indirect(address(858,23))+indirect(address(856,24))-indirect(address(857,24))</f>
        <v>0</v>
      </c>
      <c r="Y858">
        <f>indirect(address(858,24))+indirect(address(856,25))-indirect(address(857,25))</f>
        <v>0</v>
      </c>
      <c r="Z858">
        <f>indirect(address(858,25))+indirect(address(856,26))-indirect(address(857,26))</f>
        <v>0</v>
      </c>
      <c r="AA858">
        <f>indirect(address(858,26))+indirect(address(856,27))-indirect(address(857,27))</f>
        <v>0</v>
      </c>
      <c r="AB858">
        <f>indirect(address(858,27))+indirect(address(856,28))-indirect(address(857,28))</f>
        <v>0</v>
      </c>
      <c r="AC858">
        <f>indirect(address(858,28))+indirect(address(856,29))-indirect(address(857,29))</f>
        <v>0</v>
      </c>
      <c r="AD858">
        <f>indirect(address(858,29))+indirect(address(856,30))-indirect(address(857,30))</f>
        <v>0</v>
      </c>
      <c r="AE858">
        <f>indirect(address(858,30))+indirect(address(856,31))-indirect(address(857,31))</f>
        <v>0</v>
      </c>
      <c r="AF858">
        <f>indirect(address(858,31))+indirect(address(856,32))-indirect(address(857,32))</f>
        <v>0</v>
      </c>
      <c r="AG858">
        <f>indirect(address(858,32))+indirect(address(856,33))-indirect(address(857,33))</f>
        <v>0</v>
      </c>
      <c r="AH858">
        <f>indirect(address(858,33))+indirect(address(856,34))-indirect(address(857,34))</f>
        <v>0</v>
      </c>
      <c r="AI858">
        <f>indirect(address(858,34))+indirect(address(856,35))-indirect(address(857,35))</f>
        <v>0</v>
      </c>
      <c r="AJ858">
        <f>indirect(address(858,35))+indirect(address(856,36))-indirect(address(857,36))</f>
        <v>0</v>
      </c>
      <c r="AK858">
        <f>indirect(address(858,36))+indirect(address(856,37))-indirect(address(857,37))</f>
        <v>0</v>
      </c>
      <c r="AL858">
        <f>indirect(address(858,37))+indirect(address(856,38))-indirect(address(857,38))</f>
        <v>0</v>
      </c>
      <c r="AM858">
        <f>indirect(address(858,38))+indirect(address(856,39))-indirect(address(857,39))</f>
        <v>0</v>
      </c>
      <c r="AN858">
        <f>indirect(address(858,39))+indirect(address(856,40))-indirect(address(857,40))</f>
        <v>0</v>
      </c>
      <c r="AO858">
        <f>indirect(address(858,40))+indirect(address(856,41))-indirect(address(857,41))</f>
        <v>0</v>
      </c>
    </row>
    <row r="859" spans="1:41">
      <c r="I859" t="s">
        <v>14</v>
      </c>
      <c r="AO859">
        <f>sum(j859:an859)</f>
        <v>0</v>
      </c>
    </row>
    <row r="860" spans="1:41">
      <c r="I860" t="s">
        <v>15</v>
      </c>
      <c r="J860">
        <f>sumif(Plan!B:B,"261-000000-099",Plan!j:j)</f>
        <v>0</v>
      </c>
      <c r="K860">
        <f>sumif(Plan!B:B,"261-000000-099",Plan!k:k)</f>
        <v>0</v>
      </c>
      <c r="L860">
        <f>sumif(Plan!B:B,"261-000000-099",Plan!l:l)</f>
        <v>0</v>
      </c>
      <c r="M860">
        <f>sumif(Plan!B:B,"261-000000-099",Plan!m:m)</f>
        <v>0</v>
      </c>
      <c r="N860">
        <f>sumif(Plan!B:B,"261-000000-099",Plan!n:n)</f>
        <v>0</v>
      </c>
      <c r="O860">
        <f>sumif(Plan!B:B,"261-000000-099",Plan!o:o)</f>
        <v>0</v>
      </c>
      <c r="P860">
        <f>sumif(Plan!B:B,"261-000000-099",Plan!p:p)</f>
        <v>0</v>
      </c>
      <c r="Q860">
        <f>sumif(Plan!B:B,"261-000000-099",Plan!q:q)</f>
        <v>0</v>
      </c>
      <c r="R860">
        <f>sumif(Plan!B:B,"261-000000-099",Plan!r:r)</f>
        <v>0</v>
      </c>
      <c r="S860">
        <f>sumif(Plan!B:B,"261-000000-099",Plan!s:s)</f>
        <v>0</v>
      </c>
      <c r="T860">
        <f>sumif(Plan!B:B,"261-000000-099",Plan!t:t)</f>
        <v>0</v>
      </c>
      <c r="U860">
        <f>sumif(Plan!B:B,"261-000000-099",Plan!u:u)</f>
        <v>0</v>
      </c>
      <c r="V860">
        <f>sumif(Plan!B:B,"261-000000-099",Plan!v:v)</f>
        <v>0</v>
      </c>
      <c r="W860">
        <f>sumif(Plan!B:B,"261-000000-099",Plan!w:w)</f>
        <v>0</v>
      </c>
      <c r="X860">
        <f>sumif(Plan!B:B,"261-000000-099",Plan!x:x)</f>
        <v>0</v>
      </c>
      <c r="Y860">
        <f>sumif(Plan!B:B,"261-000000-099",Plan!y:y)</f>
        <v>0</v>
      </c>
      <c r="Z860">
        <f>sumif(Plan!B:B,"261-000000-099",Plan!z:z)</f>
        <v>0</v>
      </c>
      <c r="AA860">
        <f>sumif(Plan!B:B,"261-000000-099",Plan!aa:aa)</f>
        <v>0</v>
      </c>
      <c r="AB860">
        <f>sumif(Plan!B:B,"261-000000-099",Plan!ab:ab)</f>
        <v>0</v>
      </c>
      <c r="AC860">
        <f>sumif(Plan!B:B,"261-000000-099",Plan!ac:ac)</f>
        <v>0</v>
      </c>
      <c r="AD860">
        <f>sumif(Plan!B:B,"261-000000-099",Plan!ad:ad)</f>
        <v>0</v>
      </c>
      <c r="AE860">
        <f>sumif(Plan!B:B,"261-000000-099",Plan!ae:ae)</f>
        <v>0</v>
      </c>
      <c r="AF860">
        <f>sumif(Plan!B:B,"261-000000-099",Plan!af:af)</f>
        <v>0</v>
      </c>
      <c r="AG860">
        <f>sumif(Plan!B:B,"261-000000-099",Plan!ag:ag)</f>
        <v>0</v>
      </c>
      <c r="AH860">
        <f>sumif(Plan!B:B,"261-000000-099",Plan!ah:ah)</f>
        <v>0</v>
      </c>
      <c r="AI860">
        <f>sumif(Plan!B:B,"261-000000-099",Plan!ai:ai)</f>
        <v>0</v>
      </c>
      <c r="AJ860">
        <f>sumif(Plan!B:B,"261-000000-099",Plan!aj:aj)</f>
        <v>0</v>
      </c>
      <c r="AK860">
        <f>sumif(Plan!B:B,"261-000000-099",Plan!ak:ak)</f>
        <v>0</v>
      </c>
      <c r="AL860">
        <f>sumif(Plan!B:B,"261-000000-099",Plan!al:al)</f>
        <v>0</v>
      </c>
      <c r="AM860">
        <f>sumif(Plan!B:B,"261-000000-099",Plan!am:am)</f>
        <v>0</v>
      </c>
      <c r="AN860">
        <f>sumif(Plan!B:B,"261-000000-099",Plan!an:an)</f>
        <v>0</v>
      </c>
      <c r="AO860">
        <f>sumif(Plan!B:B,"261-000000-099",Plan!ao:ao)</f>
        <v>0</v>
      </c>
    </row>
    <row r="861" spans="1:41">
      <c r="A861" t="s">
        <v>22</v>
      </c>
      <c r="B861" t="s">
        <v>572</v>
      </c>
      <c r="C861" t="s">
        <v>573</v>
      </c>
      <c r="E861">
        <v>2</v>
      </c>
      <c r="F861" t="s">
        <v>13</v>
      </c>
      <c r="H861" t="s">
        <v>16</v>
      </c>
      <c r="J861">
        <f>indirect(address(861,9))+indirect(address(859,10))-indirect(address(860,10))</f>
        <v>0</v>
      </c>
      <c r="K861">
        <f>indirect(address(861,10))+indirect(address(859,11))-indirect(address(860,11))</f>
        <v>0</v>
      </c>
      <c r="L861">
        <f>indirect(address(861,11))+indirect(address(859,12))-indirect(address(860,12))</f>
        <v>0</v>
      </c>
      <c r="M861">
        <f>indirect(address(861,12))+indirect(address(859,13))-indirect(address(860,13))</f>
        <v>0</v>
      </c>
      <c r="N861">
        <f>indirect(address(861,13))+indirect(address(859,14))-indirect(address(860,14))</f>
        <v>0</v>
      </c>
      <c r="O861">
        <f>indirect(address(861,14))+indirect(address(859,15))-indirect(address(860,15))</f>
        <v>0</v>
      </c>
      <c r="P861">
        <f>indirect(address(861,15))+indirect(address(859,16))-indirect(address(860,16))</f>
        <v>0</v>
      </c>
      <c r="Q861">
        <f>indirect(address(861,16))+indirect(address(859,17))-indirect(address(860,17))</f>
        <v>0</v>
      </c>
      <c r="R861">
        <f>indirect(address(861,17))+indirect(address(859,18))-indirect(address(860,18))</f>
        <v>0</v>
      </c>
      <c r="S861">
        <f>indirect(address(861,18))+indirect(address(859,19))-indirect(address(860,19))</f>
        <v>0</v>
      </c>
      <c r="T861">
        <f>indirect(address(861,19))+indirect(address(859,20))-indirect(address(860,20))</f>
        <v>0</v>
      </c>
      <c r="U861">
        <f>indirect(address(861,20))+indirect(address(859,21))-indirect(address(860,21))</f>
        <v>0</v>
      </c>
      <c r="V861">
        <f>indirect(address(861,21))+indirect(address(859,22))-indirect(address(860,22))</f>
        <v>0</v>
      </c>
      <c r="W861">
        <f>indirect(address(861,22))+indirect(address(859,23))-indirect(address(860,23))</f>
        <v>0</v>
      </c>
      <c r="X861">
        <f>indirect(address(861,23))+indirect(address(859,24))-indirect(address(860,24))</f>
        <v>0</v>
      </c>
      <c r="Y861">
        <f>indirect(address(861,24))+indirect(address(859,25))-indirect(address(860,25))</f>
        <v>0</v>
      </c>
      <c r="Z861">
        <f>indirect(address(861,25))+indirect(address(859,26))-indirect(address(860,26))</f>
        <v>0</v>
      </c>
      <c r="AA861">
        <f>indirect(address(861,26))+indirect(address(859,27))-indirect(address(860,27))</f>
        <v>0</v>
      </c>
      <c r="AB861">
        <f>indirect(address(861,27))+indirect(address(859,28))-indirect(address(860,28))</f>
        <v>0</v>
      </c>
      <c r="AC861">
        <f>indirect(address(861,28))+indirect(address(859,29))-indirect(address(860,29))</f>
        <v>0</v>
      </c>
      <c r="AD861">
        <f>indirect(address(861,29))+indirect(address(859,30))-indirect(address(860,30))</f>
        <v>0</v>
      </c>
      <c r="AE861">
        <f>indirect(address(861,30))+indirect(address(859,31))-indirect(address(860,31))</f>
        <v>0</v>
      </c>
      <c r="AF861">
        <f>indirect(address(861,31))+indirect(address(859,32))-indirect(address(860,32))</f>
        <v>0</v>
      </c>
      <c r="AG861">
        <f>indirect(address(861,32))+indirect(address(859,33))-indirect(address(860,33))</f>
        <v>0</v>
      </c>
      <c r="AH861">
        <f>indirect(address(861,33))+indirect(address(859,34))-indirect(address(860,34))</f>
        <v>0</v>
      </c>
      <c r="AI861">
        <f>indirect(address(861,34))+indirect(address(859,35))-indirect(address(860,35))</f>
        <v>0</v>
      </c>
      <c r="AJ861">
        <f>indirect(address(861,35))+indirect(address(859,36))-indirect(address(860,36))</f>
        <v>0</v>
      </c>
      <c r="AK861">
        <f>indirect(address(861,36))+indirect(address(859,37))-indirect(address(860,37))</f>
        <v>0</v>
      </c>
      <c r="AL861">
        <f>indirect(address(861,37))+indirect(address(859,38))-indirect(address(860,38))</f>
        <v>0</v>
      </c>
      <c r="AM861">
        <f>indirect(address(861,38))+indirect(address(859,39))-indirect(address(860,39))</f>
        <v>0</v>
      </c>
      <c r="AN861">
        <f>indirect(address(861,39))+indirect(address(859,40))-indirect(address(860,40))</f>
        <v>0</v>
      </c>
      <c r="AO861">
        <f>indirect(address(861,40))+indirect(address(859,41))-indirect(address(860,41))</f>
        <v>0</v>
      </c>
    </row>
    <row r="862" spans="1:41">
      <c r="I862" t="s">
        <v>14</v>
      </c>
      <c r="AO862">
        <f>sum(j862:an862)</f>
        <v>0</v>
      </c>
    </row>
    <row r="863" spans="1:41">
      <c r="I863" t="s">
        <v>15</v>
      </c>
      <c r="J863">
        <f>sumif(Plan!B:B,"261-000000-100",Plan!j:j)</f>
        <v>0</v>
      </c>
      <c r="K863">
        <f>sumif(Plan!B:B,"261-000000-100",Plan!k:k)</f>
        <v>0</v>
      </c>
      <c r="L863">
        <f>sumif(Plan!B:B,"261-000000-100",Plan!l:l)</f>
        <v>0</v>
      </c>
      <c r="M863">
        <f>sumif(Plan!B:B,"261-000000-100",Plan!m:m)</f>
        <v>0</v>
      </c>
      <c r="N863">
        <f>sumif(Plan!B:B,"261-000000-100",Plan!n:n)</f>
        <v>0</v>
      </c>
      <c r="O863">
        <f>sumif(Plan!B:B,"261-000000-100",Plan!o:o)</f>
        <v>0</v>
      </c>
      <c r="P863">
        <f>sumif(Plan!B:B,"261-000000-100",Plan!p:p)</f>
        <v>0</v>
      </c>
      <c r="Q863">
        <f>sumif(Plan!B:B,"261-000000-100",Plan!q:q)</f>
        <v>0</v>
      </c>
      <c r="R863">
        <f>sumif(Plan!B:B,"261-000000-100",Plan!r:r)</f>
        <v>0</v>
      </c>
      <c r="S863">
        <f>sumif(Plan!B:B,"261-000000-100",Plan!s:s)</f>
        <v>0</v>
      </c>
      <c r="T863">
        <f>sumif(Plan!B:B,"261-000000-100",Plan!t:t)</f>
        <v>0</v>
      </c>
      <c r="U863">
        <f>sumif(Plan!B:B,"261-000000-100",Plan!u:u)</f>
        <v>0</v>
      </c>
      <c r="V863">
        <f>sumif(Plan!B:B,"261-000000-100",Plan!v:v)</f>
        <v>0</v>
      </c>
      <c r="W863">
        <f>sumif(Plan!B:B,"261-000000-100",Plan!w:w)</f>
        <v>0</v>
      </c>
      <c r="X863">
        <f>sumif(Plan!B:B,"261-000000-100",Plan!x:x)</f>
        <v>0</v>
      </c>
      <c r="Y863">
        <f>sumif(Plan!B:B,"261-000000-100",Plan!y:y)</f>
        <v>0</v>
      </c>
      <c r="Z863">
        <f>sumif(Plan!B:B,"261-000000-100",Plan!z:z)</f>
        <v>0</v>
      </c>
      <c r="AA863">
        <f>sumif(Plan!B:B,"261-000000-100",Plan!aa:aa)</f>
        <v>0</v>
      </c>
      <c r="AB863">
        <f>sumif(Plan!B:B,"261-000000-100",Plan!ab:ab)</f>
        <v>0</v>
      </c>
      <c r="AC863">
        <f>sumif(Plan!B:B,"261-000000-100",Plan!ac:ac)</f>
        <v>0</v>
      </c>
      <c r="AD863">
        <f>sumif(Plan!B:B,"261-000000-100",Plan!ad:ad)</f>
        <v>0</v>
      </c>
      <c r="AE863">
        <f>sumif(Plan!B:B,"261-000000-100",Plan!ae:ae)</f>
        <v>0</v>
      </c>
      <c r="AF863">
        <f>sumif(Plan!B:B,"261-000000-100",Plan!af:af)</f>
        <v>0</v>
      </c>
      <c r="AG863">
        <f>sumif(Plan!B:B,"261-000000-100",Plan!ag:ag)</f>
        <v>0</v>
      </c>
      <c r="AH863">
        <f>sumif(Plan!B:B,"261-000000-100",Plan!ah:ah)</f>
        <v>0</v>
      </c>
      <c r="AI863">
        <f>sumif(Plan!B:B,"261-000000-100",Plan!ai:ai)</f>
        <v>0</v>
      </c>
      <c r="AJ863">
        <f>sumif(Plan!B:B,"261-000000-100",Plan!aj:aj)</f>
        <v>0</v>
      </c>
      <c r="AK863">
        <f>sumif(Plan!B:B,"261-000000-100",Plan!ak:ak)</f>
        <v>0</v>
      </c>
      <c r="AL863">
        <f>sumif(Plan!B:B,"261-000000-100",Plan!al:al)</f>
        <v>0</v>
      </c>
      <c r="AM863">
        <f>sumif(Plan!B:B,"261-000000-100",Plan!am:am)</f>
        <v>0</v>
      </c>
      <c r="AN863">
        <f>sumif(Plan!B:B,"261-000000-100",Plan!an:an)</f>
        <v>0</v>
      </c>
      <c r="AO863">
        <f>sumif(Plan!B:B,"261-000000-100",Plan!ao:ao)</f>
        <v>0</v>
      </c>
    </row>
    <row r="864" spans="1:41">
      <c r="A864" t="s">
        <v>22</v>
      </c>
      <c r="B864" t="s">
        <v>574</v>
      </c>
      <c r="C864" t="s">
        <v>575</v>
      </c>
      <c r="E864">
        <v>2</v>
      </c>
      <c r="F864" t="s">
        <v>13</v>
      </c>
      <c r="H864" t="s">
        <v>16</v>
      </c>
      <c r="J864">
        <f>indirect(address(864,9))+indirect(address(862,10))-indirect(address(863,10))</f>
        <v>0</v>
      </c>
      <c r="K864">
        <f>indirect(address(864,10))+indirect(address(862,11))-indirect(address(863,11))</f>
        <v>0</v>
      </c>
      <c r="L864">
        <f>indirect(address(864,11))+indirect(address(862,12))-indirect(address(863,12))</f>
        <v>0</v>
      </c>
      <c r="M864">
        <f>indirect(address(864,12))+indirect(address(862,13))-indirect(address(863,13))</f>
        <v>0</v>
      </c>
      <c r="N864">
        <f>indirect(address(864,13))+indirect(address(862,14))-indirect(address(863,14))</f>
        <v>0</v>
      </c>
      <c r="O864">
        <f>indirect(address(864,14))+indirect(address(862,15))-indirect(address(863,15))</f>
        <v>0</v>
      </c>
      <c r="P864">
        <f>indirect(address(864,15))+indirect(address(862,16))-indirect(address(863,16))</f>
        <v>0</v>
      </c>
      <c r="Q864">
        <f>indirect(address(864,16))+indirect(address(862,17))-indirect(address(863,17))</f>
        <v>0</v>
      </c>
      <c r="R864">
        <f>indirect(address(864,17))+indirect(address(862,18))-indirect(address(863,18))</f>
        <v>0</v>
      </c>
      <c r="S864">
        <f>indirect(address(864,18))+indirect(address(862,19))-indirect(address(863,19))</f>
        <v>0</v>
      </c>
      <c r="T864">
        <f>indirect(address(864,19))+indirect(address(862,20))-indirect(address(863,20))</f>
        <v>0</v>
      </c>
      <c r="U864">
        <f>indirect(address(864,20))+indirect(address(862,21))-indirect(address(863,21))</f>
        <v>0</v>
      </c>
      <c r="V864">
        <f>indirect(address(864,21))+indirect(address(862,22))-indirect(address(863,22))</f>
        <v>0</v>
      </c>
      <c r="W864">
        <f>indirect(address(864,22))+indirect(address(862,23))-indirect(address(863,23))</f>
        <v>0</v>
      </c>
      <c r="X864">
        <f>indirect(address(864,23))+indirect(address(862,24))-indirect(address(863,24))</f>
        <v>0</v>
      </c>
      <c r="Y864">
        <f>indirect(address(864,24))+indirect(address(862,25))-indirect(address(863,25))</f>
        <v>0</v>
      </c>
      <c r="Z864">
        <f>indirect(address(864,25))+indirect(address(862,26))-indirect(address(863,26))</f>
        <v>0</v>
      </c>
      <c r="AA864">
        <f>indirect(address(864,26))+indirect(address(862,27))-indirect(address(863,27))</f>
        <v>0</v>
      </c>
      <c r="AB864">
        <f>indirect(address(864,27))+indirect(address(862,28))-indirect(address(863,28))</f>
        <v>0</v>
      </c>
      <c r="AC864">
        <f>indirect(address(864,28))+indirect(address(862,29))-indirect(address(863,29))</f>
        <v>0</v>
      </c>
      <c r="AD864">
        <f>indirect(address(864,29))+indirect(address(862,30))-indirect(address(863,30))</f>
        <v>0</v>
      </c>
      <c r="AE864">
        <f>indirect(address(864,30))+indirect(address(862,31))-indirect(address(863,31))</f>
        <v>0</v>
      </c>
      <c r="AF864">
        <f>indirect(address(864,31))+indirect(address(862,32))-indirect(address(863,32))</f>
        <v>0</v>
      </c>
      <c r="AG864">
        <f>indirect(address(864,32))+indirect(address(862,33))-indirect(address(863,33))</f>
        <v>0</v>
      </c>
      <c r="AH864">
        <f>indirect(address(864,33))+indirect(address(862,34))-indirect(address(863,34))</f>
        <v>0</v>
      </c>
      <c r="AI864">
        <f>indirect(address(864,34))+indirect(address(862,35))-indirect(address(863,35))</f>
        <v>0</v>
      </c>
      <c r="AJ864">
        <f>indirect(address(864,35))+indirect(address(862,36))-indirect(address(863,36))</f>
        <v>0</v>
      </c>
      <c r="AK864">
        <f>indirect(address(864,36))+indirect(address(862,37))-indirect(address(863,37))</f>
        <v>0</v>
      </c>
      <c r="AL864">
        <f>indirect(address(864,37))+indirect(address(862,38))-indirect(address(863,38))</f>
        <v>0</v>
      </c>
      <c r="AM864">
        <f>indirect(address(864,38))+indirect(address(862,39))-indirect(address(863,39))</f>
        <v>0</v>
      </c>
      <c r="AN864">
        <f>indirect(address(864,39))+indirect(address(862,40))-indirect(address(863,40))</f>
        <v>0</v>
      </c>
      <c r="AO864">
        <f>indirect(address(864,40))+indirect(address(862,41))-indirect(address(863,41))</f>
        <v>0</v>
      </c>
    </row>
    <row r="865" spans="1:41">
      <c r="I865" t="s">
        <v>14</v>
      </c>
      <c r="AO865">
        <f>sum(j865:an865)</f>
        <v>0</v>
      </c>
    </row>
    <row r="866" spans="1:41">
      <c r="I866" t="s">
        <v>15</v>
      </c>
      <c r="J866">
        <f>sumif(Plan!B:B,"806-353000-110",Plan!j:j)</f>
        <v>0</v>
      </c>
      <c r="K866">
        <f>sumif(Plan!B:B,"806-353000-110",Plan!k:k)</f>
        <v>0</v>
      </c>
      <c r="L866">
        <f>sumif(Plan!B:B,"806-353000-110",Plan!l:l)</f>
        <v>0</v>
      </c>
      <c r="M866">
        <f>sumif(Plan!B:B,"806-353000-110",Plan!m:m)</f>
        <v>0</v>
      </c>
      <c r="N866">
        <f>sumif(Plan!B:B,"806-353000-110",Plan!n:n)</f>
        <v>0</v>
      </c>
      <c r="O866">
        <f>sumif(Plan!B:B,"806-353000-110",Plan!o:o)</f>
        <v>0</v>
      </c>
      <c r="P866">
        <f>sumif(Plan!B:B,"806-353000-110",Plan!p:p)</f>
        <v>0</v>
      </c>
      <c r="Q866">
        <f>sumif(Plan!B:B,"806-353000-110",Plan!q:q)</f>
        <v>0</v>
      </c>
      <c r="R866">
        <f>sumif(Plan!B:B,"806-353000-110",Plan!r:r)</f>
        <v>0</v>
      </c>
      <c r="S866">
        <f>sumif(Plan!B:B,"806-353000-110",Plan!s:s)</f>
        <v>0</v>
      </c>
      <c r="T866">
        <f>sumif(Plan!B:B,"806-353000-110",Plan!t:t)</f>
        <v>0</v>
      </c>
      <c r="U866">
        <f>sumif(Plan!B:B,"806-353000-110",Plan!u:u)</f>
        <v>0</v>
      </c>
      <c r="V866">
        <f>sumif(Plan!B:B,"806-353000-110",Plan!v:v)</f>
        <v>0</v>
      </c>
      <c r="W866">
        <f>sumif(Plan!B:B,"806-353000-110",Plan!w:w)</f>
        <v>0</v>
      </c>
      <c r="X866">
        <f>sumif(Plan!B:B,"806-353000-110",Plan!x:x)</f>
        <v>0</v>
      </c>
      <c r="Y866">
        <f>sumif(Plan!B:B,"806-353000-110",Plan!y:y)</f>
        <v>0</v>
      </c>
      <c r="Z866">
        <f>sumif(Plan!B:B,"806-353000-110",Plan!z:z)</f>
        <v>0</v>
      </c>
      <c r="AA866">
        <f>sumif(Plan!B:B,"806-353000-110",Plan!aa:aa)</f>
        <v>0</v>
      </c>
      <c r="AB866">
        <f>sumif(Plan!B:B,"806-353000-110",Plan!ab:ab)</f>
        <v>0</v>
      </c>
      <c r="AC866">
        <f>sumif(Plan!B:B,"806-353000-110",Plan!ac:ac)</f>
        <v>0</v>
      </c>
      <c r="AD866">
        <f>sumif(Plan!B:B,"806-353000-110",Plan!ad:ad)</f>
        <v>0</v>
      </c>
      <c r="AE866">
        <f>sumif(Plan!B:B,"806-353000-110",Plan!ae:ae)</f>
        <v>0</v>
      </c>
      <c r="AF866">
        <f>sumif(Plan!B:B,"806-353000-110",Plan!af:af)</f>
        <v>0</v>
      </c>
      <c r="AG866">
        <f>sumif(Plan!B:B,"806-353000-110",Plan!ag:ag)</f>
        <v>0</v>
      </c>
      <c r="AH866">
        <f>sumif(Plan!B:B,"806-353000-110",Plan!ah:ah)</f>
        <v>0</v>
      </c>
      <c r="AI866">
        <f>sumif(Plan!B:B,"806-353000-110",Plan!ai:ai)</f>
        <v>0</v>
      </c>
      <c r="AJ866">
        <f>sumif(Plan!B:B,"806-353000-110",Plan!aj:aj)</f>
        <v>0</v>
      </c>
      <c r="AK866">
        <f>sumif(Plan!B:B,"806-353000-110",Plan!ak:ak)</f>
        <v>0</v>
      </c>
      <c r="AL866">
        <f>sumif(Plan!B:B,"806-353000-110",Plan!al:al)</f>
        <v>0</v>
      </c>
      <c r="AM866">
        <f>sumif(Plan!B:B,"806-353000-110",Plan!am:am)</f>
        <v>0</v>
      </c>
      <c r="AN866">
        <f>sumif(Plan!B:B,"806-353000-110",Plan!an:an)</f>
        <v>0</v>
      </c>
      <c r="AO866">
        <f>sumif(Plan!B:B,"806-353000-110",Plan!ao:ao)</f>
        <v>0</v>
      </c>
    </row>
    <row r="867" spans="1:41">
      <c r="A867" t="s">
        <v>17</v>
      </c>
      <c r="B867" t="s">
        <v>577</v>
      </c>
      <c r="C867" t="s">
        <v>565</v>
      </c>
      <c r="E867">
        <v>1</v>
      </c>
      <c r="F867" t="s">
        <v>13</v>
      </c>
      <c r="H867" t="s">
        <v>16</v>
      </c>
      <c r="J867">
        <f>indirect(address(867,9))+indirect(address(865,10))-indirect(address(866,10))</f>
        <v>0</v>
      </c>
      <c r="K867">
        <f>indirect(address(867,10))+indirect(address(865,11))-indirect(address(866,11))</f>
        <v>0</v>
      </c>
      <c r="L867">
        <f>indirect(address(867,11))+indirect(address(865,12))-indirect(address(866,12))</f>
        <v>0</v>
      </c>
      <c r="M867">
        <f>indirect(address(867,12))+indirect(address(865,13))-indirect(address(866,13))</f>
        <v>0</v>
      </c>
      <c r="N867">
        <f>indirect(address(867,13))+indirect(address(865,14))-indirect(address(866,14))</f>
        <v>0</v>
      </c>
      <c r="O867">
        <f>indirect(address(867,14))+indirect(address(865,15))-indirect(address(866,15))</f>
        <v>0</v>
      </c>
      <c r="P867">
        <f>indirect(address(867,15))+indirect(address(865,16))-indirect(address(866,16))</f>
        <v>0</v>
      </c>
      <c r="Q867">
        <f>indirect(address(867,16))+indirect(address(865,17))-indirect(address(866,17))</f>
        <v>0</v>
      </c>
      <c r="R867">
        <f>indirect(address(867,17))+indirect(address(865,18))-indirect(address(866,18))</f>
        <v>0</v>
      </c>
      <c r="S867">
        <f>indirect(address(867,18))+indirect(address(865,19))-indirect(address(866,19))</f>
        <v>0</v>
      </c>
      <c r="T867">
        <f>indirect(address(867,19))+indirect(address(865,20))-indirect(address(866,20))</f>
        <v>0</v>
      </c>
      <c r="U867">
        <f>indirect(address(867,20))+indirect(address(865,21))-indirect(address(866,21))</f>
        <v>0</v>
      </c>
      <c r="V867">
        <f>indirect(address(867,21))+indirect(address(865,22))-indirect(address(866,22))</f>
        <v>0</v>
      </c>
      <c r="W867">
        <f>indirect(address(867,22))+indirect(address(865,23))-indirect(address(866,23))</f>
        <v>0</v>
      </c>
      <c r="X867">
        <f>indirect(address(867,23))+indirect(address(865,24))-indirect(address(866,24))</f>
        <v>0</v>
      </c>
      <c r="Y867">
        <f>indirect(address(867,24))+indirect(address(865,25))-indirect(address(866,25))</f>
        <v>0</v>
      </c>
      <c r="Z867">
        <f>indirect(address(867,25))+indirect(address(865,26))-indirect(address(866,26))</f>
        <v>0</v>
      </c>
      <c r="AA867">
        <f>indirect(address(867,26))+indirect(address(865,27))-indirect(address(866,27))</f>
        <v>0</v>
      </c>
      <c r="AB867">
        <f>indirect(address(867,27))+indirect(address(865,28))-indirect(address(866,28))</f>
        <v>0</v>
      </c>
      <c r="AC867">
        <f>indirect(address(867,28))+indirect(address(865,29))-indirect(address(866,29))</f>
        <v>0</v>
      </c>
      <c r="AD867">
        <f>indirect(address(867,29))+indirect(address(865,30))-indirect(address(866,30))</f>
        <v>0</v>
      </c>
      <c r="AE867">
        <f>indirect(address(867,30))+indirect(address(865,31))-indirect(address(866,31))</f>
        <v>0</v>
      </c>
      <c r="AF867">
        <f>indirect(address(867,31))+indirect(address(865,32))-indirect(address(866,32))</f>
        <v>0</v>
      </c>
      <c r="AG867">
        <f>indirect(address(867,32))+indirect(address(865,33))-indirect(address(866,33))</f>
        <v>0</v>
      </c>
      <c r="AH867">
        <f>indirect(address(867,33))+indirect(address(865,34))-indirect(address(866,34))</f>
        <v>0</v>
      </c>
      <c r="AI867">
        <f>indirect(address(867,34))+indirect(address(865,35))-indirect(address(866,35))</f>
        <v>0</v>
      </c>
      <c r="AJ867">
        <f>indirect(address(867,35))+indirect(address(865,36))-indirect(address(866,36))</f>
        <v>0</v>
      </c>
      <c r="AK867">
        <f>indirect(address(867,36))+indirect(address(865,37))-indirect(address(866,37))</f>
        <v>0</v>
      </c>
      <c r="AL867">
        <f>indirect(address(867,37))+indirect(address(865,38))-indirect(address(866,38))</f>
        <v>0</v>
      </c>
      <c r="AM867">
        <f>indirect(address(867,38))+indirect(address(865,39))-indirect(address(866,39))</f>
        <v>0</v>
      </c>
      <c r="AN867">
        <f>indirect(address(867,39))+indirect(address(865,40))-indirect(address(866,40))</f>
        <v>0</v>
      </c>
      <c r="AO867">
        <f>indirect(address(867,40))+indirect(address(865,41))-indirect(address(866,41))</f>
        <v>0</v>
      </c>
    </row>
    <row r="868" spans="1:41">
      <c r="I868" t="s">
        <v>14</v>
      </c>
      <c r="AO868">
        <f>sum(j868:an868)</f>
        <v>0</v>
      </c>
    </row>
    <row r="869" spans="1:41">
      <c r="I869" t="s">
        <v>15</v>
      </c>
      <c r="J869">
        <f>sumif(Plan!B:B,"261-067000-105",Plan!j:j)</f>
        <v>0</v>
      </c>
      <c r="K869">
        <f>sumif(Plan!B:B,"261-067000-105",Plan!k:k)</f>
        <v>0</v>
      </c>
      <c r="L869">
        <f>sumif(Plan!B:B,"261-067000-105",Plan!l:l)</f>
        <v>0</v>
      </c>
      <c r="M869">
        <f>sumif(Plan!B:B,"261-067000-105",Plan!m:m)</f>
        <v>0</v>
      </c>
      <c r="N869">
        <f>sumif(Plan!B:B,"261-067000-105",Plan!n:n)</f>
        <v>0</v>
      </c>
      <c r="O869">
        <f>sumif(Plan!B:B,"261-067000-105",Plan!o:o)</f>
        <v>0</v>
      </c>
      <c r="P869">
        <f>sumif(Plan!B:B,"261-067000-105",Plan!p:p)</f>
        <v>0</v>
      </c>
      <c r="Q869">
        <f>sumif(Plan!B:B,"261-067000-105",Plan!q:q)</f>
        <v>0</v>
      </c>
      <c r="R869">
        <f>sumif(Plan!B:B,"261-067000-105",Plan!r:r)</f>
        <v>0</v>
      </c>
      <c r="S869">
        <f>sumif(Plan!B:B,"261-067000-105",Plan!s:s)</f>
        <v>0</v>
      </c>
      <c r="T869">
        <f>sumif(Plan!B:B,"261-067000-105",Plan!t:t)</f>
        <v>0</v>
      </c>
      <c r="U869">
        <f>sumif(Plan!B:B,"261-067000-105",Plan!u:u)</f>
        <v>0</v>
      </c>
      <c r="V869">
        <f>sumif(Plan!B:B,"261-067000-105",Plan!v:v)</f>
        <v>0</v>
      </c>
      <c r="W869">
        <f>sumif(Plan!B:B,"261-067000-105",Plan!w:w)</f>
        <v>0</v>
      </c>
      <c r="X869">
        <f>sumif(Plan!B:B,"261-067000-105",Plan!x:x)</f>
        <v>0</v>
      </c>
      <c r="Y869">
        <f>sumif(Plan!B:B,"261-067000-105",Plan!y:y)</f>
        <v>0</v>
      </c>
      <c r="Z869">
        <f>sumif(Plan!B:B,"261-067000-105",Plan!z:z)</f>
        <v>0</v>
      </c>
      <c r="AA869">
        <f>sumif(Plan!B:B,"261-067000-105",Plan!aa:aa)</f>
        <v>0</v>
      </c>
      <c r="AB869">
        <f>sumif(Plan!B:B,"261-067000-105",Plan!ab:ab)</f>
        <v>0</v>
      </c>
      <c r="AC869">
        <f>sumif(Plan!B:B,"261-067000-105",Plan!ac:ac)</f>
        <v>0</v>
      </c>
      <c r="AD869">
        <f>sumif(Plan!B:B,"261-067000-105",Plan!ad:ad)</f>
        <v>0</v>
      </c>
      <c r="AE869">
        <f>sumif(Plan!B:B,"261-067000-105",Plan!ae:ae)</f>
        <v>0</v>
      </c>
      <c r="AF869">
        <f>sumif(Plan!B:B,"261-067000-105",Plan!af:af)</f>
        <v>0</v>
      </c>
      <c r="AG869">
        <f>sumif(Plan!B:B,"261-067000-105",Plan!ag:ag)</f>
        <v>0</v>
      </c>
      <c r="AH869">
        <f>sumif(Plan!B:B,"261-067000-105",Plan!ah:ah)</f>
        <v>0</v>
      </c>
      <c r="AI869">
        <f>sumif(Plan!B:B,"261-067000-105",Plan!ai:ai)</f>
        <v>0</v>
      </c>
      <c r="AJ869">
        <f>sumif(Plan!B:B,"261-067000-105",Plan!aj:aj)</f>
        <v>0</v>
      </c>
      <c r="AK869">
        <f>sumif(Plan!B:B,"261-067000-105",Plan!ak:ak)</f>
        <v>0</v>
      </c>
      <c r="AL869">
        <f>sumif(Plan!B:B,"261-067000-105",Plan!al:al)</f>
        <v>0</v>
      </c>
      <c r="AM869">
        <f>sumif(Plan!B:B,"261-067000-105",Plan!am:am)</f>
        <v>0</v>
      </c>
      <c r="AN869">
        <f>sumif(Plan!B:B,"261-067000-105",Plan!an:an)</f>
        <v>0</v>
      </c>
      <c r="AO869">
        <f>sumif(Plan!B:B,"261-067000-105",Plan!ao:ao)</f>
        <v>0</v>
      </c>
    </row>
    <row r="870" spans="1:41">
      <c r="A870" t="s">
        <v>22</v>
      </c>
      <c r="B870" t="s">
        <v>578</v>
      </c>
      <c r="C870" t="s">
        <v>579</v>
      </c>
      <c r="E870">
        <v>2</v>
      </c>
      <c r="F870" t="s">
        <v>13</v>
      </c>
      <c r="H870" t="s">
        <v>16</v>
      </c>
      <c r="J870">
        <f>indirect(address(870,9))+indirect(address(868,10))-indirect(address(869,10))</f>
        <v>0</v>
      </c>
      <c r="K870">
        <f>indirect(address(870,10))+indirect(address(868,11))-indirect(address(869,11))</f>
        <v>0</v>
      </c>
      <c r="L870">
        <f>indirect(address(870,11))+indirect(address(868,12))-indirect(address(869,12))</f>
        <v>0</v>
      </c>
      <c r="M870">
        <f>indirect(address(870,12))+indirect(address(868,13))-indirect(address(869,13))</f>
        <v>0</v>
      </c>
      <c r="N870">
        <f>indirect(address(870,13))+indirect(address(868,14))-indirect(address(869,14))</f>
        <v>0</v>
      </c>
      <c r="O870">
        <f>indirect(address(870,14))+indirect(address(868,15))-indirect(address(869,15))</f>
        <v>0</v>
      </c>
      <c r="P870">
        <f>indirect(address(870,15))+indirect(address(868,16))-indirect(address(869,16))</f>
        <v>0</v>
      </c>
      <c r="Q870">
        <f>indirect(address(870,16))+indirect(address(868,17))-indirect(address(869,17))</f>
        <v>0</v>
      </c>
      <c r="R870">
        <f>indirect(address(870,17))+indirect(address(868,18))-indirect(address(869,18))</f>
        <v>0</v>
      </c>
      <c r="S870">
        <f>indirect(address(870,18))+indirect(address(868,19))-indirect(address(869,19))</f>
        <v>0</v>
      </c>
      <c r="T870">
        <f>indirect(address(870,19))+indirect(address(868,20))-indirect(address(869,20))</f>
        <v>0</v>
      </c>
      <c r="U870">
        <f>indirect(address(870,20))+indirect(address(868,21))-indirect(address(869,21))</f>
        <v>0</v>
      </c>
      <c r="V870">
        <f>indirect(address(870,21))+indirect(address(868,22))-indirect(address(869,22))</f>
        <v>0</v>
      </c>
      <c r="W870">
        <f>indirect(address(870,22))+indirect(address(868,23))-indirect(address(869,23))</f>
        <v>0</v>
      </c>
      <c r="X870">
        <f>indirect(address(870,23))+indirect(address(868,24))-indirect(address(869,24))</f>
        <v>0</v>
      </c>
      <c r="Y870">
        <f>indirect(address(870,24))+indirect(address(868,25))-indirect(address(869,25))</f>
        <v>0</v>
      </c>
      <c r="Z870">
        <f>indirect(address(870,25))+indirect(address(868,26))-indirect(address(869,26))</f>
        <v>0</v>
      </c>
      <c r="AA870">
        <f>indirect(address(870,26))+indirect(address(868,27))-indirect(address(869,27))</f>
        <v>0</v>
      </c>
      <c r="AB870">
        <f>indirect(address(870,27))+indirect(address(868,28))-indirect(address(869,28))</f>
        <v>0</v>
      </c>
      <c r="AC870">
        <f>indirect(address(870,28))+indirect(address(868,29))-indirect(address(869,29))</f>
        <v>0</v>
      </c>
      <c r="AD870">
        <f>indirect(address(870,29))+indirect(address(868,30))-indirect(address(869,30))</f>
        <v>0</v>
      </c>
      <c r="AE870">
        <f>indirect(address(870,30))+indirect(address(868,31))-indirect(address(869,31))</f>
        <v>0</v>
      </c>
      <c r="AF870">
        <f>indirect(address(870,31))+indirect(address(868,32))-indirect(address(869,32))</f>
        <v>0</v>
      </c>
      <c r="AG870">
        <f>indirect(address(870,32))+indirect(address(868,33))-indirect(address(869,33))</f>
        <v>0</v>
      </c>
      <c r="AH870">
        <f>indirect(address(870,33))+indirect(address(868,34))-indirect(address(869,34))</f>
        <v>0</v>
      </c>
      <c r="AI870">
        <f>indirect(address(870,34))+indirect(address(868,35))-indirect(address(869,35))</f>
        <v>0</v>
      </c>
      <c r="AJ870">
        <f>indirect(address(870,35))+indirect(address(868,36))-indirect(address(869,36))</f>
        <v>0</v>
      </c>
      <c r="AK870">
        <f>indirect(address(870,36))+indirect(address(868,37))-indirect(address(869,37))</f>
        <v>0</v>
      </c>
      <c r="AL870">
        <f>indirect(address(870,37))+indirect(address(868,38))-indirect(address(869,38))</f>
        <v>0</v>
      </c>
      <c r="AM870">
        <f>indirect(address(870,38))+indirect(address(868,39))-indirect(address(869,39))</f>
        <v>0</v>
      </c>
      <c r="AN870">
        <f>indirect(address(870,39))+indirect(address(868,40))-indirect(address(869,40))</f>
        <v>0</v>
      </c>
      <c r="AO870">
        <f>indirect(address(870,40))+indirect(address(868,41))-indirect(address(869,41))</f>
        <v>0</v>
      </c>
    </row>
    <row r="871" spans="1:41">
      <c r="I871" t="s">
        <v>14</v>
      </c>
      <c r="AO871">
        <f>sum(j871:an871)</f>
        <v>0</v>
      </c>
    </row>
    <row r="872" spans="1:41">
      <c r="I872" t="s">
        <v>15</v>
      </c>
      <c r="J872">
        <f>sumif(Plan!B:B,"252-130010-008",Plan!j:j)</f>
        <v>0</v>
      </c>
      <c r="K872">
        <f>sumif(Plan!B:B,"252-130010-008",Plan!k:k)</f>
        <v>0</v>
      </c>
      <c r="L872">
        <f>sumif(Plan!B:B,"252-130010-008",Plan!l:l)</f>
        <v>0</v>
      </c>
      <c r="M872">
        <f>sumif(Plan!B:B,"252-130010-008",Plan!m:m)</f>
        <v>0</v>
      </c>
      <c r="N872">
        <f>sumif(Plan!B:B,"252-130010-008",Plan!n:n)</f>
        <v>0</v>
      </c>
      <c r="O872">
        <f>sumif(Plan!B:B,"252-130010-008",Plan!o:o)</f>
        <v>0</v>
      </c>
      <c r="P872">
        <f>sumif(Plan!B:B,"252-130010-008",Plan!p:p)</f>
        <v>0</v>
      </c>
      <c r="Q872">
        <f>sumif(Plan!B:B,"252-130010-008",Plan!q:q)</f>
        <v>0</v>
      </c>
      <c r="R872">
        <f>sumif(Plan!B:B,"252-130010-008",Plan!r:r)</f>
        <v>0</v>
      </c>
      <c r="S872">
        <f>sumif(Plan!B:B,"252-130010-008",Plan!s:s)</f>
        <v>0</v>
      </c>
      <c r="T872">
        <f>sumif(Plan!B:B,"252-130010-008",Plan!t:t)</f>
        <v>0</v>
      </c>
      <c r="U872">
        <f>sumif(Plan!B:B,"252-130010-008",Plan!u:u)</f>
        <v>0</v>
      </c>
      <c r="V872">
        <f>sumif(Plan!B:B,"252-130010-008",Plan!v:v)</f>
        <v>0</v>
      </c>
      <c r="W872">
        <f>sumif(Plan!B:B,"252-130010-008",Plan!w:w)</f>
        <v>0</v>
      </c>
      <c r="X872">
        <f>sumif(Plan!B:B,"252-130010-008",Plan!x:x)</f>
        <v>0</v>
      </c>
      <c r="Y872">
        <f>sumif(Plan!B:B,"252-130010-008",Plan!y:y)</f>
        <v>0</v>
      </c>
      <c r="Z872">
        <f>sumif(Plan!B:B,"252-130010-008",Plan!z:z)</f>
        <v>0</v>
      </c>
      <c r="AA872">
        <f>sumif(Plan!B:B,"252-130010-008",Plan!aa:aa)</f>
        <v>0</v>
      </c>
      <c r="AB872">
        <f>sumif(Plan!B:B,"252-130010-008",Plan!ab:ab)</f>
        <v>0</v>
      </c>
      <c r="AC872">
        <f>sumif(Plan!B:B,"252-130010-008",Plan!ac:ac)</f>
        <v>0</v>
      </c>
      <c r="AD872">
        <f>sumif(Plan!B:B,"252-130010-008",Plan!ad:ad)</f>
        <v>0</v>
      </c>
      <c r="AE872">
        <f>sumif(Plan!B:B,"252-130010-008",Plan!ae:ae)</f>
        <v>0</v>
      </c>
      <c r="AF872">
        <f>sumif(Plan!B:B,"252-130010-008",Plan!af:af)</f>
        <v>0</v>
      </c>
      <c r="AG872">
        <f>sumif(Plan!B:B,"252-130010-008",Plan!ag:ag)</f>
        <v>0</v>
      </c>
      <c r="AH872">
        <f>sumif(Plan!B:B,"252-130010-008",Plan!ah:ah)</f>
        <v>0</v>
      </c>
      <c r="AI872">
        <f>sumif(Plan!B:B,"252-130010-008",Plan!ai:ai)</f>
        <v>0</v>
      </c>
      <c r="AJ872">
        <f>sumif(Plan!B:B,"252-130010-008",Plan!aj:aj)</f>
        <v>0</v>
      </c>
      <c r="AK872">
        <f>sumif(Plan!B:B,"252-130010-008",Plan!ak:ak)</f>
        <v>0</v>
      </c>
      <c r="AL872">
        <f>sumif(Plan!B:B,"252-130010-008",Plan!al:al)</f>
        <v>0</v>
      </c>
      <c r="AM872">
        <f>sumif(Plan!B:B,"252-130010-008",Plan!am:am)</f>
        <v>0</v>
      </c>
      <c r="AN872">
        <f>sumif(Plan!B:B,"252-130010-008",Plan!an:an)</f>
        <v>0</v>
      </c>
      <c r="AO872">
        <f>sumif(Plan!B:B,"252-130010-008",Plan!ao:ao)</f>
        <v>0</v>
      </c>
    </row>
    <row r="873" spans="1:41">
      <c r="A873" t="s">
        <v>78</v>
      </c>
      <c r="B873" t="s">
        <v>580</v>
      </c>
      <c r="C873" t="s">
        <v>581</v>
      </c>
      <c r="E873">
        <v>0.03</v>
      </c>
      <c r="F873" t="s">
        <v>13</v>
      </c>
      <c r="H873" t="s">
        <v>16</v>
      </c>
      <c r="J873">
        <f>indirect(address(873,9))+indirect(address(871,10))-indirect(address(872,10))</f>
        <v>0</v>
      </c>
      <c r="K873">
        <f>indirect(address(873,10))+indirect(address(871,11))-indirect(address(872,11))</f>
        <v>0</v>
      </c>
      <c r="L873">
        <f>indirect(address(873,11))+indirect(address(871,12))-indirect(address(872,12))</f>
        <v>0</v>
      </c>
      <c r="M873">
        <f>indirect(address(873,12))+indirect(address(871,13))-indirect(address(872,13))</f>
        <v>0</v>
      </c>
      <c r="N873">
        <f>indirect(address(873,13))+indirect(address(871,14))-indirect(address(872,14))</f>
        <v>0</v>
      </c>
      <c r="O873">
        <f>indirect(address(873,14))+indirect(address(871,15))-indirect(address(872,15))</f>
        <v>0</v>
      </c>
      <c r="P873">
        <f>indirect(address(873,15))+indirect(address(871,16))-indirect(address(872,16))</f>
        <v>0</v>
      </c>
      <c r="Q873">
        <f>indirect(address(873,16))+indirect(address(871,17))-indirect(address(872,17))</f>
        <v>0</v>
      </c>
      <c r="R873">
        <f>indirect(address(873,17))+indirect(address(871,18))-indirect(address(872,18))</f>
        <v>0</v>
      </c>
      <c r="S873">
        <f>indirect(address(873,18))+indirect(address(871,19))-indirect(address(872,19))</f>
        <v>0</v>
      </c>
      <c r="T873">
        <f>indirect(address(873,19))+indirect(address(871,20))-indirect(address(872,20))</f>
        <v>0</v>
      </c>
      <c r="U873">
        <f>indirect(address(873,20))+indirect(address(871,21))-indirect(address(872,21))</f>
        <v>0</v>
      </c>
      <c r="V873">
        <f>indirect(address(873,21))+indirect(address(871,22))-indirect(address(872,22))</f>
        <v>0</v>
      </c>
      <c r="W873">
        <f>indirect(address(873,22))+indirect(address(871,23))-indirect(address(872,23))</f>
        <v>0</v>
      </c>
      <c r="X873">
        <f>indirect(address(873,23))+indirect(address(871,24))-indirect(address(872,24))</f>
        <v>0</v>
      </c>
      <c r="Y873">
        <f>indirect(address(873,24))+indirect(address(871,25))-indirect(address(872,25))</f>
        <v>0</v>
      </c>
      <c r="Z873">
        <f>indirect(address(873,25))+indirect(address(871,26))-indirect(address(872,26))</f>
        <v>0</v>
      </c>
      <c r="AA873">
        <f>indirect(address(873,26))+indirect(address(871,27))-indirect(address(872,27))</f>
        <v>0</v>
      </c>
      <c r="AB873">
        <f>indirect(address(873,27))+indirect(address(871,28))-indirect(address(872,28))</f>
        <v>0</v>
      </c>
      <c r="AC873">
        <f>indirect(address(873,28))+indirect(address(871,29))-indirect(address(872,29))</f>
        <v>0</v>
      </c>
      <c r="AD873">
        <f>indirect(address(873,29))+indirect(address(871,30))-indirect(address(872,30))</f>
        <v>0</v>
      </c>
      <c r="AE873">
        <f>indirect(address(873,30))+indirect(address(871,31))-indirect(address(872,31))</f>
        <v>0</v>
      </c>
      <c r="AF873">
        <f>indirect(address(873,31))+indirect(address(871,32))-indirect(address(872,32))</f>
        <v>0</v>
      </c>
      <c r="AG873">
        <f>indirect(address(873,32))+indirect(address(871,33))-indirect(address(872,33))</f>
        <v>0</v>
      </c>
      <c r="AH873">
        <f>indirect(address(873,33))+indirect(address(871,34))-indirect(address(872,34))</f>
        <v>0</v>
      </c>
      <c r="AI873">
        <f>indirect(address(873,34))+indirect(address(871,35))-indirect(address(872,35))</f>
        <v>0</v>
      </c>
      <c r="AJ873">
        <f>indirect(address(873,35))+indirect(address(871,36))-indirect(address(872,36))</f>
        <v>0</v>
      </c>
      <c r="AK873">
        <f>indirect(address(873,36))+indirect(address(871,37))-indirect(address(872,37))</f>
        <v>0</v>
      </c>
      <c r="AL873">
        <f>indirect(address(873,37))+indirect(address(871,38))-indirect(address(872,38))</f>
        <v>0</v>
      </c>
      <c r="AM873">
        <f>indirect(address(873,38))+indirect(address(871,39))-indirect(address(872,39))</f>
        <v>0</v>
      </c>
      <c r="AN873">
        <f>indirect(address(873,39))+indirect(address(871,40))-indirect(address(872,40))</f>
        <v>0</v>
      </c>
      <c r="AO873">
        <f>indirect(address(873,40))+indirect(address(871,41))-indirect(address(872,41))</f>
        <v>0</v>
      </c>
    </row>
    <row r="874" spans="1:41">
      <c r="I874" t="s">
        <v>14</v>
      </c>
      <c r="AO874">
        <f>sum(j874:an874)</f>
        <v>0</v>
      </c>
    </row>
    <row r="875" spans="1:41">
      <c r="I875" t="s">
        <v>15</v>
      </c>
      <c r="J875">
        <f>sumif(Plan!B:B,"241-001400-100",Plan!j:j)</f>
        <v>0</v>
      </c>
      <c r="K875">
        <f>sumif(Plan!B:B,"241-001400-100",Plan!k:k)</f>
        <v>0</v>
      </c>
      <c r="L875">
        <f>sumif(Plan!B:B,"241-001400-100",Plan!l:l)</f>
        <v>0</v>
      </c>
      <c r="M875">
        <f>sumif(Plan!B:B,"241-001400-100",Plan!m:m)</f>
        <v>0</v>
      </c>
      <c r="N875">
        <f>sumif(Plan!B:B,"241-001400-100",Plan!n:n)</f>
        <v>0</v>
      </c>
      <c r="O875">
        <f>sumif(Plan!B:B,"241-001400-100",Plan!o:o)</f>
        <v>0</v>
      </c>
      <c r="P875">
        <f>sumif(Plan!B:B,"241-001400-100",Plan!p:p)</f>
        <v>0</v>
      </c>
      <c r="Q875">
        <f>sumif(Plan!B:B,"241-001400-100",Plan!q:q)</f>
        <v>0</v>
      </c>
      <c r="R875">
        <f>sumif(Plan!B:B,"241-001400-100",Plan!r:r)</f>
        <v>0</v>
      </c>
      <c r="S875">
        <f>sumif(Plan!B:B,"241-001400-100",Plan!s:s)</f>
        <v>0</v>
      </c>
      <c r="T875">
        <f>sumif(Plan!B:B,"241-001400-100",Plan!t:t)</f>
        <v>0</v>
      </c>
      <c r="U875">
        <f>sumif(Plan!B:B,"241-001400-100",Plan!u:u)</f>
        <v>0</v>
      </c>
      <c r="V875">
        <f>sumif(Plan!B:B,"241-001400-100",Plan!v:v)</f>
        <v>0</v>
      </c>
      <c r="W875">
        <f>sumif(Plan!B:B,"241-001400-100",Plan!w:w)</f>
        <v>0</v>
      </c>
      <c r="X875">
        <f>sumif(Plan!B:B,"241-001400-100",Plan!x:x)</f>
        <v>0</v>
      </c>
      <c r="Y875">
        <f>sumif(Plan!B:B,"241-001400-100",Plan!y:y)</f>
        <v>0</v>
      </c>
      <c r="Z875">
        <f>sumif(Plan!B:B,"241-001400-100",Plan!z:z)</f>
        <v>0</v>
      </c>
      <c r="AA875">
        <f>sumif(Plan!B:B,"241-001400-100",Plan!aa:aa)</f>
        <v>0</v>
      </c>
      <c r="AB875">
        <f>sumif(Plan!B:B,"241-001400-100",Plan!ab:ab)</f>
        <v>0</v>
      </c>
      <c r="AC875">
        <f>sumif(Plan!B:B,"241-001400-100",Plan!ac:ac)</f>
        <v>0</v>
      </c>
      <c r="AD875">
        <f>sumif(Plan!B:B,"241-001400-100",Plan!ad:ad)</f>
        <v>0</v>
      </c>
      <c r="AE875">
        <f>sumif(Plan!B:B,"241-001400-100",Plan!ae:ae)</f>
        <v>0</v>
      </c>
      <c r="AF875">
        <f>sumif(Plan!B:B,"241-001400-100",Plan!af:af)</f>
        <v>0</v>
      </c>
      <c r="AG875">
        <f>sumif(Plan!B:B,"241-001400-100",Plan!ag:ag)</f>
        <v>0</v>
      </c>
      <c r="AH875">
        <f>sumif(Plan!B:B,"241-001400-100",Plan!ah:ah)</f>
        <v>0</v>
      </c>
      <c r="AI875">
        <f>sumif(Plan!B:B,"241-001400-100",Plan!ai:ai)</f>
        <v>0</v>
      </c>
      <c r="AJ875">
        <f>sumif(Plan!B:B,"241-001400-100",Plan!aj:aj)</f>
        <v>0</v>
      </c>
      <c r="AK875">
        <f>sumif(Plan!B:B,"241-001400-100",Plan!ak:ak)</f>
        <v>0</v>
      </c>
      <c r="AL875">
        <f>sumif(Plan!B:B,"241-001400-100",Plan!al:al)</f>
        <v>0</v>
      </c>
      <c r="AM875">
        <f>sumif(Plan!B:B,"241-001400-100",Plan!am:am)</f>
        <v>0</v>
      </c>
      <c r="AN875">
        <f>sumif(Plan!B:B,"241-001400-100",Plan!an:an)</f>
        <v>0</v>
      </c>
      <c r="AO875">
        <f>sumif(Plan!B:B,"241-001400-100",Plan!ao:ao)</f>
        <v>0</v>
      </c>
    </row>
    <row r="876" spans="1:41">
      <c r="A876" t="s">
        <v>78</v>
      </c>
      <c r="B876" t="s">
        <v>582</v>
      </c>
      <c r="C876" t="s">
        <v>583</v>
      </c>
      <c r="E876">
        <v>0.16</v>
      </c>
      <c r="F876" t="s">
        <v>13</v>
      </c>
      <c r="H876" t="s">
        <v>16</v>
      </c>
      <c r="J876">
        <f>indirect(address(876,9))+indirect(address(874,10))-indirect(address(875,10))</f>
        <v>0</v>
      </c>
      <c r="K876">
        <f>indirect(address(876,10))+indirect(address(874,11))-indirect(address(875,11))</f>
        <v>0</v>
      </c>
      <c r="L876">
        <f>indirect(address(876,11))+indirect(address(874,12))-indirect(address(875,12))</f>
        <v>0</v>
      </c>
      <c r="M876">
        <f>indirect(address(876,12))+indirect(address(874,13))-indirect(address(875,13))</f>
        <v>0</v>
      </c>
      <c r="N876">
        <f>indirect(address(876,13))+indirect(address(874,14))-indirect(address(875,14))</f>
        <v>0</v>
      </c>
      <c r="O876">
        <f>indirect(address(876,14))+indirect(address(874,15))-indirect(address(875,15))</f>
        <v>0</v>
      </c>
      <c r="P876">
        <f>indirect(address(876,15))+indirect(address(874,16))-indirect(address(875,16))</f>
        <v>0</v>
      </c>
      <c r="Q876">
        <f>indirect(address(876,16))+indirect(address(874,17))-indirect(address(875,17))</f>
        <v>0</v>
      </c>
      <c r="R876">
        <f>indirect(address(876,17))+indirect(address(874,18))-indirect(address(875,18))</f>
        <v>0</v>
      </c>
      <c r="S876">
        <f>indirect(address(876,18))+indirect(address(874,19))-indirect(address(875,19))</f>
        <v>0</v>
      </c>
      <c r="T876">
        <f>indirect(address(876,19))+indirect(address(874,20))-indirect(address(875,20))</f>
        <v>0</v>
      </c>
      <c r="U876">
        <f>indirect(address(876,20))+indirect(address(874,21))-indirect(address(875,21))</f>
        <v>0</v>
      </c>
      <c r="V876">
        <f>indirect(address(876,21))+indirect(address(874,22))-indirect(address(875,22))</f>
        <v>0</v>
      </c>
      <c r="W876">
        <f>indirect(address(876,22))+indirect(address(874,23))-indirect(address(875,23))</f>
        <v>0</v>
      </c>
      <c r="X876">
        <f>indirect(address(876,23))+indirect(address(874,24))-indirect(address(875,24))</f>
        <v>0</v>
      </c>
      <c r="Y876">
        <f>indirect(address(876,24))+indirect(address(874,25))-indirect(address(875,25))</f>
        <v>0</v>
      </c>
      <c r="Z876">
        <f>indirect(address(876,25))+indirect(address(874,26))-indirect(address(875,26))</f>
        <v>0</v>
      </c>
      <c r="AA876">
        <f>indirect(address(876,26))+indirect(address(874,27))-indirect(address(875,27))</f>
        <v>0</v>
      </c>
      <c r="AB876">
        <f>indirect(address(876,27))+indirect(address(874,28))-indirect(address(875,28))</f>
        <v>0</v>
      </c>
      <c r="AC876">
        <f>indirect(address(876,28))+indirect(address(874,29))-indirect(address(875,29))</f>
        <v>0</v>
      </c>
      <c r="AD876">
        <f>indirect(address(876,29))+indirect(address(874,30))-indirect(address(875,30))</f>
        <v>0</v>
      </c>
      <c r="AE876">
        <f>indirect(address(876,30))+indirect(address(874,31))-indirect(address(875,31))</f>
        <v>0</v>
      </c>
      <c r="AF876">
        <f>indirect(address(876,31))+indirect(address(874,32))-indirect(address(875,32))</f>
        <v>0</v>
      </c>
      <c r="AG876">
        <f>indirect(address(876,32))+indirect(address(874,33))-indirect(address(875,33))</f>
        <v>0</v>
      </c>
      <c r="AH876">
        <f>indirect(address(876,33))+indirect(address(874,34))-indirect(address(875,34))</f>
        <v>0</v>
      </c>
      <c r="AI876">
        <f>indirect(address(876,34))+indirect(address(874,35))-indirect(address(875,35))</f>
        <v>0</v>
      </c>
      <c r="AJ876">
        <f>indirect(address(876,35))+indirect(address(874,36))-indirect(address(875,36))</f>
        <v>0</v>
      </c>
      <c r="AK876">
        <f>indirect(address(876,36))+indirect(address(874,37))-indirect(address(875,37))</f>
        <v>0</v>
      </c>
      <c r="AL876">
        <f>indirect(address(876,37))+indirect(address(874,38))-indirect(address(875,38))</f>
        <v>0</v>
      </c>
      <c r="AM876">
        <f>indirect(address(876,38))+indirect(address(874,39))-indirect(address(875,39))</f>
        <v>0</v>
      </c>
      <c r="AN876">
        <f>indirect(address(876,39))+indirect(address(874,40))-indirect(address(875,40))</f>
        <v>0</v>
      </c>
      <c r="AO876">
        <f>indirect(address(876,40))+indirect(address(874,41))-indirect(address(875,41))</f>
        <v>0</v>
      </c>
    </row>
    <row r="877" spans="1:41">
      <c r="I877" t="s">
        <v>14</v>
      </c>
      <c r="AO877">
        <f>sum(j877:an877)</f>
        <v>0</v>
      </c>
    </row>
    <row r="878" spans="1:41">
      <c r="I878" t="s">
        <v>15</v>
      </c>
      <c r="J878">
        <f>sumif(Plan!B:B,"241-006900-000",Plan!j:j)</f>
        <v>0</v>
      </c>
      <c r="K878">
        <f>sumif(Plan!B:B,"241-006900-000",Plan!k:k)</f>
        <v>0</v>
      </c>
      <c r="L878">
        <f>sumif(Plan!B:B,"241-006900-000",Plan!l:l)</f>
        <v>0</v>
      </c>
      <c r="M878">
        <f>sumif(Plan!B:B,"241-006900-000",Plan!m:m)</f>
        <v>0</v>
      </c>
      <c r="N878">
        <f>sumif(Plan!B:B,"241-006900-000",Plan!n:n)</f>
        <v>0</v>
      </c>
      <c r="O878">
        <f>sumif(Plan!B:B,"241-006900-000",Plan!o:o)</f>
        <v>0</v>
      </c>
      <c r="P878">
        <f>sumif(Plan!B:B,"241-006900-000",Plan!p:p)</f>
        <v>0</v>
      </c>
      <c r="Q878">
        <f>sumif(Plan!B:B,"241-006900-000",Plan!q:q)</f>
        <v>0</v>
      </c>
      <c r="R878">
        <f>sumif(Plan!B:B,"241-006900-000",Plan!r:r)</f>
        <v>0</v>
      </c>
      <c r="S878">
        <f>sumif(Plan!B:B,"241-006900-000",Plan!s:s)</f>
        <v>0</v>
      </c>
      <c r="T878">
        <f>sumif(Plan!B:B,"241-006900-000",Plan!t:t)</f>
        <v>0</v>
      </c>
      <c r="U878">
        <f>sumif(Plan!B:B,"241-006900-000",Plan!u:u)</f>
        <v>0</v>
      </c>
      <c r="V878">
        <f>sumif(Plan!B:B,"241-006900-000",Plan!v:v)</f>
        <v>0</v>
      </c>
      <c r="W878">
        <f>sumif(Plan!B:B,"241-006900-000",Plan!w:w)</f>
        <v>0</v>
      </c>
      <c r="X878">
        <f>sumif(Plan!B:B,"241-006900-000",Plan!x:x)</f>
        <v>0</v>
      </c>
      <c r="Y878">
        <f>sumif(Plan!B:B,"241-006900-000",Plan!y:y)</f>
        <v>0</v>
      </c>
      <c r="Z878">
        <f>sumif(Plan!B:B,"241-006900-000",Plan!z:z)</f>
        <v>0</v>
      </c>
      <c r="AA878">
        <f>sumif(Plan!B:B,"241-006900-000",Plan!aa:aa)</f>
        <v>0</v>
      </c>
      <c r="AB878">
        <f>sumif(Plan!B:B,"241-006900-000",Plan!ab:ab)</f>
        <v>0</v>
      </c>
      <c r="AC878">
        <f>sumif(Plan!B:B,"241-006900-000",Plan!ac:ac)</f>
        <v>0</v>
      </c>
      <c r="AD878">
        <f>sumif(Plan!B:B,"241-006900-000",Plan!ad:ad)</f>
        <v>0</v>
      </c>
      <c r="AE878">
        <f>sumif(Plan!B:B,"241-006900-000",Plan!ae:ae)</f>
        <v>0</v>
      </c>
      <c r="AF878">
        <f>sumif(Plan!B:B,"241-006900-000",Plan!af:af)</f>
        <v>0</v>
      </c>
      <c r="AG878">
        <f>sumif(Plan!B:B,"241-006900-000",Plan!ag:ag)</f>
        <v>0</v>
      </c>
      <c r="AH878">
        <f>sumif(Plan!B:B,"241-006900-000",Plan!ah:ah)</f>
        <v>0</v>
      </c>
      <c r="AI878">
        <f>sumif(Plan!B:B,"241-006900-000",Plan!ai:ai)</f>
        <v>0</v>
      </c>
      <c r="AJ878">
        <f>sumif(Plan!B:B,"241-006900-000",Plan!aj:aj)</f>
        <v>0</v>
      </c>
      <c r="AK878">
        <f>sumif(Plan!B:B,"241-006900-000",Plan!ak:ak)</f>
        <v>0</v>
      </c>
      <c r="AL878">
        <f>sumif(Plan!B:B,"241-006900-000",Plan!al:al)</f>
        <v>0</v>
      </c>
      <c r="AM878">
        <f>sumif(Plan!B:B,"241-006900-000",Plan!am:am)</f>
        <v>0</v>
      </c>
      <c r="AN878">
        <f>sumif(Plan!B:B,"241-006900-000",Plan!an:an)</f>
        <v>0</v>
      </c>
      <c r="AO878">
        <f>sumif(Plan!B:B,"241-006900-000",Plan!ao:ao)</f>
        <v>0</v>
      </c>
    </row>
    <row r="879" spans="1:41">
      <c r="A879" t="s">
        <v>78</v>
      </c>
      <c r="B879" t="s">
        <v>584</v>
      </c>
      <c r="C879" t="s">
        <v>585</v>
      </c>
      <c r="E879">
        <v>0.03</v>
      </c>
      <c r="F879" t="s">
        <v>13</v>
      </c>
      <c r="H879" t="s">
        <v>16</v>
      </c>
      <c r="J879">
        <f>indirect(address(879,9))+indirect(address(877,10))-indirect(address(878,10))</f>
        <v>0</v>
      </c>
      <c r="K879">
        <f>indirect(address(879,10))+indirect(address(877,11))-indirect(address(878,11))</f>
        <v>0</v>
      </c>
      <c r="L879">
        <f>indirect(address(879,11))+indirect(address(877,12))-indirect(address(878,12))</f>
        <v>0</v>
      </c>
      <c r="M879">
        <f>indirect(address(879,12))+indirect(address(877,13))-indirect(address(878,13))</f>
        <v>0</v>
      </c>
      <c r="N879">
        <f>indirect(address(879,13))+indirect(address(877,14))-indirect(address(878,14))</f>
        <v>0</v>
      </c>
      <c r="O879">
        <f>indirect(address(879,14))+indirect(address(877,15))-indirect(address(878,15))</f>
        <v>0</v>
      </c>
      <c r="P879">
        <f>indirect(address(879,15))+indirect(address(877,16))-indirect(address(878,16))</f>
        <v>0</v>
      </c>
      <c r="Q879">
        <f>indirect(address(879,16))+indirect(address(877,17))-indirect(address(878,17))</f>
        <v>0</v>
      </c>
      <c r="R879">
        <f>indirect(address(879,17))+indirect(address(877,18))-indirect(address(878,18))</f>
        <v>0</v>
      </c>
      <c r="S879">
        <f>indirect(address(879,18))+indirect(address(877,19))-indirect(address(878,19))</f>
        <v>0</v>
      </c>
      <c r="T879">
        <f>indirect(address(879,19))+indirect(address(877,20))-indirect(address(878,20))</f>
        <v>0</v>
      </c>
      <c r="U879">
        <f>indirect(address(879,20))+indirect(address(877,21))-indirect(address(878,21))</f>
        <v>0</v>
      </c>
      <c r="V879">
        <f>indirect(address(879,21))+indirect(address(877,22))-indirect(address(878,22))</f>
        <v>0</v>
      </c>
      <c r="W879">
        <f>indirect(address(879,22))+indirect(address(877,23))-indirect(address(878,23))</f>
        <v>0</v>
      </c>
      <c r="X879">
        <f>indirect(address(879,23))+indirect(address(877,24))-indirect(address(878,24))</f>
        <v>0</v>
      </c>
      <c r="Y879">
        <f>indirect(address(879,24))+indirect(address(877,25))-indirect(address(878,25))</f>
        <v>0</v>
      </c>
      <c r="Z879">
        <f>indirect(address(879,25))+indirect(address(877,26))-indirect(address(878,26))</f>
        <v>0</v>
      </c>
      <c r="AA879">
        <f>indirect(address(879,26))+indirect(address(877,27))-indirect(address(878,27))</f>
        <v>0</v>
      </c>
      <c r="AB879">
        <f>indirect(address(879,27))+indirect(address(877,28))-indirect(address(878,28))</f>
        <v>0</v>
      </c>
      <c r="AC879">
        <f>indirect(address(879,28))+indirect(address(877,29))-indirect(address(878,29))</f>
        <v>0</v>
      </c>
      <c r="AD879">
        <f>indirect(address(879,29))+indirect(address(877,30))-indirect(address(878,30))</f>
        <v>0</v>
      </c>
      <c r="AE879">
        <f>indirect(address(879,30))+indirect(address(877,31))-indirect(address(878,31))</f>
        <v>0</v>
      </c>
      <c r="AF879">
        <f>indirect(address(879,31))+indirect(address(877,32))-indirect(address(878,32))</f>
        <v>0</v>
      </c>
      <c r="AG879">
        <f>indirect(address(879,32))+indirect(address(877,33))-indirect(address(878,33))</f>
        <v>0</v>
      </c>
      <c r="AH879">
        <f>indirect(address(879,33))+indirect(address(877,34))-indirect(address(878,34))</f>
        <v>0</v>
      </c>
      <c r="AI879">
        <f>indirect(address(879,34))+indirect(address(877,35))-indirect(address(878,35))</f>
        <v>0</v>
      </c>
      <c r="AJ879">
        <f>indirect(address(879,35))+indirect(address(877,36))-indirect(address(878,36))</f>
        <v>0</v>
      </c>
      <c r="AK879">
        <f>indirect(address(879,36))+indirect(address(877,37))-indirect(address(878,37))</f>
        <v>0</v>
      </c>
      <c r="AL879">
        <f>indirect(address(879,37))+indirect(address(877,38))-indirect(address(878,38))</f>
        <v>0</v>
      </c>
      <c r="AM879">
        <f>indirect(address(879,38))+indirect(address(877,39))-indirect(address(878,39))</f>
        <v>0</v>
      </c>
      <c r="AN879">
        <f>indirect(address(879,39))+indirect(address(877,40))-indirect(address(878,40))</f>
        <v>0</v>
      </c>
      <c r="AO879">
        <f>indirect(address(879,40))+indirect(address(877,41))-indirect(address(878,41))</f>
        <v>0</v>
      </c>
    </row>
    <row r="880" spans="1:41">
      <c r="I880" t="s">
        <v>14</v>
      </c>
      <c r="AO880">
        <f>sum(j880:an880)</f>
        <v>0</v>
      </c>
    </row>
    <row r="881" spans="1:41">
      <c r="I881" t="s">
        <v>15</v>
      </c>
      <c r="J881">
        <f>sumif(Plan!B:B,"806-961000-110",Plan!j:j)</f>
        <v>0</v>
      </c>
      <c r="K881">
        <f>sumif(Plan!B:B,"806-961000-110",Plan!k:k)</f>
        <v>0</v>
      </c>
      <c r="L881">
        <f>sumif(Plan!B:B,"806-961000-110",Plan!l:l)</f>
        <v>0</v>
      </c>
      <c r="M881">
        <f>sumif(Plan!B:B,"806-961000-110",Plan!m:m)</f>
        <v>0</v>
      </c>
      <c r="N881">
        <f>sumif(Plan!B:B,"806-961000-110",Plan!n:n)</f>
        <v>0</v>
      </c>
      <c r="O881">
        <f>sumif(Plan!B:B,"806-961000-110",Plan!o:o)</f>
        <v>0</v>
      </c>
      <c r="P881">
        <f>sumif(Plan!B:B,"806-961000-110",Plan!p:p)</f>
        <v>0</v>
      </c>
      <c r="Q881">
        <f>sumif(Plan!B:B,"806-961000-110",Plan!q:q)</f>
        <v>0</v>
      </c>
      <c r="R881">
        <f>sumif(Plan!B:B,"806-961000-110",Plan!r:r)</f>
        <v>0</v>
      </c>
      <c r="S881">
        <f>sumif(Plan!B:B,"806-961000-110",Plan!s:s)</f>
        <v>0</v>
      </c>
      <c r="T881">
        <f>sumif(Plan!B:B,"806-961000-110",Plan!t:t)</f>
        <v>0</v>
      </c>
      <c r="U881">
        <f>sumif(Plan!B:B,"806-961000-110",Plan!u:u)</f>
        <v>0</v>
      </c>
      <c r="V881">
        <f>sumif(Plan!B:B,"806-961000-110",Plan!v:v)</f>
        <v>0</v>
      </c>
      <c r="W881">
        <f>sumif(Plan!B:B,"806-961000-110",Plan!w:w)</f>
        <v>0</v>
      </c>
      <c r="X881">
        <f>sumif(Plan!B:B,"806-961000-110",Plan!x:x)</f>
        <v>0</v>
      </c>
      <c r="Y881">
        <f>sumif(Plan!B:B,"806-961000-110",Plan!y:y)</f>
        <v>0</v>
      </c>
      <c r="Z881">
        <f>sumif(Plan!B:B,"806-961000-110",Plan!z:z)</f>
        <v>0</v>
      </c>
      <c r="AA881">
        <f>sumif(Plan!B:B,"806-961000-110",Plan!aa:aa)</f>
        <v>0</v>
      </c>
      <c r="AB881">
        <f>sumif(Plan!B:B,"806-961000-110",Plan!ab:ab)</f>
        <v>0</v>
      </c>
      <c r="AC881">
        <f>sumif(Plan!B:B,"806-961000-110",Plan!ac:ac)</f>
        <v>0</v>
      </c>
      <c r="AD881">
        <f>sumif(Plan!B:B,"806-961000-110",Plan!ad:ad)</f>
        <v>0</v>
      </c>
      <c r="AE881">
        <f>sumif(Plan!B:B,"806-961000-110",Plan!ae:ae)</f>
        <v>0</v>
      </c>
      <c r="AF881">
        <f>sumif(Plan!B:B,"806-961000-110",Plan!af:af)</f>
        <v>0</v>
      </c>
      <c r="AG881">
        <f>sumif(Plan!B:B,"806-961000-110",Plan!ag:ag)</f>
        <v>0</v>
      </c>
      <c r="AH881">
        <f>sumif(Plan!B:B,"806-961000-110",Plan!ah:ah)</f>
        <v>0</v>
      </c>
      <c r="AI881">
        <f>sumif(Plan!B:B,"806-961000-110",Plan!ai:ai)</f>
        <v>0</v>
      </c>
      <c r="AJ881">
        <f>sumif(Plan!B:B,"806-961000-110",Plan!aj:aj)</f>
        <v>0</v>
      </c>
      <c r="AK881">
        <f>sumif(Plan!B:B,"806-961000-110",Plan!ak:ak)</f>
        <v>0</v>
      </c>
      <c r="AL881">
        <f>sumif(Plan!B:B,"806-961000-110",Plan!al:al)</f>
        <v>0</v>
      </c>
      <c r="AM881">
        <f>sumif(Plan!B:B,"806-961000-110",Plan!am:am)</f>
        <v>0</v>
      </c>
      <c r="AN881">
        <f>sumif(Plan!B:B,"806-961000-110",Plan!an:an)</f>
        <v>0</v>
      </c>
      <c r="AO881">
        <f>sumif(Plan!B:B,"806-961000-110",Plan!ao:ao)</f>
        <v>0</v>
      </c>
    </row>
    <row r="882" spans="1:41">
      <c r="A882" t="s">
        <v>17</v>
      </c>
      <c r="B882" t="s">
        <v>588</v>
      </c>
      <c r="C882" t="s">
        <v>589</v>
      </c>
      <c r="E882">
        <v>1</v>
      </c>
      <c r="F882" t="s">
        <v>13</v>
      </c>
      <c r="H882" t="s">
        <v>16</v>
      </c>
      <c r="J882">
        <f>indirect(address(882,9))+indirect(address(880,10))-indirect(address(881,10))</f>
        <v>0</v>
      </c>
      <c r="K882">
        <f>indirect(address(882,10))+indirect(address(880,11))-indirect(address(881,11))</f>
        <v>0</v>
      </c>
      <c r="L882">
        <f>indirect(address(882,11))+indirect(address(880,12))-indirect(address(881,12))</f>
        <v>0</v>
      </c>
      <c r="M882">
        <f>indirect(address(882,12))+indirect(address(880,13))-indirect(address(881,13))</f>
        <v>0</v>
      </c>
      <c r="N882">
        <f>indirect(address(882,13))+indirect(address(880,14))-indirect(address(881,14))</f>
        <v>0</v>
      </c>
      <c r="O882">
        <f>indirect(address(882,14))+indirect(address(880,15))-indirect(address(881,15))</f>
        <v>0</v>
      </c>
      <c r="P882">
        <f>indirect(address(882,15))+indirect(address(880,16))-indirect(address(881,16))</f>
        <v>0</v>
      </c>
      <c r="Q882">
        <f>indirect(address(882,16))+indirect(address(880,17))-indirect(address(881,17))</f>
        <v>0</v>
      </c>
      <c r="R882">
        <f>indirect(address(882,17))+indirect(address(880,18))-indirect(address(881,18))</f>
        <v>0</v>
      </c>
      <c r="S882">
        <f>indirect(address(882,18))+indirect(address(880,19))-indirect(address(881,19))</f>
        <v>0</v>
      </c>
      <c r="T882">
        <f>indirect(address(882,19))+indirect(address(880,20))-indirect(address(881,20))</f>
        <v>0</v>
      </c>
      <c r="U882">
        <f>indirect(address(882,20))+indirect(address(880,21))-indirect(address(881,21))</f>
        <v>0</v>
      </c>
      <c r="V882">
        <f>indirect(address(882,21))+indirect(address(880,22))-indirect(address(881,22))</f>
        <v>0</v>
      </c>
      <c r="W882">
        <f>indirect(address(882,22))+indirect(address(880,23))-indirect(address(881,23))</f>
        <v>0</v>
      </c>
      <c r="X882">
        <f>indirect(address(882,23))+indirect(address(880,24))-indirect(address(881,24))</f>
        <v>0</v>
      </c>
      <c r="Y882">
        <f>indirect(address(882,24))+indirect(address(880,25))-indirect(address(881,25))</f>
        <v>0</v>
      </c>
      <c r="Z882">
        <f>indirect(address(882,25))+indirect(address(880,26))-indirect(address(881,26))</f>
        <v>0</v>
      </c>
      <c r="AA882">
        <f>indirect(address(882,26))+indirect(address(880,27))-indirect(address(881,27))</f>
        <v>0</v>
      </c>
      <c r="AB882">
        <f>indirect(address(882,27))+indirect(address(880,28))-indirect(address(881,28))</f>
        <v>0</v>
      </c>
      <c r="AC882">
        <f>indirect(address(882,28))+indirect(address(880,29))-indirect(address(881,29))</f>
        <v>0</v>
      </c>
      <c r="AD882">
        <f>indirect(address(882,29))+indirect(address(880,30))-indirect(address(881,30))</f>
        <v>0</v>
      </c>
      <c r="AE882">
        <f>indirect(address(882,30))+indirect(address(880,31))-indirect(address(881,31))</f>
        <v>0</v>
      </c>
      <c r="AF882">
        <f>indirect(address(882,31))+indirect(address(880,32))-indirect(address(881,32))</f>
        <v>0</v>
      </c>
      <c r="AG882">
        <f>indirect(address(882,32))+indirect(address(880,33))-indirect(address(881,33))</f>
        <v>0</v>
      </c>
      <c r="AH882">
        <f>indirect(address(882,33))+indirect(address(880,34))-indirect(address(881,34))</f>
        <v>0</v>
      </c>
      <c r="AI882">
        <f>indirect(address(882,34))+indirect(address(880,35))-indirect(address(881,35))</f>
        <v>0</v>
      </c>
      <c r="AJ882">
        <f>indirect(address(882,35))+indirect(address(880,36))-indirect(address(881,36))</f>
        <v>0</v>
      </c>
      <c r="AK882">
        <f>indirect(address(882,36))+indirect(address(880,37))-indirect(address(881,37))</f>
        <v>0</v>
      </c>
      <c r="AL882">
        <f>indirect(address(882,37))+indirect(address(880,38))-indirect(address(881,38))</f>
        <v>0</v>
      </c>
      <c r="AM882">
        <f>indirect(address(882,38))+indirect(address(880,39))-indirect(address(881,39))</f>
        <v>0</v>
      </c>
      <c r="AN882">
        <f>indirect(address(882,39))+indirect(address(880,40))-indirect(address(881,40))</f>
        <v>0</v>
      </c>
      <c r="AO882">
        <f>indirect(address(882,40))+indirect(address(880,41))-indirect(address(881,41))</f>
        <v>0</v>
      </c>
    </row>
    <row r="883" spans="1:41">
      <c r="I883" t="s">
        <v>14</v>
      </c>
      <c r="AO883">
        <f>sum(j883:an883)</f>
        <v>0</v>
      </c>
    </row>
    <row r="884" spans="1:41">
      <c r="I884" t="s">
        <v>15</v>
      </c>
      <c r="J884">
        <f>sumif(Plan!B:B,"261-000000-126",Plan!j:j)</f>
        <v>0</v>
      </c>
      <c r="K884">
        <f>sumif(Plan!B:B,"261-000000-126",Plan!k:k)</f>
        <v>0</v>
      </c>
      <c r="L884">
        <f>sumif(Plan!B:B,"261-000000-126",Plan!l:l)</f>
        <v>0</v>
      </c>
      <c r="M884">
        <f>sumif(Plan!B:B,"261-000000-126",Plan!m:m)</f>
        <v>0</v>
      </c>
      <c r="N884">
        <f>sumif(Plan!B:B,"261-000000-126",Plan!n:n)</f>
        <v>0</v>
      </c>
      <c r="O884">
        <f>sumif(Plan!B:B,"261-000000-126",Plan!o:o)</f>
        <v>0</v>
      </c>
      <c r="P884">
        <f>sumif(Plan!B:B,"261-000000-126",Plan!p:p)</f>
        <v>0</v>
      </c>
      <c r="Q884">
        <f>sumif(Plan!B:B,"261-000000-126",Plan!q:q)</f>
        <v>0</v>
      </c>
      <c r="R884">
        <f>sumif(Plan!B:B,"261-000000-126",Plan!r:r)</f>
        <v>0</v>
      </c>
      <c r="S884">
        <f>sumif(Plan!B:B,"261-000000-126",Plan!s:s)</f>
        <v>0</v>
      </c>
      <c r="T884">
        <f>sumif(Plan!B:B,"261-000000-126",Plan!t:t)</f>
        <v>0</v>
      </c>
      <c r="U884">
        <f>sumif(Plan!B:B,"261-000000-126",Plan!u:u)</f>
        <v>0</v>
      </c>
      <c r="V884">
        <f>sumif(Plan!B:B,"261-000000-126",Plan!v:v)</f>
        <v>0</v>
      </c>
      <c r="W884">
        <f>sumif(Plan!B:B,"261-000000-126",Plan!w:w)</f>
        <v>0</v>
      </c>
      <c r="X884">
        <f>sumif(Plan!B:B,"261-000000-126",Plan!x:x)</f>
        <v>0</v>
      </c>
      <c r="Y884">
        <f>sumif(Plan!B:B,"261-000000-126",Plan!y:y)</f>
        <v>0</v>
      </c>
      <c r="Z884">
        <f>sumif(Plan!B:B,"261-000000-126",Plan!z:z)</f>
        <v>0</v>
      </c>
      <c r="AA884">
        <f>sumif(Plan!B:B,"261-000000-126",Plan!aa:aa)</f>
        <v>0</v>
      </c>
      <c r="AB884">
        <f>sumif(Plan!B:B,"261-000000-126",Plan!ab:ab)</f>
        <v>0</v>
      </c>
      <c r="AC884">
        <f>sumif(Plan!B:B,"261-000000-126",Plan!ac:ac)</f>
        <v>0</v>
      </c>
      <c r="AD884">
        <f>sumif(Plan!B:B,"261-000000-126",Plan!ad:ad)</f>
        <v>0</v>
      </c>
      <c r="AE884">
        <f>sumif(Plan!B:B,"261-000000-126",Plan!ae:ae)</f>
        <v>0</v>
      </c>
      <c r="AF884">
        <f>sumif(Plan!B:B,"261-000000-126",Plan!af:af)</f>
        <v>0</v>
      </c>
      <c r="AG884">
        <f>sumif(Plan!B:B,"261-000000-126",Plan!ag:ag)</f>
        <v>0</v>
      </c>
      <c r="AH884">
        <f>sumif(Plan!B:B,"261-000000-126",Plan!ah:ah)</f>
        <v>0</v>
      </c>
      <c r="AI884">
        <f>sumif(Plan!B:B,"261-000000-126",Plan!ai:ai)</f>
        <v>0</v>
      </c>
      <c r="AJ884">
        <f>sumif(Plan!B:B,"261-000000-126",Plan!aj:aj)</f>
        <v>0</v>
      </c>
      <c r="AK884">
        <f>sumif(Plan!B:B,"261-000000-126",Plan!ak:ak)</f>
        <v>0</v>
      </c>
      <c r="AL884">
        <f>sumif(Plan!B:B,"261-000000-126",Plan!al:al)</f>
        <v>0</v>
      </c>
      <c r="AM884">
        <f>sumif(Plan!B:B,"261-000000-126",Plan!am:am)</f>
        <v>0</v>
      </c>
      <c r="AN884">
        <f>sumif(Plan!B:B,"261-000000-126",Plan!an:an)</f>
        <v>0</v>
      </c>
      <c r="AO884">
        <f>sumif(Plan!B:B,"261-000000-126",Plan!ao:ao)</f>
        <v>0</v>
      </c>
    </row>
    <row r="885" spans="1:41">
      <c r="A885" t="s">
        <v>22</v>
      </c>
      <c r="B885" t="s">
        <v>590</v>
      </c>
      <c r="C885" t="s">
        <v>591</v>
      </c>
      <c r="E885">
        <v>1</v>
      </c>
      <c r="F885" t="s">
        <v>13</v>
      </c>
      <c r="H885" t="s">
        <v>16</v>
      </c>
      <c r="J885">
        <f>indirect(address(885,9))+indirect(address(883,10))-indirect(address(884,10))</f>
        <v>0</v>
      </c>
      <c r="K885">
        <f>indirect(address(885,10))+indirect(address(883,11))-indirect(address(884,11))</f>
        <v>0</v>
      </c>
      <c r="L885">
        <f>indirect(address(885,11))+indirect(address(883,12))-indirect(address(884,12))</f>
        <v>0</v>
      </c>
      <c r="M885">
        <f>indirect(address(885,12))+indirect(address(883,13))-indirect(address(884,13))</f>
        <v>0</v>
      </c>
      <c r="N885">
        <f>indirect(address(885,13))+indirect(address(883,14))-indirect(address(884,14))</f>
        <v>0</v>
      </c>
      <c r="O885">
        <f>indirect(address(885,14))+indirect(address(883,15))-indirect(address(884,15))</f>
        <v>0</v>
      </c>
      <c r="P885">
        <f>indirect(address(885,15))+indirect(address(883,16))-indirect(address(884,16))</f>
        <v>0</v>
      </c>
      <c r="Q885">
        <f>indirect(address(885,16))+indirect(address(883,17))-indirect(address(884,17))</f>
        <v>0</v>
      </c>
      <c r="R885">
        <f>indirect(address(885,17))+indirect(address(883,18))-indirect(address(884,18))</f>
        <v>0</v>
      </c>
      <c r="S885">
        <f>indirect(address(885,18))+indirect(address(883,19))-indirect(address(884,19))</f>
        <v>0</v>
      </c>
      <c r="T885">
        <f>indirect(address(885,19))+indirect(address(883,20))-indirect(address(884,20))</f>
        <v>0</v>
      </c>
      <c r="U885">
        <f>indirect(address(885,20))+indirect(address(883,21))-indirect(address(884,21))</f>
        <v>0</v>
      </c>
      <c r="V885">
        <f>indirect(address(885,21))+indirect(address(883,22))-indirect(address(884,22))</f>
        <v>0</v>
      </c>
      <c r="W885">
        <f>indirect(address(885,22))+indirect(address(883,23))-indirect(address(884,23))</f>
        <v>0</v>
      </c>
      <c r="X885">
        <f>indirect(address(885,23))+indirect(address(883,24))-indirect(address(884,24))</f>
        <v>0</v>
      </c>
      <c r="Y885">
        <f>indirect(address(885,24))+indirect(address(883,25))-indirect(address(884,25))</f>
        <v>0</v>
      </c>
      <c r="Z885">
        <f>indirect(address(885,25))+indirect(address(883,26))-indirect(address(884,26))</f>
        <v>0</v>
      </c>
      <c r="AA885">
        <f>indirect(address(885,26))+indirect(address(883,27))-indirect(address(884,27))</f>
        <v>0</v>
      </c>
      <c r="AB885">
        <f>indirect(address(885,27))+indirect(address(883,28))-indirect(address(884,28))</f>
        <v>0</v>
      </c>
      <c r="AC885">
        <f>indirect(address(885,28))+indirect(address(883,29))-indirect(address(884,29))</f>
        <v>0</v>
      </c>
      <c r="AD885">
        <f>indirect(address(885,29))+indirect(address(883,30))-indirect(address(884,30))</f>
        <v>0</v>
      </c>
      <c r="AE885">
        <f>indirect(address(885,30))+indirect(address(883,31))-indirect(address(884,31))</f>
        <v>0</v>
      </c>
      <c r="AF885">
        <f>indirect(address(885,31))+indirect(address(883,32))-indirect(address(884,32))</f>
        <v>0</v>
      </c>
      <c r="AG885">
        <f>indirect(address(885,32))+indirect(address(883,33))-indirect(address(884,33))</f>
        <v>0</v>
      </c>
      <c r="AH885">
        <f>indirect(address(885,33))+indirect(address(883,34))-indirect(address(884,34))</f>
        <v>0</v>
      </c>
      <c r="AI885">
        <f>indirect(address(885,34))+indirect(address(883,35))-indirect(address(884,35))</f>
        <v>0</v>
      </c>
      <c r="AJ885">
        <f>indirect(address(885,35))+indirect(address(883,36))-indirect(address(884,36))</f>
        <v>0</v>
      </c>
      <c r="AK885">
        <f>indirect(address(885,36))+indirect(address(883,37))-indirect(address(884,37))</f>
        <v>0</v>
      </c>
      <c r="AL885">
        <f>indirect(address(885,37))+indirect(address(883,38))-indirect(address(884,38))</f>
        <v>0</v>
      </c>
      <c r="AM885">
        <f>indirect(address(885,38))+indirect(address(883,39))-indirect(address(884,39))</f>
        <v>0</v>
      </c>
      <c r="AN885">
        <f>indirect(address(885,39))+indirect(address(883,40))-indirect(address(884,40))</f>
        <v>0</v>
      </c>
      <c r="AO885">
        <f>indirect(address(885,40))+indirect(address(883,41))-indirect(address(884,41))</f>
        <v>0</v>
      </c>
    </row>
    <row r="886" spans="1:41">
      <c r="I886" t="s">
        <v>14</v>
      </c>
      <c r="AO886">
        <f>sum(j886:an886)</f>
        <v>0</v>
      </c>
    </row>
    <row r="887" spans="1:41">
      <c r="I887" t="s">
        <v>15</v>
      </c>
      <c r="J887">
        <f>sumif(Plan!B:B,"261-006000-108",Plan!j:j)</f>
        <v>0</v>
      </c>
      <c r="K887">
        <f>sumif(Plan!B:B,"261-006000-108",Plan!k:k)</f>
        <v>0</v>
      </c>
      <c r="L887">
        <f>sumif(Plan!B:B,"261-006000-108",Plan!l:l)</f>
        <v>0</v>
      </c>
      <c r="M887">
        <f>sumif(Plan!B:B,"261-006000-108",Plan!m:m)</f>
        <v>0</v>
      </c>
      <c r="N887">
        <f>sumif(Plan!B:B,"261-006000-108",Plan!n:n)</f>
        <v>0</v>
      </c>
      <c r="O887">
        <f>sumif(Plan!B:B,"261-006000-108",Plan!o:o)</f>
        <v>0</v>
      </c>
      <c r="P887">
        <f>sumif(Plan!B:B,"261-006000-108",Plan!p:p)</f>
        <v>0</v>
      </c>
      <c r="Q887">
        <f>sumif(Plan!B:B,"261-006000-108",Plan!q:q)</f>
        <v>0</v>
      </c>
      <c r="R887">
        <f>sumif(Plan!B:B,"261-006000-108",Plan!r:r)</f>
        <v>0</v>
      </c>
      <c r="S887">
        <f>sumif(Plan!B:B,"261-006000-108",Plan!s:s)</f>
        <v>0</v>
      </c>
      <c r="T887">
        <f>sumif(Plan!B:B,"261-006000-108",Plan!t:t)</f>
        <v>0</v>
      </c>
      <c r="U887">
        <f>sumif(Plan!B:B,"261-006000-108",Plan!u:u)</f>
        <v>0</v>
      </c>
      <c r="V887">
        <f>sumif(Plan!B:B,"261-006000-108",Plan!v:v)</f>
        <v>0</v>
      </c>
      <c r="W887">
        <f>sumif(Plan!B:B,"261-006000-108",Plan!w:w)</f>
        <v>0</v>
      </c>
      <c r="X887">
        <f>sumif(Plan!B:B,"261-006000-108",Plan!x:x)</f>
        <v>0</v>
      </c>
      <c r="Y887">
        <f>sumif(Plan!B:B,"261-006000-108",Plan!y:y)</f>
        <v>0</v>
      </c>
      <c r="Z887">
        <f>sumif(Plan!B:B,"261-006000-108",Plan!z:z)</f>
        <v>0</v>
      </c>
      <c r="AA887">
        <f>sumif(Plan!B:B,"261-006000-108",Plan!aa:aa)</f>
        <v>0</v>
      </c>
      <c r="AB887">
        <f>sumif(Plan!B:B,"261-006000-108",Plan!ab:ab)</f>
        <v>0</v>
      </c>
      <c r="AC887">
        <f>sumif(Plan!B:B,"261-006000-108",Plan!ac:ac)</f>
        <v>0</v>
      </c>
      <c r="AD887">
        <f>sumif(Plan!B:B,"261-006000-108",Plan!ad:ad)</f>
        <v>0</v>
      </c>
      <c r="AE887">
        <f>sumif(Plan!B:B,"261-006000-108",Plan!ae:ae)</f>
        <v>0</v>
      </c>
      <c r="AF887">
        <f>sumif(Plan!B:B,"261-006000-108",Plan!af:af)</f>
        <v>0</v>
      </c>
      <c r="AG887">
        <f>sumif(Plan!B:B,"261-006000-108",Plan!ag:ag)</f>
        <v>0</v>
      </c>
      <c r="AH887">
        <f>sumif(Plan!B:B,"261-006000-108",Plan!ah:ah)</f>
        <v>0</v>
      </c>
      <c r="AI887">
        <f>sumif(Plan!B:B,"261-006000-108",Plan!ai:ai)</f>
        <v>0</v>
      </c>
      <c r="AJ887">
        <f>sumif(Plan!B:B,"261-006000-108",Plan!aj:aj)</f>
        <v>0</v>
      </c>
      <c r="AK887">
        <f>sumif(Plan!B:B,"261-006000-108",Plan!ak:ak)</f>
        <v>0</v>
      </c>
      <c r="AL887">
        <f>sumif(Plan!B:B,"261-006000-108",Plan!al:al)</f>
        <v>0</v>
      </c>
      <c r="AM887">
        <f>sumif(Plan!B:B,"261-006000-108",Plan!am:am)</f>
        <v>0</v>
      </c>
      <c r="AN887">
        <f>sumif(Plan!B:B,"261-006000-108",Plan!an:an)</f>
        <v>0</v>
      </c>
      <c r="AO887">
        <f>sumif(Plan!B:B,"261-006000-108",Plan!ao:ao)</f>
        <v>0</v>
      </c>
    </row>
    <row r="888" spans="1:41">
      <c r="A888" t="s">
        <v>22</v>
      </c>
      <c r="B888" t="s">
        <v>592</v>
      </c>
      <c r="C888" t="s">
        <v>593</v>
      </c>
      <c r="E888">
        <v>1</v>
      </c>
      <c r="F888" t="s">
        <v>13</v>
      </c>
      <c r="H888" t="s">
        <v>16</v>
      </c>
      <c r="J888">
        <f>indirect(address(888,9))+indirect(address(886,10))-indirect(address(887,10))</f>
        <v>0</v>
      </c>
      <c r="K888">
        <f>indirect(address(888,10))+indirect(address(886,11))-indirect(address(887,11))</f>
        <v>0</v>
      </c>
      <c r="L888">
        <f>indirect(address(888,11))+indirect(address(886,12))-indirect(address(887,12))</f>
        <v>0</v>
      </c>
      <c r="M888">
        <f>indirect(address(888,12))+indirect(address(886,13))-indirect(address(887,13))</f>
        <v>0</v>
      </c>
      <c r="N888">
        <f>indirect(address(888,13))+indirect(address(886,14))-indirect(address(887,14))</f>
        <v>0</v>
      </c>
      <c r="O888">
        <f>indirect(address(888,14))+indirect(address(886,15))-indirect(address(887,15))</f>
        <v>0</v>
      </c>
      <c r="P888">
        <f>indirect(address(888,15))+indirect(address(886,16))-indirect(address(887,16))</f>
        <v>0</v>
      </c>
      <c r="Q888">
        <f>indirect(address(888,16))+indirect(address(886,17))-indirect(address(887,17))</f>
        <v>0</v>
      </c>
      <c r="R888">
        <f>indirect(address(888,17))+indirect(address(886,18))-indirect(address(887,18))</f>
        <v>0</v>
      </c>
      <c r="S888">
        <f>indirect(address(888,18))+indirect(address(886,19))-indirect(address(887,19))</f>
        <v>0</v>
      </c>
      <c r="T888">
        <f>indirect(address(888,19))+indirect(address(886,20))-indirect(address(887,20))</f>
        <v>0</v>
      </c>
      <c r="U888">
        <f>indirect(address(888,20))+indirect(address(886,21))-indirect(address(887,21))</f>
        <v>0</v>
      </c>
      <c r="V888">
        <f>indirect(address(888,21))+indirect(address(886,22))-indirect(address(887,22))</f>
        <v>0</v>
      </c>
      <c r="W888">
        <f>indirect(address(888,22))+indirect(address(886,23))-indirect(address(887,23))</f>
        <v>0</v>
      </c>
      <c r="X888">
        <f>indirect(address(888,23))+indirect(address(886,24))-indirect(address(887,24))</f>
        <v>0</v>
      </c>
      <c r="Y888">
        <f>indirect(address(888,24))+indirect(address(886,25))-indirect(address(887,25))</f>
        <v>0</v>
      </c>
      <c r="Z888">
        <f>indirect(address(888,25))+indirect(address(886,26))-indirect(address(887,26))</f>
        <v>0</v>
      </c>
      <c r="AA888">
        <f>indirect(address(888,26))+indirect(address(886,27))-indirect(address(887,27))</f>
        <v>0</v>
      </c>
      <c r="AB888">
        <f>indirect(address(888,27))+indirect(address(886,28))-indirect(address(887,28))</f>
        <v>0</v>
      </c>
      <c r="AC888">
        <f>indirect(address(888,28))+indirect(address(886,29))-indirect(address(887,29))</f>
        <v>0</v>
      </c>
      <c r="AD888">
        <f>indirect(address(888,29))+indirect(address(886,30))-indirect(address(887,30))</f>
        <v>0</v>
      </c>
      <c r="AE888">
        <f>indirect(address(888,30))+indirect(address(886,31))-indirect(address(887,31))</f>
        <v>0</v>
      </c>
      <c r="AF888">
        <f>indirect(address(888,31))+indirect(address(886,32))-indirect(address(887,32))</f>
        <v>0</v>
      </c>
      <c r="AG888">
        <f>indirect(address(888,32))+indirect(address(886,33))-indirect(address(887,33))</f>
        <v>0</v>
      </c>
      <c r="AH888">
        <f>indirect(address(888,33))+indirect(address(886,34))-indirect(address(887,34))</f>
        <v>0</v>
      </c>
      <c r="AI888">
        <f>indirect(address(888,34))+indirect(address(886,35))-indirect(address(887,35))</f>
        <v>0</v>
      </c>
      <c r="AJ888">
        <f>indirect(address(888,35))+indirect(address(886,36))-indirect(address(887,36))</f>
        <v>0</v>
      </c>
      <c r="AK888">
        <f>indirect(address(888,36))+indirect(address(886,37))-indirect(address(887,37))</f>
        <v>0</v>
      </c>
      <c r="AL888">
        <f>indirect(address(888,37))+indirect(address(886,38))-indirect(address(887,38))</f>
        <v>0</v>
      </c>
      <c r="AM888">
        <f>indirect(address(888,38))+indirect(address(886,39))-indirect(address(887,39))</f>
        <v>0</v>
      </c>
      <c r="AN888">
        <f>indirect(address(888,39))+indirect(address(886,40))-indirect(address(887,40))</f>
        <v>0</v>
      </c>
      <c r="AO888">
        <f>indirect(address(888,40))+indirect(address(886,41))-indirect(address(887,41))</f>
        <v>0</v>
      </c>
    </row>
    <row r="889" spans="1:41">
      <c r="I889" t="s">
        <v>14</v>
      </c>
      <c r="AO889">
        <f>sum(j889:an889)</f>
        <v>0</v>
      </c>
    </row>
    <row r="890" spans="1:41">
      <c r="I890" t="s">
        <v>15</v>
      </c>
      <c r="J890">
        <f>sumif(Plan!B:B,"261-006800-108",Plan!j:j)</f>
        <v>0</v>
      </c>
      <c r="K890">
        <f>sumif(Plan!B:B,"261-006800-108",Plan!k:k)</f>
        <v>0</v>
      </c>
      <c r="L890">
        <f>sumif(Plan!B:B,"261-006800-108",Plan!l:l)</f>
        <v>0</v>
      </c>
      <c r="M890">
        <f>sumif(Plan!B:B,"261-006800-108",Plan!m:m)</f>
        <v>0</v>
      </c>
      <c r="N890">
        <f>sumif(Plan!B:B,"261-006800-108",Plan!n:n)</f>
        <v>0</v>
      </c>
      <c r="O890">
        <f>sumif(Plan!B:B,"261-006800-108",Plan!o:o)</f>
        <v>0</v>
      </c>
      <c r="P890">
        <f>sumif(Plan!B:B,"261-006800-108",Plan!p:p)</f>
        <v>0</v>
      </c>
      <c r="Q890">
        <f>sumif(Plan!B:B,"261-006800-108",Plan!q:q)</f>
        <v>0</v>
      </c>
      <c r="R890">
        <f>sumif(Plan!B:B,"261-006800-108",Plan!r:r)</f>
        <v>0</v>
      </c>
      <c r="S890">
        <f>sumif(Plan!B:B,"261-006800-108",Plan!s:s)</f>
        <v>0</v>
      </c>
      <c r="T890">
        <f>sumif(Plan!B:B,"261-006800-108",Plan!t:t)</f>
        <v>0</v>
      </c>
      <c r="U890">
        <f>sumif(Plan!B:B,"261-006800-108",Plan!u:u)</f>
        <v>0</v>
      </c>
      <c r="V890">
        <f>sumif(Plan!B:B,"261-006800-108",Plan!v:v)</f>
        <v>0</v>
      </c>
      <c r="W890">
        <f>sumif(Plan!B:B,"261-006800-108",Plan!w:w)</f>
        <v>0</v>
      </c>
      <c r="X890">
        <f>sumif(Plan!B:B,"261-006800-108",Plan!x:x)</f>
        <v>0</v>
      </c>
      <c r="Y890">
        <f>sumif(Plan!B:B,"261-006800-108",Plan!y:y)</f>
        <v>0</v>
      </c>
      <c r="Z890">
        <f>sumif(Plan!B:B,"261-006800-108",Plan!z:z)</f>
        <v>0</v>
      </c>
      <c r="AA890">
        <f>sumif(Plan!B:B,"261-006800-108",Plan!aa:aa)</f>
        <v>0</v>
      </c>
      <c r="AB890">
        <f>sumif(Plan!B:B,"261-006800-108",Plan!ab:ab)</f>
        <v>0</v>
      </c>
      <c r="AC890">
        <f>sumif(Plan!B:B,"261-006800-108",Plan!ac:ac)</f>
        <v>0</v>
      </c>
      <c r="AD890">
        <f>sumif(Plan!B:B,"261-006800-108",Plan!ad:ad)</f>
        <v>0</v>
      </c>
      <c r="AE890">
        <f>sumif(Plan!B:B,"261-006800-108",Plan!ae:ae)</f>
        <v>0</v>
      </c>
      <c r="AF890">
        <f>sumif(Plan!B:B,"261-006800-108",Plan!af:af)</f>
        <v>0</v>
      </c>
      <c r="AG890">
        <f>sumif(Plan!B:B,"261-006800-108",Plan!ag:ag)</f>
        <v>0</v>
      </c>
      <c r="AH890">
        <f>sumif(Plan!B:B,"261-006800-108",Plan!ah:ah)</f>
        <v>0</v>
      </c>
      <c r="AI890">
        <f>sumif(Plan!B:B,"261-006800-108",Plan!ai:ai)</f>
        <v>0</v>
      </c>
      <c r="AJ890">
        <f>sumif(Plan!B:B,"261-006800-108",Plan!aj:aj)</f>
        <v>0</v>
      </c>
      <c r="AK890">
        <f>sumif(Plan!B:B,"261-006800-108",Plan!ak:ak)</f>
        <v>0</v>
      </c>
      <c r="AL890">
        <f>sumif(Plan!B:B,"261-006800-108",Plan!al:al)</f>
        <v>0</v>
      </c>
      <c r="AM890">
        <f>sumif(Plan!B:B,"261-006800-108",Plan!am:am)</f>
        <v>0</v>
      </c>
      <c r="AN890">
        <f>sumif(Plan!B:B,"261-006800-108",Plan!an:an)</f>
        <v>0</v>
      </c>
      <c r="AO890">
        <f>sumif(Plan!B:B,"261-006800-108",Plan!ao:ao)</f>
        <v>0</v>
      </c>
    </row>
    <row r="891" spans="1:41">
      <c r="A891" t="s">
        <v>22</v>
      </c>
      <c r="B891" t="s">
        <v>594</v>
      </c>
      <c r="C891" t="s">
        <v>595</v>
      </c>
      <c r="E891">
        <v>1</v>
      </c>
      <c r="F891" t="s">
        <v>13</v>
      </c>
      <c r="H891" t="s">
        <v>16</v>
      </c>
      <c r="J891">
        <f>indirect(address(891,9))+indirect(address(889,10))-indirect(address(890,10))</f>
        <v>0</v>
      </c>
      <c r="K891">
        <f>indirect(address(891,10))+indirect(address(889,11))-indirect(address(890,11))</f>
        <v>0</v>
      </c>
      <c r="L891">
        <f>indirect(address(891,11))+indirect(address(889,12))-indirect(address(890,12))</f>
        <v>0</v>
      </c>
      <c r="M891">
        <f>indirect(address(891,12))+indirect(address(889,13))-indirect(address(890,13))</f>
        <v>0</v>
      </c>
      <c r="N891">
        <f>indirect(address(891,13))+indirect(address(889,14))-indirect(address(890,14))</f>
        <v>0</v>
      </c>
      <c r="O891">
        <f>indirect(address(891,14))+indirect(address(889,15))-indirect(address(890,15))</f>
        <v>0</v>
      </c>
      <c r="P891">
        <f>indirect(address(891,15))+indirect(address(889,16))-indirect(address(890,16))</f>
        <v>0</v>
      </c>
      <c r="Q891">
        <f>indirect(address(891,16))+indirect(address(889,17))-indirect(address(890,17))</f>
        <v>0</v>
      </c>
      <c r="R891">
        <f>indirect(address(891,17))+indirect(address(889,18))-indirect(address(890,18))</f>
        <v>0</v>
      </c>
      <c r="S891">
        <f>indirect(address(891,18))+indirect(address(889,19))-indirect(address(890,19))</f>
        <v>0</v>
      </c>
      <c r="T891">
        <f>indirect(address(891,19))+indirect(address(889,20))-indirect(address(890,20))</f>
        <v>0</v>
      </c>
      <c r="U891">
        <f>indirect(address(891,20))+indirect(address(889,21))-indirect(address(890,21))</f>
        <v>0</v>
      </c>
      <c r="V891">
        <f>indirect(address(891,21))+indirect(address(889,22))-indirect(address(890,22))</f>
        <v>0</v>
      </c>
      <c r="W891">
        <f>indirect(address(891,22))+indirect(address(889,23))-indirect(address(890,23))</f>
        <v>0</v>
      </c>
      <c r="X891">
        <f>indirect(address(891,23))+indirect(address(889,24))-indirect(address(890,24))</f>
        <v>0</v>
      </c>
      <c r="Y891">
        <f>indirect(address(891,24))+indirect(address(889,25))-indirect(address(890,25))</f>
        <v>0</v>
      </c>
      <c r="Z891">
        <f>indirect(address(891,25))+indirect(address(889,26))-indirect(address(890,26))</f>
        <v>0</v>
      </c>
      <c r="AA891">
        <f>indirect(address(891,26))+indirect(address(889,27))-indirect(address(890,27))</f>
        <v>0</v>
      </c>
      <c r="AB891">
        <f>indirect(address(891,27))+indirect(address(889,28))-indirect(address(890,28))</f>
        <v>0</v>
      </c>
      <c r="AC891">
        <f>indirect(address(891,28))+indirect(address(889,29))-indirect(address(890,29))</f>
        <v>0</v>
      </c>
      <c r="AD891">
        <f>indirect(address(891,29))+indirect(address(889,30))-indirect(address(890,30))</f>
        <v>0</v>
      </c>
      <c r="AE891">
        <f>indirect(address(891,30))+indirect(address(889,31))-indirect(address(890,31))</f>
        <v>0</v>
      </c>
      <c r="AF891">
        <f>indirect(address(891,31))+indirect(address(889,32))-indirect(address(890,32))</f>
        <v>0</v>
      </c>
      <c r="AG891">
        <f>indirect(address(891,32))+indirect(address(889,33))-indirect(address(890,33))</f>
        <v>0</v>
      </c>
      <c r="AH891">
        <f>indirect(address(891,33))+indirect(address(889,34))-indirect(address(890,34))</f>
        <v>0</v>
      </c>
      <c r="AI891">
        <f>indirect(address(891,34))+indirect(address(889,35))-indirect(address(890,35))</f>
        <v>0</v>
      </c>
      <c r="AJ891">
        <f>indirect(address(891,35))+indirect(address(889,36))-indirect(address(890,36))</f>
        <v>0</v>
      </c>
      <c r="AK891">
        <f>indirect(address(891,36))+indirect(address(889,37))-indirect(address(890,37))</f>
        <v>0</v>
      </c>
      <c r="AL891">
        <f>indirect(address(891,37))+indirect(address(889,38))-indirect(address(890,38))</f>
        <v>0</v>
      </c>
      <c r="AM891">
        <f>indirect(address(891,38))+indirect(address(889,39))-indirect(address(890,39))</f>
        <v>0</v>
      </c>
      <c r="AN891">
        <f>indirect(address(891,39))+indirect(address(889,40))-indirect(address(890,40))</f>
        <v>0</v>
      </c>
      <c r="AO891">
        <f>indirect(address(891,40))+indirect(address(889,41))-indirect(address(890,41))</f>
        <v>0</v>
      </c>
    </row>
    <row r="892" spans="1:41">
      <c r="I892" t="s">
        <v>14</v>
      </c>
      <c r="AO892">
        <f>sum(j892:an892)</f>
        <v>0</v>
      </c>
    </row>
    <row r="893" spans="1:41">
      <c r="I893" t="s">
        <v>15</v>
      </c>
      <c r="J893">
        <f>sumif(Plan!B:B,"261-000300-108",Plan!j:j)</f>
        <v>0</v>
      </c>
      <c r="K893">
        <f>sumif(Plan!B:B,"261-000300-108",Plan!k:k)</f>
        <v>0</v>
      </c>
      <c r="L893">
        <f>sumif(Plan!B:B,"261-000300-108",Plan!l:l)</f>
        <v>0</v>
      </c>
      <c r="M893">
        <f>sumif(Plan!B:B,"261-000300-108",Plan!m:m)</f>
        <v>0</v>
      </c>
      <c r="N893">
        <f>sumif(Plan!B:B,"261-000300-108",Plan!n:n)</f>
        <v>0</v>
      </c>
      <c r="O893">
        <f>sumif(Plan!B:B,"261-000300-108",Plan!o:o)</f>
        <v>0</v>
      </c>
      <c r="P893">
        <f>sumif(Plan!B:B,"261-000300-108",Plan!p:p)</f>
        <v>0</v>
      </c>
      <c r="Q893">
        <f>sumif(Plan!B:B,"261-000300-108",Plan!q:q)</f>
        <v>0</v>
      </c>
      <c r="R893">
        <f>sumif(Plan!B:B,"261-000300-108",Plan!r:r)</f>
        <v>0</v>
      </c>
      <c r="S893">
        <f>sumif(Plan!B:B,"261-000300-108",Plan!s:s)</f>
        <v>0</v>
      </c>
      <c r="T893">
        <f>sumif(Plan!B:B,"261-000300-108",Plan!t:t)</f>
        <v>0</v>
      </c>
      <c r="U893">
        <f>sumif(Plan!B:B,"261-000300-108",Plan!u:u)</f>
        <v>0</v>
      </c>
      <c r="V893">
        <f>sumif(Plan!B:B,"261-000300-108",Plan!v:v)</f>
        <v>0</v>
      </c>
      <c r="W893">
        <f>sumif(Plan!B:B,"261-000300-108",Plan!w:w)</f>
        <v>0</v>
      </c>
      <c r="X893">
        <f>sumif(Plan!B:B,"261-000300-108",Plan!x:x)</f>
        <v>0</v>
      </c>
      <c r="Y893">
        <f>sumif(Plan!B:B,"261-000300-108",Plan!y:y)</f>
        <v>0</v>
      </c>
      <c r="Z893">
        <f>sumif(Plan!B:B,"261-000300-108",Plan!z:z)</f>
        <v>0</v>
      </c>
      <c r="AA893">
        <f>sumif(Plan!B:B,"261-000300-108",Plan!aa:aa)</f>
        <v>0</v>
      </c>
      <c r="AB893">
        <f>sumif(Plan!B:B,"261-000300-108",Plan!ab:ab)</f>
        <v>0</v>
      </c>
      <c r="AC893">
        <f>sumif(Plan!B:B,"261-000300-108",Plan!ac:ac)</f>
        <v>0</v>
      </c>
      <c r="AD893">
        <f>sumif(Plan!B:B,"261-000300-108",Plan!ad:ad)</f>
        <v>0</v>
      </c>
      <c r="AE893">
        <f>sumif(Plan!B:B,"261-000300-108",Plan!ae:ae)</f>
        <v>0</v>
      </c>
      <c r="AF893">
        <f>sumif(Plan!B:B,"261-000300-108",Plan!af:af)</f>
        <v>0</v>
      </c>
      <c r="AG893">
        <f>sumif(Plan!B:B,"261-000300-108",Plan!ag:ag)</f>
        <v>0</v>
      </c>
      <c r="AH893">
        <f>sumif(Plan!B:B,"261-000300-108",Plan!ah:ah)</f>
        <v>0</v>
      </c>
      <c r="AI893">
        <f>sumif(Plan!B:B,"261-000300-108",Plan!ai:ai)</f>
        <v>0</v>
      </c>
      <c r="AJ893">
        <f>sumif(Plan!B:B,"261-000300-108",Plan!aj:aj)</f>
        <v>0</v>
      </c>
      <c r="AK893">
        <f>sumif(Plan!B:B,"261-000300-108",Plan!ak:ak)</f>
        <v>0</v>
      </c>
      <c r="AL893">
        <f>sumif(Plan!B:B,"261-000300-108",Plan!al:al)</f>
        <v>0</v>
      </c>
      <c r="AM893">
        <f>sumif(Plan!B:B,"261-000300-108",Plan!am:am)</f>
        <v>0</v>
      </c>
      <c r="AN893">
        <f>sumif(Plan!B:B,"261-000300-108",Plan!an:an)</f>
        <v>0</v>
      </c>
      <c r="AO893">
        <f>sumif(Plan!B:B,"261-000300-108",Plan!ao:ao)</f>
        <v>0</v>
      </c>
    </row>
    <row r="894" spans="1:41">
      <c r="A894" t="s">
        <v>22</v>
      </c>
      <c r="B894" t="s">
        <v>596</v>
      </c>
      <c r="C894" t="s">
        <v>597</v>
      </c>
      <c r="E894">
        <v>2</v>
      </c>
      <c r="F894" t="s">
        <v>13</v>
      </c>
      <c r="H894" t="s">
        <v>16</v>
      </c>
      <c r="J894">
        <f>indirect(address(894,9))+indirect(address(892,10))-indirect(address(893,10))</f>
        <v>0</v>
      </c>
      <c r="K894">
        <f>indirect(address(894,10))+indirect(address(892,11))-indirect(address(893,11))</f>
        <v>0</v>
      </c>
      <c r="L894">
        <f>indirect(address(894,11))+indirect(address(892,12))-indirect(address(893,12))</f>
        <v>0</v>
      </c>
      <c r="M894">
        <f>indirect(address(894,12))+indirect(address(892,13))-indirect(address(893,13))</f>
        <v>0</v>
      </c>
      <c r="N894">
        <f>indirect(address(894,13))+indirect(address(892,14))-indirect(address(893,14))</f>
        <v>0</v>
      </c>
      <c r="O894">
        <f>indirect(address(894,14))+indirect(address(892,15))-indirect(address(893,15))</f>
        <v>0</v>
      </c>
      <c r="P894">
        <f>indirect(address(894,15))+indirect(address(892,16))-indirect(address(893,16))</f>
        <v>0</v>
      </c>
      <c r="Q894">
        <f>indirect(address(894,16))+indirect(address(892,17))-indirect(address(893,17))</f>
        <v>0</v>
      </c>
      <c r="R894">
        <f>indirect(address(894,17))+indirect(address(892,18))-indirect(address(893,18))</f>
        <v>0</v>
      </c>
      <c r="S894">
        <f>indirect(address(894,18))+indirect(address(892,19))-indirect(address(893,19))</f>
        <v>0</v>
      </c>
      <c r="T894">
        <f>indirect(address(894,19))+indirect(address(892,20))-indirect(address(893,20))</f>
        <v>0</v>
      </c>
      <c r="U894">
        <f>indirect(address(894,20))+indirect(address(892,21))-indirect(address(893,21))</f>
        <v>0</v>
      </c>
      <c r="V894">
        <f>indirect(address(894,21))+indirect(address(892,22))-indirect(address(893,22))</f>
        <v>0</v>
      </c>
      <c r="W894">
        <f>indirect(address(894,22))+indirect(address(892,23))-indirect(address(893,23))</f>
        <v>0</v>
      </c>
      <c r="X894">
        <f>indirect(address(894,23))+indirect(address(892,24))-indirect(address(893,24))</f>
        <v>0</v>
      </c>
      <c r="Y894">
        <f>indirect(address(894,24))+indirect(address(892,25))-indirect(address(893,25))</f>
        <v>0</v>
      </c>
      <c r="Z894">
        <f>indirect(address(894,25))+indirect(address(892,26))-indirect(address(893,26))</f>
        <v>0</v>
      </c>
      <c r="AA894">
        <f>indirect(address(894,26))+indirect(address(892,27))-indirect(address(893,27))</f>
        <v>0</v>
      </c>
      <c r="AB894">
        <f>indirect(address(894,27))+indirect(address(892,28))-indirect(address(893,28))</f>
        <v>0</v>
      </c>
      <c r="AC894">
        <f>indirect(address(894,28))+indirect(address(892,29))-indirect(address(893,29))</f>
        <v>0</v>
      </c>
      <c r="AD894">
        <f>indirect(address(894,29))+indirect(address(892,30))-indirect(address(893,30))</f>
        <v>0</v>
      </c>
      <c r="AE894">
        <f>indirect(address(894,30))+indirect(address(892,31))-indirect(address(893,31))</f>
        <v>0</v>
      </c>
      <c r="AF894">
        <f>indirect(address(894,31))+indirect(address(892,32))-indirect(address(893,32))</f>
        <v>0</v>
      </c>
      <c r="AG894">
        <f>indirect(address(894,32))+indirect(address(892,33))-indirect(address(893,33))</f>
        <v>0</v>
      </c>
      <c r="AH894">
        <f>indirect(address(894,33))+indirect(address(892,34))-indirect(address(893,34))</f>
        <v>0</v>
      </c>
      <c r="AI894">
        <f>indirect(address(894,34))+indirect(address(892,35))-indirect(address(893,35))</f>
        <v>0</v>
      </c>
      <c r="AJ894">
        <f>indirect(address(894,35))+indirect(address(892,36))-indirect(address(893,36))</f>
        <v>0</v>
      </c>
      <c r="AK894">
        <f>indirect(address(894,36))+indirect(address(892,37))-indirect(address(893,37))</f>
        <v>0</v>
      </c>
      <c r="AL894">
        <f>indirect(address(894,37))+indirect(address(892,38))-indirect(address(893,38))</f>
        <v>0</v>
      </c>
      <c r="AM894">
        <f>indirect(address(894,38))+indirect(address(892,39))-indirect(address(893,39))</f>
        <v>0</v>
      </c>
      <c r="AN894">
        <f>indirect(address(894,39))+indirect(address(892,40))-indirect(address(893,40))</f>
        <v>0</v>
      </c>
      <c r="AO894">
        <f>indirect(address(894,40))+indirect(address(892,41))-indirect(address(893,41))</f>
        <v>0</v>
      </c>
    </row>
    <row r="895" spans="1:41">
      <c r="I895" t="s">
        <v>14</v>
      </c>
      <c r="AO895">
        <f>sum(j895:an895)</f>
        <v>0</v>
      </c>
    </row>
    <row r="896" spans="1:41">
      <c r="I896" t="s">
        <v>15</v>
      </c>
      <c r="J896">
        <f>sumif(Plan!B:B,"261-006300-108",Plan!j:j)</f>
        <v>0</v>
      </c>
      <c r="K896">
        <f>sumif(Plan!B:B,"261-006300-108",Plan!k:k)</f>
        <v>0</v>
      </c>
      <c r="L896">
        <f>sumif(Plan!B:B,"261-006300-108",Plan!l:l)</f>
        <v>0</v>
      </c>
      <c r="M896">
        <f>sumif(Plan!B:B,"261-006300-108",Plan!m:m)</f>
        <v>0</v>
      </c>
      <c r="N896">
        <f>sumif(Plan!B:B,"261-006300-108",Plan!n:n)</f>
        <v>0</v>
      </c>
      <c r="O896">
        <f>sumif(Plan!B:B,"261-006300-108",Plan!o:o)</f>
        <v>0</v>
      </c>
      <c r="P896">
        <f>sumif(Plan!B:B,"261-006300-108",Plan!p:p)</f>
        <v>0</v>
      </c>
      <c r="Q896">
        <f>sumif(Plan!B:B,"261-006300-108",Plan!q:q)</f>
        <v>0</v>
      </c>
      <c r="R896">
        <f>sumif(Plan!B:B,"261-006300-108",Plan!r:r)</f>
        <v>0</v>
      </c>
      <c r="S896">
        <f>sumif(Plan!B:B,"261-006300-108",Plan!s:s)</f>
        <v>0</v>
      </c>
      <c r="T896">
        <f>sumif(Plan!B:B,"261-006300-108",Plan!t:t)</f>
        <v>0</v>
      </c>
      <c r="U896">
        <f>sumif(Plan!B:B,"261-006300-108",Plan!u:u)</f>
        <v>0</v>
      </c>
      <c r="V896">
        <f>sumif(Plan!B:B,"261-006300-108",Plan!v:v)</f>
        <v>0</v>
      </c>
      <c r="W896">
        <f>sumif(Plan!B:B,"261-006300-108",Plan!w:w)</f>
        <v>0</v>
      </c>
      <c r="X896">
        <f>sumif(Plan!B:B,"261-006300-108",Plan!x:x)</f>
        <v>0</v>
      </c>
      <c r="Y896">
        <f>sumif(Plan!B:B,"261-006300-108",Plan!y:y)</f>
        <v>0</v>
      </c>
      <c r="Z896">
        <f>sumif(Plan!B:B,"261-006300-108",Plan!z:z)</f>
        <v>0</v>
      </c>
      <c r="AA896">
        <f>sumif(Plan!B:B,"261-006300-108",Plan!aa:aa)</f>
        <v>0</v>
      </c>
      <c r="AB896">
        <f>sumif(Plan!B:B,"261-006300-108",Plan!ab:ab)</f>
        <v>0</v>
      </c>
      <c r="AC896">
        <f>sumif(Plan!B:B,"261-006300-108",Plan!ac:ac)</f>
        <v>0</v>
      </c>
      <c r="AD896">
        <f>sumif(Plan!B:B,"261-006300-108",Plan!ad:ad)</f>
        <v>0</v>
      </c>
      <c r="AE896">
        <f>sumif(Plan!B:B,"261-006300-108",Plan!ae:ae)</f>
        <v>0</v>
      </c>
      <c r="AF896">
        <f>sumif(Plan!B:B,"261-006300-108",Plan!af:af)</f>
        <v>0</v>
      </c>
      <c r="AG896">
        <f>sumif(Plan!B:B,"261-006300-108",Plan!ag:ag)</f>
        <v>0</v>
      </c>
      <c r="AH896">
        <f>sumif(Plan!B:B,"261-006300-108",Plan!ah:ah)</f>
        <v>0</v>
      </c>
      <c r="AI896">
        <f>sumif(Plan!B:B,"261-006300-108",Plan!ai:ai)</f>
        <v>0</v>
      </c>
      <c r="AJ896">
        <f>sumif(Plan!B:B,"261-006300-108",Plan!aj:aj)</f>
        <v>0</v>
      </c>
      <c r="AK896">
        <f>sumif(Plan!B:B,"261-006300-108",Plan!ak:ak)</f>
        <v>0</v>
      </c>
      <c r="AL896">
        <f>sumif(Plan!B:B,"261-006300-108",Plan!al:al)</f>
        <v>0</v>
      </c>
      <c r="AM896">
        <f>sumif(Plan!B:B,"261-006300-108",Plan!am:am)</f>
        <v>0</v>
      </c>
      <c r="AN896">
        <f>sumif(Plan!B:B,"261-006300-108",Plan!an:an)</f>
        <v>0</v>
      </c>
      <c r="AO896">
        <f>sumif(Plan!B:B,"261-006300-108",Plan!ao:ao)</f>
        <v>0</v>
      </c>
    </row>
    <row r="897" spans="1:41">
      <c r="A897" t="s">
        <v>22</v>
      </c>
      <c r="B897" t="s">
        <v>598</v>
      </c>
      <c r="C897" t="s">
        <v>599</v>
      </c>
      <c r="E897">
        <v>1</v>
      </c>
      <c r="F897" t="s">
        <v>13</v>
      </c>
      <c r="H897" t="s">
        <v>16</v>
      </c>
      <c r="J897">
        <f>indirect(address(897,9))+indirect(address(895,10))-indirect(address(896,10))</f>
        <v>0</v>
      </c>
      <c r="K897">
        <f>indirect(address(897,10))+indirect(address(895,11))-indirect(address(896,11))</f>
        <v>0</v>
      </c>
      <c r="L897">
        <f>indirect(address(897,11))+indirect(address(895,12))-indirect(address(896,12))</f>
        <v>0</v>
      </c>
      <c r="M897">
        <f>indirect(address(897,12))+indirect(address(895,13))-indirect(address(896,13))</f>
        <v>0</v>
      </c>
      <c r="N897">
        <f>indirect(address(897,13))+indirect(address(895,14))-indirect(address(896,14))</f>
        <v>0</v>
      </c>
      <c r="O897">
        <f>indirect(address(897,14))+indirect(address(895,15))-indirect(address(896,15))</f>
        <v>0</v>
      </c>
      <c r="P897">
        <f>indirect(address(897,15))+indirect(address(895,16))-indirect(address(896,16))</f>
        <v>0</v>
      </c>
      <c r="Q897">
        <f>indirect(address(897,16))+indirect(address(895,17))-indirect(address(896,17))</f>
        <v>0</v>
      </c>
      <c r="R897">
        <f>indirect(address(897,17))+indirect(address(895,18))-indirect(address(896,18))</f>
        <v>0</v>
      </c>
      <c r="S897">
        <f>indirect(address(897,18))+indirect(address(895,19))-indirect(address(896,19))</f>
        <v>0</v>
      </c>
      <c r="T897">
        <f>indirect(address(897,19))+indirect(address(895,20))-indirect(address(896,20))</f>
        <v>0</v>
      </c>
      <c r="U897">
        <f>indirect(address(897,20))+indirect(address(895,21))-indirect(address(896,21))</f>
        <v>0</v>
      </c>
      <c r="V897">
        <f>indirect(address(897,21))+indirect(address(895,22))-indirect(address(896,22))</f>
        <v>0</v>
      </c>
      <c r="W897">
        <f>indirect(address(897,22))+indirect(address(895,23))-indirect(address(896,23))</f>
        <v>0</v>
      </c>
      <c r="X897">
        <f>indirect(address(897,23))+indirect(address(895,24))-indirect(address(896,24))</f>
        <v>0</v>
      </c>
      <c r="Y897">
        <f>indirect(address(897,24))+indirect(address(895,25))-indirect(address(896,25))</f>
        <v>0</v>
      </c>
      <c r="Z897">
        <f>indirect(address(897,25))+indirect(address(895,26))-indirect(address(896,26))</f>
        <v>0</v>
      </c>
      <c r="AA897">
        <f>indirect(address(897,26))+indirect(address(895,27))-indirect(address(896,27))</f>
        <v>0</v>
      </c>
      <c r="AB897">
        <f>indirect(address(897,27))+indirect(address(895,28))-indirect(address(896,28))</f>
        <v>0</v>
      </c>
      <c r="AC897">
        <f>indirect(address(897,28))+indirect(address(895,29))-indirect(address(896,29))</f>
        <v>0</v>
      </c>
      <c r="AD897">
        <f>indirect(address(897,29))+indirect(address(895,30))-indirect(address(896,30))</f>
        <v>0</v>
      </c>
      <c r="AE897">
        <f>indirect(address(897,30))+indirect(address(895,31))-indirect(address(896,31))</f>
        <v>0</v>
      </c>
      <c r="AF897">
        <f>indirect(address(897,31))+indirect(address(895,32))-indirect(address(896,32))</f>
        <v>0</v>
      </c>
      <c r="AG897">
        <f>indirect(address(897,32))+indirect(address(895,33))-indirect(address(896,33))</f>
        <v>0</v>
      </c>
      <c r="AH897">
        <f>indirect(address(897,33))+indirect(address(895,34))-indirect(address(896,34))</f>
        <v>0</v>
      </c>
      <c r="AI897">
        <f>indirect(address(897,34))+indirect(address(895,35))-indirect(address(896,35))</f>
        <v>0</v>
      </c>
      <c r="AJ897">
        <f>indirect(address(897,35))+indirect(address(895,36))-indirect(address(896,36))</f>
        <v>0</v>
      </c>
      <c r="AK897">
        <f>indirect(address(897,36))+indirect(address(895,37))-indirect(address(896,37))</f>
        <v>0</v>
      </c>
      <c r="AL897">
        <f>indirect(address(897,37))+indirect(address(895,38))-indirect(address(896,38))</f>
        <v>0</v>
      </c>
      <c r="AM897">
        <f>indirect(address(897,38))+indirect(address(895,39))-indirect(address(896,39))</f>
        <v>0</v>
      </c>
      <c r="AN897">
        <f>indirect(address(897,39))+indirect(address(895,40))-indirect(address(896,40))</f>
        <v>0</v>
      </c>
      <c r="AO897">
        <f>indirect(address(897,40))+indirect(address(895,41))-indirect(address(896,41))</f>
        <v>0</v>
      </c>
    </row>
    <row r="898" spans="1:41">
      <c r="I898" t="s">
        <v>14</v>
      </c>
      <c r="AO898">
        <f>sum(j898:an898)</f>
        <v>0</v>
      </c>
    </row>
    <row r="899" spans="1:41">
      <c r="I899" t="s">
        <v>15</v>
      </c>
      <c r="J899">
        <f>sumif(Plan!B:B,"806-424348-110",Plan!j:j)</f>
        <v>0</v>
      </c>
      <c r="K899">
        <f>sumif(Plan!B:B,"806-424348-110",Plan!k:k)</f>
        <v>0</v>
      </c>
      <c r="L899">
        <f>sumif(Plan!B:B,"806-424348-110",Plan!l:l)</f>
        <v>0</v>
      </c>
      <c r="M899">
        <f>sumif(Plan!B:B,"806-424348-110",Plan!m:m)</f>
        <v>0</v>
      </c>
      <c r="N899">
        <f>sumif(Plan!B:B,"806-424348-110",Plan!n:n)</f>
        <v>0</v>
      </c>
      <c r="O899">
        <f>sumif(Plan!B:B,"806-424348-110",Plan!o:o)</f>
        <v>0</v>
      </c>
      <c r="P899">
        <f>sumif(Plan!B:B,"806-424348-110",Plan!p:p)</f>
        <v>0</v>
      </c>
      <c r="Q899">
        <f>sumif(Plan!B:B,"806-424348-110",Plan!q:q)</f>
        <v>0</v>
      </c>
      <c r="R899">
        <f>sumif(Plan!B:B,"806-424348-110",Plan!r:r)</f>
        <v>0</v>
      </c>
      <c r="S899">
        <f>sumif(Plan!B:B,"806-424348-110",Plan!s:s)</f>
        <v>0</v>
      </c>
      <c r="T899">
        <f>sumif(Plan!B:B,"806-424348-110",Plan!t:t)</f>
        <v>0</v>
      </c>
      <c r="U899">
        <f>sumif(Plan!B:B,"806-424348-110",Plan!u:u)</f>
        <v>0</v>
      </c>
      <c r="V899">
        <f>sumif(Plan!B:B,"806-424348-110",Plan!v:v)</f>
        <v>0</v>
      </c>
      <c r="W899">
        <f>sumif(Plan!B:B,"806-424348-110",Plan!w:w)</f>
        <v>0</v>
      </c>
      <c r="X899">
        <f>sumif(Plan!B:B,"806-424348-110",Plan!x:x)</f>
        <v>0</v>
      </c>
      <c r="Y899">
        <f>sumif(Plan!B:B,"806-424348-110",Plan!y:y)</f>
        <v>0</v>
      </c>
      <c r="Z899">
        <f>sumif(Plan!B:B,"806-424348-110",Plan!z:z)</f>
        <v>0</v>
      </c>
      <c r="AA899">
        <f>sumif(Plan!B:B,"806-424348-110",Plan!aa:aa)</f>
        <v>0</v>
      </c>
      <c r="AB899">
        <f>sumif(Plan!B:B,"806-424348-110",Plan!ab:ab)</f>
        <v>0</v>
      </c>
      <c r="AC899">
        <f>sumif(Plan!B:B,"806-424348-110",Plan!ac:ac)</f>
        <v>0</v>
      </c>
      <c r="AD899">
        <f>sumif(Plan!B:B,"806-424348-110",Plan!ad:ad)</f>
        <v>0</v>
      </c>
      <c r="AE899">
        <f>sumif(Plan!B:B,"806-424348-110",Plan!ae:ae)</f>
        <v>0</v>
      </c>
      <c r="AF899">
        <f>sumif(Plan!B:B,"806-424348-110",Plan!af:af)</f>
        <v>0</v>
      </c>
      <c r="AG899">
        <f>sumif(Plan!B:B,"806-424348-110",Plan!ag:ag)</f>
        <v>0</v>
      </c>
      <c r="AH899">
        <f>sumif(Plan!B:B,"806-424348-110",Plan!ah:ah)</f>
        <v>0</v>
      </c>
      <c r="AI899">
        <f>sumif(Plan!B:B,"806-424348-110",Plan!ai:ai)</f>
        <v>0</v>
      </c>
      <c r="AJ899">
        <f>sumif(Plan!B:B,"806-424348-110",Plan!aj:aj)</f>
        <v>0</v>
      </c>
      <c r="AK899">
        <f>sumif(Plan!B:B,"806-424348-110",Plan!ak:ak)</f>
        <v>0</v>
      </c>
      <c r="AL899">
        <f>sumif(Plan!B:B,"806-424348-110",Plan!al:al)</f>
        <v>0</v>
      </c>
      <c r="AM899">
        <f>sumif(Plan!B:B,"806-424348-110",Plan!am:am)</f>
        <v>0</v>
      </c>
      <c r="AN899">
        <f>sumif(Plan!B:B,"806-424348-110",Plan!an:an)</f>
        <v>0</v>
      </c>
      <c r="AO899">
        <f>sumif(Plan!B:B,"806-424348-110",Plan!ao:ao)</f>
        <v>0</v>
      </c>
    </row>
    <row r="900" spans="1:41">
      <c r="A900" t="s">
        <v>17</v>
      </c>
      <c r="B900" t="s">
        <v>602</v>
      </c>
      <c r="C900" t="s">
        <v>505</v>
      </c>
      <c r="E900">
        <v>1</v>
      </c>
      <c r="F900" t="s">
        <v>13</v>
      </c>
      <c r="H900" t="s">
        <v>16</v>
      </c>
      <c r="J900">
        <f>indirect(address(900,9))+indirect(address(898,10))-indirect(address(899,10))</f>
        <v>0</v>
      </c>
      <c r="K900">
        <f>indirect(address(900,10))+indirect(address(898,11))-indirect(address(899,11))</f>
        <v>0</v>
      </c>
      <c r="L900">
        <f>indirect(address(900,11))+indirect(address(898,12))-indirect(address(899,12))</f>
        <v>0</v>
      </c>
      <c r="M900">
        <f>indirect(address(900,12))+indirect(address(898,13))-indirect(address(899,13))</f>
        <v>0</v>
      </c>
      <c r="N900">
        <f>indirect(address(900,13))+indirect(address(898,14))-indirect(address(899,14))</f>
        <v>0</v>
      </c>
      <c r="O900">
        <f>indirect(address(900,14))+indirect(address(898,15))-indirect(address(899,15))</f>
        <v>0</v>
      </c>
      <c r="P900">
        <f>indirect(address(900,15))+indirect(address(898,16))-indirect(address(899,16))</f>
        <v>0</v>
      </c>
      <c r="Q900">
        <f>indirect(address(900,16))+indirect(address(898,17))-indirect(address(899,17))</f>
        <v>0</v>
      </c>
      <c r="R900">
        <f>indirect(address(900,17))+indirect(address(898,18))-indirect(address(899,18))</f>
        <v>0</v>
      </c>
      <c r="S900">
        <f>indirect(address(900,18))+indirect(address(898,19))-indirect(address(899,19))</f>
        <v>0</v>
      </c>
      <c r="T900">
        <f>indirect(address(900,19))+indirect(address(898,20))-indirect(address(899,20))</f>
        <v>0</v>
      </c>
      <c r="U900">
        <f>indirect(address(900,20))+indirect(address(898,21))-indirect(address(899,21))</f>
        <v>0</v>
      </c>
      <c r="V900">
        <f>indirect(address(900,21))+indirect(address(898,22))-indirect(address(899,22))</f>
        <v>0</v>
      </c>
      <c r="W900">
        <f>indirect(address(900,22))+indirect(address(898,23))-indirect(address(899,23))</f>
        <v>0</v>
      </c>
      <c r="X900">
        <f>indirect(address(900,23))+indirect(address(898,24))-indirect(address(899,24))</f>
        <v>0</v>
      </c>
      <c r="Y900">
        <f>indirect(address(900,24))+indirect(address(898,25))-indirect(address(899,25))</f>
        <v>0</v>
      </c>
      <c r="Z900">
        <f>indirect(address(900,25))+indirect(address(898,26))-indirect(address(899,26))</f>
        <v>0</v>
      </c>
      <c r="AA900">
        <f>indirect(address(900,26))+indirect(address(898,27))-indirect(address(899,27))</f>
        <v>0</v>
      </c>
      <c r="AB900">
        <f>indirect(address(900,27))+indirect(address(898,28))-indirect(address(899,28))</f>
        <v>0</v>
      </c>
      <c r="AC900">
        <f>indirect(address(900,28))+indirect(address(898,29))-indirect(address(899,29))</f>
        <v>0</v>
      </c>
      <c r="AD900">
        <f>indirect(address(900,29))+indirect(address(898,30))-indirect(address(899,30))</f>
        <v>0</v>
      </c>
      <c r="AE900">
        <f>indirect(address(900,30))+indirect(address(898,31))-indirect(address(899,31))</f>
        <v>0</v>
      </c>
      <c r="AF900">
        <f>indirect(address(900,31))+indirect(address(898,32))-indirect(address(899,32))</f>
        <v>0</v>
      </c>
      <c r="AG900">
        <f>indirect(address(900,32))+indirect(address(898,33))-indirect(address(899,33))</f>
        <v>0</v>
      </c>
      <c r="AH900">
        <f>indirect(address(900,33))+indirect(address(898,34))-indirect(address(899,34))</f>
        <v>0</v>
      </c>
      <c r="AI900">
        <f>indirect(address(900,34))+indirect(address(898,35))-indirect(address(899,35))</f>
        <v>0</v>
      </c>
      <c r="AJ900">
        <f>indirect(address(900,35))+indirect(address(898,36))-indirect(address(899,36))</f>
        <v>0</v>
      </c>
      <c r="AK900">
        <f>indirect(address(900,36))+indirect(address(898,37))-indirect(address(899,37))</f>
        <v>0</v>
      </c>
      <c r="AL900">
        <f>indirect(address(900,37))+indirect(address(898,38))-indirect(address(899,38))</f>
        <v>0</v>
      </c>
      <c r="AM900">
        <f>indirect(address(900,38))+indirect(address(898,39))-indirect(address(899,39))</f>
        <v>0</v>
      </c>
      <c r="AN900">
        <f>indirect(address(900,39))+indirect(address(898,40))-indirect(address(899,40))</f>
        <v>0</v>
      </c>
      <c r="AO900">
        <f>indirect(address(900,40))+indirect(address(898,41))-indirect(address(899,41))</f>
        <v>0</v>
      </c>
    </row>
    <row r="901" spans="1:41">
      <c r="I901" t="s">
        <v>14</v>
      </c>
      <c r="AO901">
        <f>sum(j901:an901)</f>
        <v>0</v>
      </c>
    </row>
    <row r="902" spans="1:41">
      <c r="I902" t="s">
        <v>15</v>
      </c>
      <c r="J902">
        <f>sumif(Plan!B:B,"806-425348-110",Plan!j:j)</f>
        <v>0</v>
      </c>
      <c r="K902">
        <f>sumif(Plan!B:B,"806-425348-110",Plan!k:k)</f>
        <v>0</v>
      </c>
      <c r="L902">
        <f>sumif(Plan!B:B,"806-425348-110",Plan!l:l)</f>
        <v>0</v>
      </c>
      <c r="M902">
        <f>sumif(Plan!B:B,"806-425348-110",Plan!m:m)</f>
        <v>0</v>
      </c>
      <c r="N902">
        <f>sumif(Plan!B:B,"806-425348-110",Plan!n:n)</f>
        <v>0</v>
      </c>
      <c r="O902">
        <f>sumif(Plan!B:B,"806-425348-110",Plan!o:o)</f>
        <v>0</v>
      </c>
      <c r="P902">
        <f>sumif(Plan!B:B,"806-425348-110",Plan!p:p)</f>
        <v>0</v>
      </c>
      <c r="Q902">
        <f>sumif(Plan!B:B,"806-425348-110",Plan!q:q)</f>
        <v>0</v>
      </c>
      <c r="R902">
        <f>sumif(Plan!B:B,"806-425348-110",Plan!r:r)</f>
        <v>0</v>
      </c>
      <c r="S902">
        <f>sumif(Plan!B:B,"806-425348-110",Plan!s:s)</f>
        <v>0</v>
      </c>
      <c r="T902">
        <f>sumif(Plan!B:B,"806-425348-110",Plan!t:t)</f>
        <v>0</v>
      </c>
      <c r="U902">
        <f>sumif(Plan!B:B,"806-425348-110",Plan!u:u)</f>
        <v>0</v>
      </c>
      <c r="V902">
        <f>sumif(Plan!B:B,"806-425348-110",Plan!v:v)</f>
        <v>0</v>
      </c>
      <c r="W902">
        <f>sumif(Plan!B:B,"806-425348-110",Plan!w:w)</f>
        <v>0</v>
      </c>
      <c r="X902">
        <f>sumif(Plan!B:B,"806-425348-110",Plan!x:x)</f>
        <v>0</v>
      </c>
      <c r="Y902">
        <f>sumif(Plan!B:B,"806-425348-110",Plan!y:y)</f>
        <v>0</v>
      </c>
      <c r="Z902">
        <f>sumif(Plan!B:B,"806-425348-110",Plan!z:z)</f>
        <v>0</v>
      </c>
      <c r="AA902">
        <f>sumif(Plan!B:B,"806-425348-110",Plan!aa:aa)</f>
        <v>0</v>
      </c>
      <c r="AB902">
        <f>sumif(Plan!B:B,"806-425348-110",Plan!ab:ab)</f>
        <v>0</v>
      </c>
      <c r="AC902">
        <f>sumif(Plan!B:B,"806-425348-110",Plan!ac:ac)</f>
        <v>0</v>
      </c>
      <c r="AD902">
        <f>sumif(Plan!B:B,"806-425348-110",Plan!ad:ad)</f>
        <v>0</v>
      </c>
      <c r="AE902">
        <f>sumif(Plan!B:B,"806-425348-110",Plan!ae:ae)</f>
        <v>0</v>
      </c>
      <c r="AF902">
        <f>sumif(Plan!B:B,"806-425348-110",Plan!af:af)</f>
        <v>0</v>
      </c>
      <c r="AG902">
        <f>sumif(Plan!B:B,"806-425348-110",Plan!ag:ag)</f>
        <v>0</v>
      </c>
      <c r="AH902">
        <f>sumif(Plan!B:B,"806-425348-110",Plan!ah:ah)</f>
        <v>0</v>
      </c>
      <c r="AI902">
        <f>sumif(Plan!B:B,"806-425348-110",Plan!ai:ai)</f>
        <v>0</v>
      </c>
      <c r="AJ902">
        <f>sumif(Plan!B:B,"806-425348-110",Plan!aj:aj)</f>
        <v>0</v>
      </c>
      <c r="AK902">
        <f>sumif(Plan!B:B,"806-425348-110",Plan!ak:ak)</f>
        <v>0</v>
      </c>
      <c r="AL902">
        <f>sumif(Plan!B:B,"806-425348-110",Plan!al:al)</f>
        <v>0</v>
      </c>
      <c r="AM902">
        <f>sumif(Plan!B:B,"806-425348-110",Plan!am:am)</f>
        <v>0</v>
      </c>
      <c r="AN902">
        <f>sumif(Plan!B:B,"806-425348-110",Plan!an:an)</f>
        <v>0</v>
      </c>
      <c r="AO902">
        <f>sumif(Plan!B:B,"806-425348-110",Plan!ao:ao)</f>
        <v>0</v>
      </c>
    </row>
    <row r="903" spans="1:41">
      <c r="A903" t="s">
        <v>17</v>
      </c>
      <c r="B903" t="s">
        <v>603</v>
      </c>
      <c r="C903" t="s">
        <v>604</v>
      </c>
      <c r="E903">
        <v>1</v>
      </c>
      <c r="F903" t="s">
        <v>13</v>
      </c>
      <c r="H903" t="s">
        <v>16</v>
      </c>
      <c r="J903">
        <f>indirect(address(903,9))+indirect(address(901,10))-indirect(address(902,10))</f>
        <v>0</v>
      </c>
      <c r="K903">
        <f>indirect(address(903,10))+indirect(address(901,11))-indirect(address(902,11))</f>
        <v>0</v>
      </c>
      <c r="L903">
        <f>indirect(address(903,11))+indirect(address(901,12))-indirect(address(902,12))</f>
        <v>0</v>
      </c>
      <c r="M903">
        <f>indirect(address(903,12))+indirect(address(901,13))-indirect(address(902,13))</f>
        <v>0</v>
      </c>
      <c r="N903">
        <f>indirect(address(903,13))+indirect(address(901,14))-indirect(address(902,14))</f>
        <v>0</v>
      </c>
      <c r="O903">
        <f>indirect(address(903,14))+indirect(address(901,15))-indirect(address(902,15))</f>
        <v>0</v>
      </c>
      <c r="P903">
        <f>indirect(address(903,15))+indirect(address(901,16))-indirect(address(902,16))</f>
        <v>0</v>
      </c>
      <c r="Q903">
        <f>indirect(address(903,16))+indirect(address(901,17))-indirect(address(902,17))</f>
        <v>0</v>
      </c>
      <c r="R903">
        <f>indirect(address(903,17))+indirect(address(901,18))-indirect(address(902,18))</f>
        <v>0</v>
      </c>
      <c r="S903">
        <f>indirect(address(903,18))+indirect(address(901,19))-indirect(address(902,19))</f>
        <v>0</v>
      </c>
      <c r="T903">
        <f>indirect(address(903,19))+indirect(address(901,20))-indirect(address(902,20))</f>
        <v>0</v>
      </c>
      <c r="U903">
        <f>indirect(address(903,20))+indirect(address(901,21))-indirect(address(902,21))</f>
        <v>0</v>
      </c>
      <c r="V903">
        <f>indirect(address(903,21))+indirect(address(901,22))-indirect(address(902,22))</f>
        <v>0</v>
      </c>
      <c r="W903">
        <f>indirect(address(903,22))+indirect(address(901,23))-indirect(address(902,23))</f>
        <v>0</v>
      </c>
      <c r="X903">
        <f>indirect(address(903,23))+indirect(address(901,24))-indirect(address(902,24))</f>
        <v>0</v>
      </c>
      <c r="Y903">
        <f>indirect(address(903,24))+indirect(address(901,25))-indirect(address(902,25))</f>
        <v>0</v>
      </c>
      <c r="Z903">
        <f>indirect(address(903,25))+indirect(address(901,26))-indirect(address(902,26))</f>
        <v>0</v>
      </c>
      <c r="AA903">
        <f>indirect(address(903,26))+indirect(address(901,27))-indirect(address(902,27))</f>
        <v>0</v>
      </c>
      <c r="AB903">
        <f>indirect(address(903,27))+indirect(address(901,28))-indirect(address(902,28))</f>
        <v>0</v>
      </c>
      <c r="AC903">
        <f>indirect(address(903,28))+indirect(address(901,29))-indirect(address(902,29))</f>
        <v>0</v>
      </c>
      <c r="AD903">
        <f>indirect(address(903,29))+indirect(address(901,30))-indirect(address(902,30))</f>
        <v>0</v>
      </c>
      <c r="AE903">
        <f>indirect(address(903,30))+indirect(address(901,31))-indirect(address(902,31))</f>
        <v>0</v>
      </c>
      <c r="AF903">
        <f>indirect(address(903,31))+indirect(address(901,32))-indirect(address(902,32))</f>
        <v>0</v>
      </c>
      <c r="AG903">
        <f>indirect(address(903,32))+indirect(address(901,33))-indirect(address(902,33))</f>
        <v>0</v>
      </c>
      <c r="AH903">
        <f>indirect(address(903,33))+indirect(address(901,34))-indirect(address(902,34))</f>
        <v>0</v>
      </c>
      <c r="AI903">
        <f>indirect(address(903,34))+indirect(address(901,35))-indirect(address(902,35))</f>
        <v>0</v>
      </c>
      <c r="AJ903">
        <f>indirect(address(903,35))+indirect(address(901,36))-indirect(address(902,36))</f>
        <v>0</v>
      </c>
      <c r="AK903">
        <f>indirect(address(903,36))+indirect(address(901,37))-indirect(address(902,37))</f>
        <v>0</v>
      </c>
      <c r="AL903">
        <f>indirect(address(903,37))+indirect(address(901,38))-indirect(address(902,38))</f>
        <v>0</v>
      </c>
      <c r="AM903">
        <f>indirect(address(903,38))+indirect(address(901,39))-indirect(address(902,39))</f>
        <v>0</v>
      </c>
      <c r="AN903">
        <f>indirect(address(903,39))+indirect(address(901,40))-indirect(address(902,40))</f>
        <v>0</v>
      </c>
      <c r="AO903">
        <f>indirect(address(903,40))+indirect(address(901,41))-indirect(address(902,41))</f>
        <v>0</v>
      </c>
    </row>
    <row r="904" spans="1:41">
      <c r="I904" t="s">
        <v>14</v>
      </c>
      <c r="AO904">
        <f>sum(j904:an904)</f>
        <v>0</v>
      </c>
    </row>
    <row r="905" spans="1:41">
      <c r="I905" t="s">
        <v>15</v>
      </c>
      <c r="J905">
        <f>sumif(Plan!B:B,"261-167000-103",Plan!j:j)</f>
        <v>0</v>
      </c>
      <c r="K905">
        <f>sumif(Plan!B:B,"261-167000-103",Plan!k:k)</f>
        <v>0</v>
      </c>
      <c r="L905">
        <f>sumif(Plan!B:B,"261-167000-103",Plan!l:l)</f>
        <v>0</v>
      </c>
      <c r="M905">
        <f>sumif(Plan!B:B,"261-167000-103",Plan!m:m)</f>
        <v>0</v>
      </c>
      <c r="N905">
        <f>sumif(Plan!B:B,"261-167000-103",Plan!n:n)</f>
        <v>0</v>
      </c>
      <c r="O905">
        <f>sumif(Plan!B:B,"261-167000-103",Plan!o:o)</f>
        <v>0</v>
      </c>
      <c r="P905">
        <f>sumif(Plan!B:B,"261-167000-103",Plan!p:p)</f>
        <v>0</v>
      </c>
      <c r="Q905">
        <f>sumif(Plan!B:B,"261-167000-103",Plan!q:q)</f>
        <v>0</v>
      </c>
      <c r="R905">
        <f>sumif(Plan!B:B,"261-167000-103",Plan!r:r)</f>
        <v>0</v>
      </c>
      <c r="S905">
        <f>sumif(Plan!B:B,"261-167000-103",Plan!s:s)</f>
        <v>0</v>
      </c>
      <c r="T905">
        <f>sumif(Plan!B:B,"261-167000-103",Plan!t:t)</f>
        <v>0</v>
      </c>
      <c r="U905">
        <f>sumif(Plan!B:B,"261-167000-103",Plan!u:u)</f>
        <v>0</v>
      </c>
      <c r="V905">
        <f>sumif(Plan!B:B,"261-167000-103",Plan!v:v)</f>
        <v>0</v>
      </c>
      <c r="W905">
        <f>sumif(Plan!B:B,"261-167000-103",Plan!w:w)</f>
        <v>0</v>
      </c>
      <c r="X905">
        <f>sumif(Plan!B:B,"261-167000-103",Plan!x:x)</f>
        <v>0</v>
      </c>
      <c r="Y905">
        <f>sumif(Plan!B:B,"261-167000-103",Plan!y:y)</f>
        <v>0</v>
      </c>
      <c r="Z905">
        <f>sumif(Plan!B:B,"261-167000-103",Plan!z:z)</f>
        <v>0</v>
      </c>
      <c r="AA905">
        <f>sumif(Plan!B:B,"261-167000-103",Plan!aa:aa)</f>
        <v>0</v>
      </c>
      <c r="AB905">
        <f>sumif(Plan!B:B,"261-167000-103",Plan!ab:ab)</f>
        <v>0</v>
      </c>
      <c r="AC905">
        <f>sumif(Plan!B:B,"261-167000-103",Plan!ac:ac)</f>
        <v>0</v>
      </c>
      <c r="AD905">
        <f>sumif(Plan!B:B,"261-167000-103",Plan!ad:ad)</f>
        <v>0</v>
      </c>
      <c r="AE905">
        <f>sumif(Plan!B:B,"261-167000-103",Plan!ae:ae)</f>
        <v>0</v>
      </c>
      <c r="AF905">
        <f>sumif(Plan!B:B,"261-167000-103",Plan!af:af)</f>
        <v>0</v>
      </c>
      <c r="AG905">
        <f>sumif(Plan!B:B,"261-167000-103",Plan!ag:ag)</f>
        <v>0</v>
      </c>
      <c r="AH905">
        <f>sumif(Plan!B:B,"261-167000-103",Plan!ah:ah)</f>
        <v>0</v>
      </c>
      <c r="AI905">
        <f>sumif(Plan!B:B,"261-167000-103",Plan!ai:ai)</f>
        <v>0</v>
      </c>
      <c r="AJ905">
        <f>sumif(Plan!B:B,"261-167000-103",Plan!aj:aj)</f>
        <v>0</v>
      </c>
      <c r="AK905">
        <f>sumif(Plan!B:B,"261-167000-103",Plan!ak:ak)</f>
        <v>0</v>
      </c>
      <c r="AL905">
        <f>sumif(Plan!B:B,"261-167000-103",Plan!al:al)</f>
        <v>0</v>
      </c>
      <c r="AM905">
        <f>sumif(Plan!B:B,"261-167000-103",Plan!am:am)</f>
        <v>0</v>
      </c>
      <c r="AN905">
        <f>sumif(Plan!B:B,"261-167000-103",Plan!an:an)</f>
        <v>0</v>
      </c>
      <c r="AO905">
        <f>sumif(Plan!B:B,"261-167000-103",Plan!ao:ao)</f>
        <v>0</v>
      </c>
    </row>
    <row r="906" spans="1:41">
      <c r="A906" t="s">
        <v>22</v>
      </c>
      <c r="B906" t="s">
        <v>605</v>
      </c>
      <c r="C906" t="s">
        <v>606</v>
      </c>
      <c r="E906">
        <v>1</v>
      </c>
      <c r="F906" t="s">
        <v>13</v>
      </c>
      <c r="H906" t="s">
        <v>16</v>
      </c>
      <c r="J906">
        <f>indirect(address(906,9))+indirect(address(904,10))-indirect(address(905,10))</f>
        <v>0</v>
      </c>
      <c r="K906">
        <f>indirect(address(906,10))+indirect(address(904,11))-indirect(address(905,11))</f>
        <v>0</v>
      </c>
      <c r="L906">
        <f>indirect(address(906,11))+indirect(address(904,12))-indirect(address(905,12))</f>
        <v>0</v>
      </c>
      <c r="M906">
        <f>indirect(address(906,12))+indirect(address(904,13))-indirect(address(905,13))</f>
        <v>0</v>
      </c>
      <c r="N906">
        <f>indirect(address(906,13))+indirect(address(904,14))-indirect(address(905,14))</f>
        <v>0</v>
      </c>
      <c r="O906">
        <f>indirect(address(906,14))+indirect(address(904,15))-indirect(address(905,15))</f>
        <v>0</v>
      </c>
      <c r="P906">
        <f>indirect(address(906,15))+indirect(address(904,16))-indirect(address(905,16))</f>
        <v>0</v>
      </c>
      <c r="Q906">
        <f>indirect(address(906,16))+indirect(address(904,17))-indirect(address(905,17))</f>
        <v>0</v>
      </c>
      <c r="R906">
        <f>indirect(address(906,17))+indirect(address(904,18))-indirect(address(905,18))</f>
        <v>0</v>
      </c>
      <c r="S906">
        <f>indirect(address(906,18))+indirect(address(904,19))-indirect(address(905,19))</f>
        <v>0</v>
      </c>
      <c r="T906">
        <f>indirect(address(906,19))+indirect(address(904,20))-indirect(address(905,20))</f>
        <v>0</v>
      </c>
      <c r="U906">
        <f>indirect(address(906,20))+indirect(address(904,21))-indirect(address(905,21))</f>
        <v>0</v>
      </c>
      <c r="V906">
        <f>indirect(address(906,21))+indirect(address(904,22))-indirect(address(905,22))</f>
        <v>0</v>
      </c>
      <c r="W906">
        <f>indirect(address(906,22))+indirect(address(904,23))-indirect(address(905,23))</f>
        <v>0</v>
      </c>
      <c r="X906">
        <f>indirect(address(906,23))+indirect(address(904,24))-indirect(address(905,24))</f>
        <v>0</v>
      </c>
      <c r="Y906">
        <f>indirect(address(906,24))+indirect(address(904,25))-indirect(address(905,25))</f>
        <v>0</v>
      </c>
      <c r="Z906">
        <f>indirect(address(906,25))+indirect(address(904,26))-indirect(address(905,26))</f>
        <v>0</v>
      </c>
      <c r="AA906">
        <f>indirect(address(906,26))+indirect(address(904,27))-indirect(address(905,27))</f>
        <v>0</v>
      </c>
      <c r="AB906">
        <f>indirect(address(906,27))+indirect(address(904,28))-indirect(address(905,28))</f>
        <v>0</v>
      </c>
      <c r="AC906">
        <f>indirect(address(906,28))+indirect(address(904,29))-indirect(address(905,29))</f>
        <v>0</v>
      </c>
      <c r="AD906">
        <f>indirect(address(906,29))+indirect(address(904,30))-indirect(address(905,30))</f>
        <v>0</v>
      </c>
      <c r="AE906">
        <f>indirect(address(906,30))+indirect(address(904,31))-indirect(address(905,31))</f>
        <v>0</v>
      </c>
      <c r="AF906">
        <f>indirect(address(906,31))+indirect(address(904,32))-indirect(address(905,32))</f>
        <v>0</v>
      </c>
      <c r="AG906">
        <f>indirect(address(906,32))+indirect(address(904,33))-indirect(address(905,33))</f>
        <v>0</v>
      </c>
      <c r="AH906">
        <f>indirect(address(906,33))+indirect(address(904,34))-indirect(address(905,34))</f>
        <v>0</v>
      </c>
      <c r="AI906">
        <f>indirect(address(906,34))+indirect(address(904,35))-indirect(address(905,35))</f>
        <v>0</v>
      </c>
      <c r="AJ906">
        <f>indirect(address(906,35))+indirect(address(904,36))-indirect(address(905,36))</f>
        <v>0</v>
      </c>
      <c r="AK906">
        <f>indirect(address(906,36))+indirect(address(904,37))-indirect(address(905,37))</f>
        <v>0</v>
      </c>
      <c r="AL906">
        <f>indirect(address(906,37))+indirect(address(904,38))-indirect(address(905,38))</f>
        <v>0</v>
      </c>
      <c r="AM906">
        <f>indirect(address(906,38))+indirect(address(904,39))-indirect(address(905,39))</f>
        <v>0</v>
      </c>
      <c r="AN906">
        <f>indirect(address(906,39))+indirect(address(904,40))-indirect(address(905,40))</f>
        <v>0</v>
      </c>
      <c r="AO906">
        <f>indirect(address(906,40))+indirect(address(904,41))-indirect(address(905,41))</f>
        <v>0</v>
      </c>
    </row>
    <row r="907" spans="1:41">
      <c r="I907" t="s">
        <v>14</v>
      </c>
      <c r="AO907">
        <f>sum(j907:an907)</f>
        <v>0</v>
      </c>
    </row>
    <row r="908" spans="1:41">
      <c r="I908" t="s">
        <v>15</v>
      </c>
      <c r="J908">
        <f>sumif(Plan!B:B,"261-005000-254",Plan!j:j)</f>
        <v>0</v>
      </c>
      <c r="K908">
        <f>sumif(Plan!B:B,"261-005000-254",Plan!k:k)</f>
        <v>0</v>
      </c>
      <c r="L908">
        <f>sumif(Plan!B:B,"261-005000-254",Plan!l:l)</f>
        <v>0</v>
      </c>
      <c r="M908">
        <f>sumif(Plan!B:B,"261-005000-254",Plan!m:m)</f>
        <v>0</v>
      </c>
      <c r="N908">
        <f>sumif(Plan!B:B,"261-005000-254",Plan!n:n)</f>
        <v>0</v>
      </c>
      <c r="O908">
        <f>sumif(Plan!B:B,"261-005000-254",Plan!o:o)</f>
        <v>0</v>
      </c>
      <c r="P908">
        <f>sumif(Plan!B:B,"261-005000-254",Plan!p:p)</f>
        <v>0</v>
      </c>
      <c r="Q908">
        <f>sumif(Plan!B:B,"261-005000-254",Plan!q:q)</f>
        <v>0</v>
      </c>
      <c r="R908">
        <f>sumif(Plan!B:B,"261-005000-254",Plan!r:r)</f>
        <v>0</v>
      </c>
      <c r="S908">
        <f>sumif(Plan!B:B,"261-005000-254",Plan!s:s)</f>
        <v>0</v>
      </c>
      <c r="T908">
        <f>sumif(Plan!B:B,"261-005000-254",Plan!t:t)</f>
        <v>0</v>
      </c>
      <c r="U908">
        <f>sumif(Plan!B:B,"261-005000-254",Plan!u:u)</f>
        <v>0</v>
      </c>
      <c r="V908">
        <f>sumif(Plan!B:B,"261-005000-254",Plan!v:v)</f>
        <v>0</v>
      </c>
      <c r="W908">
        <f>sumif(Plan!B:B,"261-005000-254",Plan!w:w)</f>
        <v>0</v>
      </c>
      <c r="X908">
        <f>sumif(Plan!B:B,"261-005000-254",Plan!x:x)</f>
        <v>0</v>
      </c>
      <c r="Y908">
        <f>sumif(Plan!B:B,"261-005000-254",Plan!y:y)</f>
        <v>0</v>
      </c>
      <c r="Z908">
        <f>sumif(Plan!B:B,"261-005000-254",Plan!z:z)</f>
        <v>0</v>
      </c>
      <c r="AA908">
        <f>sumif(Plan!B:B,"261-005000-254",Plan!aa:aa)</f>
        <v>0</v>
      </c>
      <c r="AB908">
        <f>sumif(Plan!B:B,"261-005000-254",Plan!ab:ab)</f>
        <v>0</v>
      </c>
      <c r="AC908">
        <f>sumif(Plan!B:B,"261-005000-254",Plan!ac:ac)</f>
        <v>0</v>
      </c>
      <c r="AD908">
        <f>sumif(Plan!B:B,"261-005000-254",Plan!ad:ad)</f>
        <v>0</v>
      </c>
      <c r="AE908">
        <f>sumif(Plan!B:B,"261-005000-254",Plan!ae:ae)</f>
        <v>0</v>
      </c>
      <c r="AF908">
        <f>sumif(Plan!B:B,"261-005000-254",Plan!af:af)</f>
        <v>0</v>
      </c>
      <c r="AG908">
        <f>sumif(Plan!B:B,"261-005000-254",Plan!ag:ag)</f>
        <v>0</v>
      </c>
      <c r="AH908">
        <f>sumif(Plan!B:B,"261-005000-254",Plan!ah:ah)</f>
        <v>0</v>
      </c>
      <c r="AI908">
        <f>sumif(Plan!B:B,"261-005000-254",Plan!ai:ai)</f>
        <v>0</v>
      </c>
      <c r="AJ908">
        <f>sumif(Plan!B:B,"261-005000-254",Plan!aj:aj)</f>
        <v>0</v>
      </c>
      <c r="AK908">
        <f>sumif(Plan!B:B,"261-005000-254",Plan!ak:ak)</f>
        <v>0</v>
      </c>
      <c r="AL908">
        <f>sumif(Plan!B:B,"261-005000-254",Plan!al:al)</f>
        <v>0</v>
      </c>
      <c r="AM908">
        <f>sumif(Plan!B:B,"261-005000-254",Plan!am:am)</f>
        <v>0</v>
      </c>
      <c r="AN908">
        <f>sumif(Plan!B:B,"261-005000-254",Plan!an:an)</f>
        <v>0</v>
      </c>
      <c r="AO908">
        <f>sumif(Plan!B:B,"261-005000-254",Plan!ao:ao)</f>
        <v>0</v>
      </c>
    </row>
    <row r="909" spans="1:41">
      <c r="A909" t="s">
        <v>22</v>
      </c>
      <c r="B909" t="s">
        <v>607</v>
      </c>
      <c r="C909" t="s">
        <v>608</v>
      </c>
      <c r="E909">
        <v>2</v>
      </c>
      <c r="F909" t="s">
        <v>13</v>
      </c>
      <c r="H909" t="s">
        <v>16</v>
      </c>
      <c r="J909">
        <f>indirect(address(909,9))+indirect(address(907,10))-indirect(address(908,10))</f>
        <v>0</v>
      </c>
      <c r="K909">
        <f>indirect(address(909,10))+indirect(address(907,11))-indirect(address(908,11))</f>
        <v>0</v>
      </c>
      <c r="L909">
        <f>indirect(address(909,11))+indirect(address(907,12))-indirect(address(908,12))</f>
        <v>0</v>
      </c>
      <c r="M909">
        <f>indirect(address(909,12))+indirect(address(907,13))-indirect(address(908,13))</f>
        <v>0</v>
      </c>
      <c r="N909">
        <f>indirect(address(909,13))+indirect(address(907,14))-indirect(address(908,14))</f>
        <v>0</v>
      </c>
      <c r="O909">
        <f>indirect(address(909,14))+indirect(address(907,15))-indirect(address(908,15))</f>
        <v>0</v>
      </c>
      <c r="P909">
        <f>indirect(address(909,15))+indirect(address(907,16))-indirect(address(908,16))</f>
        <v>0</v>
      </c>
      <c r="Q909">
        <f>indirect(address(909,16))+indirect(address(907,17))-indirect(address(908,17))</f>
        <v>0</v>
      </c>
      <c r="R909">
        <f>indirect(address(909,17))+indirect(address(907,18))-indirect(address(908,18))</f>
        <v>0</v>
      </c>
      <c r="S909">
        <f>indirect(address(909,18))+indirect(address(907,19))-indirect(address(908,19))</f>
        <v>0</v>
      </c>
      <c r="T909">
        <f>indirect(address(909,19))+indirect(address(907,20))-indirect(address(908,20))</f>
        <v>0</v>
      </c>
      <c r="U909">
        <f>indirect(address(909,20))+indirect(address(907,21))-indirect(address(908,21))</f>
        <v>0</v>
      </c>
      <c r="V909">
        <f>indirect(address(909,21))+indirect(address(907,22))-indirect(address(908,22))</f>
        <v>0</v>
      </c>
      <c r="W909">
        <f>indirect(address(909,22))+indirect(address(907,23))-indirect(address(908,23))</f>
        <v>0</v>
      </c>
      <c r="X909">
        <f>indirect(address(909,23))+indirect(address(907,24))-indirect(address(908,24))</f>
        <v>0</v>
      </c>
      <c r="Y909">
        <f>indirect(address(909,24))+indirect(address(907,25))-indirect(address(908,25))</f>
        <v>0</v>
      </c>
      <c r="Z909">
        <f>indirect(address(909,25))+indirect(address(907,26))-indirect(address(908,26))</f>
        <v>0</v>
      </c>
      <c r="AA909">
        <f>indirect(address(909,26))+indirect(address(907,27))-indirect(address(908,27))</f>
        <v>0</v>
      </c>
      <c r="AB909">
        <f>indirect(address(909,27))+indirect(address(907,28))-indirect(address(908,28))</f>
        <v>0</v>
      </c>
      <c r="AC909">
        <f>indirect(address(909,28))+indirect(address(907,29))-indirect(address(908,29))</f>
        <v>0</v>
      </c>
      <c r="AD909">
        <f>indirect(address(909,29))+indirect(address(907,30))-indirect(address(908,30))</f>
        <v>0</v>
      </c>
      <c r="AE909">
        <f>indirect(address(909,30))+indirect(address(907,31))-indirect(address(908,31))</f>
        <v>0</v>
      </c>
      <c r="AF909">
        <f>indirect(address(909,31))+indirect(address(907,32))-indirect(address(908,32))</f>
        <v>0</v>
      </c>
      <c r="AG909">
        <f>indirect(address(909,32))+indirect(address(907,33))-indirect(address(908,33))</f>
        <v>0</v>
      </c>
      <c r="AH909">
        <f>indirect(address(909,33))+indirect(address(907,34))-indirect(address(908,34))</f>
        <v>0</v>
      </c>
      <c r="AI909">
        <f>indirect(address(909,34))+indirect(address(907,35))-indirect(address(908,35))</f>
        <v>0</v>
      </c>
      <c r="AJ909">
        <f>indirect(address(909,35))+indirect(address(907,36))-indirect(address(908,36))</f>
        <v>0</v>
      </c>
      <c r="AK909">
        <f>indirect(address(909,36))+indirect(address(907,37))-indirect(address(908,37))</f>
        <v>0</v>
      </c>
      <c r="AL909">
        <f>indirect(address(909,37))+indirect(address(907,38))-indirect(address(908,38))</f>
        <v>0</v>
      </c>
      <c r="AM909">
        <f>indirect(address(909,38))+indirect(address(907,39))-indirect(address(908,39))</f>
        <v>0</v>
      </c>
      <c r="AN909">
        <f>indirect(address(909,39))+indirect(address(907,40))-indirect(address(908,40))</f>
        <v>0</v>
      </c>
      <c r="AO909">
        <f>indirect(address(909,40))+indirect(address(907,41))-indirect(address(908,41))</f>
        <v>0</v>
      </c>
    </row>
    <row r="910" spans="1:41">
      <c r="I910" t="s">
        <v>14</v>
      </c>
      <c r="AO910">
        <f>sum(j910:an910)</f>
        <v>0</v>
      </c>
    </row>
    <row r="911" spans="1:41">
      <c r="I911" t="s">
        <v>15</v>
      </c>
      <c r="J911">
        <f>sumif(Plan!B:B,"261-015000-254",Plan!j:j)</f>
        <v>0</v>
      </c>
      <c r="K911">
        <f>sumif(Plan!B:B,"261-015000-254",Plan!k:k)</f>
        <v>0</v>
      </c>
      <c r="L911">
        <f>sumif(Plan!B:B,"261-015000-254",Plan!l:l)</f>
        <v>0</v>
      </c>
      <c r="M911">
        <f>sumif(Plan!B:B,"261-015000-254",Plan!m:m)</f>
        <v>0</v>
      </c>
      <c r="N911">
        <f>sumif(Plan!B:B,"261-015000-254",Plan!n:n)</f>
        <v>0</v>
      </c>
      <c r="O911">
        <f>sumif(Plan!B:B,"261-015000-254",Plan!o:o)</f>
        <v>0</v>
      </c>
      <c r="P911">
        <f>sumif(Plan!B:B,"261-015000-254",Plan!p:p)</f>
        <v>0</v>
      </c>
      <c r="Q911">
        <f>sumif(Plan!B:B,"261-015000-254",Plan!q:q)</f>
        <v>0</v>
      </c>
      <c r="R911">
        <f>sumif(Plan!B:B,"261-015000-254",Plan!r:r)</f>
        <v>0</v>
      </c>
      <c r="S911">
        <f>sumif(Plan!B:B,"261-015000-254",Plan!s:s)</f>
        <v>0</v>
      </c>
      <c r="T911">
        <f>sumif(Plan!B:B,"261-015000-254",Plan!t:t)</f>
        <v>0</v>
      </c>
      <c r="U911">
        <f>sumif(Plan!B:B,"261-015000-254",Plan!u:u)</f>
        <v>0</v>
      </c>
      <c r="V911">
        <f>sumif(Plan!B:B,"261-015000-254",Plan!v:v)</f>
        <v>0</v>
      </c>
      <c r="W911">
        <f>sumif(Plan!B:B,"261-015000-254",Plan!w:w)</f>
        <v>0</v>
      </c>
      <c r="X911">
        <f>sumif(Plan!B:B,"261-015000-254",Plan!x:x)</f>
        <v>0</v>
      </c>
      <c r="Y911">
        <f>sumif(Plan!B:B,"261-015000-254",Plan!y:y)</f>
        <v>0</v>
      </c>
      <c r="Z911">
        <f>sumif(Plan!B:B,"261-015000-254",Plan!z:z)</f>
        <v>0</v>
      </c>
      <c r="AA911">
        <f>sumif(Plan!B:B,"261-015000-254",Plan!aa:aa)</f>
        <v>0</v>
      </c>
      <c r="AB911">
        <f>sumif(Plan!B:B,"261-015000-254",Plan!ab:ab)</f>
        <v>0</v>
      </c>
      <c r="AC911">
        <f>sumif(Plan!B:B,"261-015000-254",Plan!ac:ac)</f>
        <v>0</v>
      </c>
      <c r="AD911">
        <f>sumif(Plan!B:B,"261-015000-254",Plan!ad:ad)</f>
        <v>0</v>
      </c>
      <c r="AE911">
        <f>sumif(Plan!B:B,"261-015000-254",Plan!ae:ae)</f>
        <v>0</v>
      </c>
      <c r="AF911">
        <f>sumif(Plan!B:B,"261-015000-254",Plan!af:af)</f>
        <v>0</v>
      </c>
      <c r="AG911">
        <f>sumif(Plan!B:B,"261-015000-254",Plan!ag:ag)</f>
        <v>0</v>
      </c>
      <c r="AH911">
        <f>sumif(Plan!B:B,"261-015000-254",Plan!ah:ah)</f>
        <v>0</v>
      </c>
      <c r="AI911">
        <f>sumif(Plan!B:B,"261-015000-254",Plan!ai:ai)</f>
        <v>0</v>
      </c>
      <c r="AJ911">
        <f>sumif(Plan!B:B,"261-015000-254",Plan!aj:aj)</f>
        <v>0</v>
      </c>
      <c r="AK911">
        <f>sumif(Plan!B:B,"261-015000-254",Plan!ak:ak)</f>
        <v>0</v>
      </c>
      <c r="AL911">
        <f>sumif(Plan!B:B,"261-015000-254",Plan!al:al)</f>
        <v>0</v>
      </c>
      <c r="AM911">
        <f>sumif(Plan!B:B,"261-015000-254",Plan!am:am)</f>
        <v>0</v>
      </c>
      <c r="AN911">
        <f>sumif(Plan!B:B,"261-015000-254",Plan!an:an)</f>
        <v>0</v>
      </c>
      <c r="AO911">
        <f>sumif(Plan!B:B,"261-015000-254",Plan!ao:ao)</f>
        <v>0</v>
      </c>
    </row>
    <row r="912" spans="1:41">
      <c r="A912" t="s">
        <v>22</v>
      </c>
      <c r="B912" t="s">
        <v>609</v>
      </c>
      <c r="C912" t="s">
        <v>610</v>
      </c>
      <c r="E912">
        <v>1</v>
      </c>
      <c r="F912" t="s">
        <v>13</v>
      </c>
      <c r="H912" t="s">
        <v>16</v>
      </c>
      <c r="J912">
        <f>indirect(address(912,9))+indirect(address(910,10))-indirect(address(911,10))</f>
        <v>0</v>
      </c>
      <c r="K912">
        <f>indirect(address(912,10))+indirect(address(910,11))-indirect(address(911,11))</f>
        <v>0</v>
      </c>
      <c r="L912">
        <f>indirect(address(912,11))+indirect(address(910,12))-indirect(address(911,12))</f>
        <v>0</v>
      </c>
      <c r="M912">
        <f>indirect(address(912,12))+indirect(address(910,13))-indirect(address(911,13))</f>
        <v>0</v>
      </c>
      <c r="N912">
        <f>indirect(address(912,13))+indirect(address(910,14))-indirect(address(911,14))</f>
        <v>0</v>
      </c>
      <c r="O912">
        <f>indirect(address(912,14))+indirect(address(910,15))-indirect(address(911,15))</f>
        <v>0</v>
      </c>
      <c r="P912">
        <f>indirect(address(912,15))+indirect(address(910,16))-indirect(address(911,16))</f>
        <v>0</v>
      </c>
      <c r="Q912">
        <f>indirect(address(912,16))+indirect(address(910,17))-indirect(address(911,17))</f>
        <v>0</v>
      </c>
      <c r="R912">
        <f>indirect(address(912,17))+indirect(address(910,18))-indirect(address(911,18))</f>
        <v>0</v>
      </c>
      <c r="S912">
        <f>indirect(address(912,18))+indirect(address(910,19))-indirect(address(911,19))</f>
        <v>0</v>
      </c>
      <c r="T912">
        <f>indirect(address(912,19))+indirect(address(910,20))-indirect(address(911,20))</f>
        <v>0</v>
      </c>
      <c r="U912">
        <f>indirect(address(912,20))+indirect(address(910,21))-indirect(address(911,21))</f>
        <v>0</v>
      </c>
      <c r="V912">
        <f>indirect(address(912,21))+indirect(address(910,22))-indirect(address(911,22))</f>
        <v>0</v>
      </c>
      <c r="W912">
        <f>indirect(address(912,22))+indirect(address(910,23))-indirect(address(911,23))</f>
        <v>0</v>
      </c>
      <c r="X912">
        <f>indirect(address(912,23))+indirect(address(910,24))-indirect(address(911,24))</f>
        <v>0</v>
      </c>
      <c r="Y912">
        <f>indirect(address(912,24))+indirect(address(910,25))-indirect(address(911,25))</f>
        <v>0</v>
      </c>
      <c r="Z912">
        <f>indirect(address(912,25))+indirect(address(910,26))-indirect(address(911,26))</f>
        <v>0</v>
      </c>
      <c r="AA912">
        <f>indirect(address(912,26))+indirect(address(910,27))-indirect(address(911,27))</f>
        <v>0</v>
      </c>
      <c r="AB912">
        <f>indirect(address(912,27))+indirect(address(910,28))-indirect(address(911,28))</f>
        <v>0</v>
      </c>
      <c r="AC912">
        <f>indirect(address(912,28))+indirect(address(910,29))-indirect(address(911,29))</f>
        <v>0</v>
      </c>
      <c r="AD912">
        <f>indirect(address(912,29))+indirect(address(910,30))-indirect(address(911,30))</f>
        <v>0</v>
      </c>
      <c r="AE912">
        <f>indirect(address(912,30))+indirect(address(910,31))-indirect(address(911,31))</f>
        <v>0</v>
      </c>
      <c r="AF912">
        <f>indirect(address(912,31))+indirect(address(910,32))-indirect(address(911,32))</f>
        <v>0</v>
      </c>
      <c r="AG912">
        <f>indirect(address(912,32))+indirect(address(910,33))-indirect(address(911,33))</f>
        <v>0</v>
      </c>
      <c r="AH912">
        <f>indirect(address(912,33))+indirect(address(910,34))-indirect(address(911,34))</f>
        <v>0</v>
      </c>
      <c r="AI912">
        <f>indirect(address(912,34))+indirect(address(910,35))-indirect(address(911,35))</f>
        <v>0</v>
      </c>
      <c r="AJ912">
        <f>indirect(address(912,35))+indirect(address(910,36))-indirect(address(911,36))</f>
        <v>0</v>
      </c>
      <c r="AK912">
        <f>indirect(address(912,36))+indirect(address(910,37))-indirect(address(911,37))</f>
        <v>0</v>
      </c>
      <c r="AL912">
        <f>indirect(address(912,37))+indirect(address(910,38))-indirect(address(911,38))</f>
        <v>0</v>
      </c>
      <c r="AM912">
        <f>indirect(address(912,38))+indirect(address(910,39))-indirect(address(911,39))</f>
        <v>0</v>
      </c>
      <c r="AN912">
        <f>indirect(address(912,39))+indirect(address(910,40))-indirect(address(911,40))</f>
        <v>0</v>
      </c>
      <c r="AO912">
        <f>indirect(address(912,40))+indirect(address(910,41))-indirect(address(911,41))</f>
        <v>0</v>
      </c>
    </row>
    <row r="913" spans="1:41">
      <c r="I913" t="s">
        <v>14</v>
      </c>
      <c r="AO913">
        <f>sum(j913:an913)</f>
        <v>0</v>
      </c>
    </row>
    <row r="914" spans="1:41">
      <c r="I914" t="s">
        <v>15</v>
      </c>
      <c r="J914">
        <f>sumif(Plan!B:B,"261-008000-204",Plan!j:j)</f>
        <v>0</v>
      </c>
      <c r="K914">
        <f>sumif(Plan!B:B,"261-008000-204",Plan!k:k)</f>
        <v>0</v>
      </c>
      <c r="L914">
        <f>sumif(Plan!B:B,"261-008000-204",Plan!l:l)</f>
        <v>0</v>
      </c>
      <c r="M914">
        <f>sumif(Plan!B:B,"261-008000-204",Plan!m:m)</f>
        <v>0</v>
      </c>
      <c r="N914">
        <f>sumif(Plan!B:B,"261-008000-204",Plan!n:n)</f>
        <v>0</v>
      </c>
      <c r="O914">
        <f>sumif(Plan!B:B,"261-008000-204",Plan!o:o)</f>
        <v>0</v>
      </c>
      <c r="P914">
        <f>sumif(Plan!B:B,"261-008000-204",Plan!p:p)</f>
        <v>0</v>
      </c>
      <c r="Q914">
        <f>sumif(Plan!B:B,"261-008000-204",Plan!q:q)</f>
        <v>0</v>
      </c>
      <c r="R914">
        <f>sumif(Plan!B:B,"261-008000-204",Plan!r:r)</f>
        <v>0</v>
      </c>
      <c r="S914">
        <f>sumif(Plan!B:B,"261-008000-204",Plan!s:s)</f>
        <v>0</v>
      </c>
      <c r="T914">
        <f>sumif(Plan!B:B,"261-008000-204",Plan!t:t)</f>
        <v>0</v>
      </c>
      <c r="U914">
        <f>sumif(Plan!B:B,"261-008000-204",Plan!u:u)</f>
        <v>0</v>
      </c>
      <c r="V914">
        <f>sumif(Plan!B:B,"261-008000-204",Plan!v:v)</f>
        <v>0</v>
      </c>
      <c r="W914">
        <f>sumif(Plan!B:B,"261-008000-204",Plan!w:w)</f>
        <v>0</v>
      </c>
      <c r="X914">
        <f>sumif(Plan!B:B,"261-008000-204",Plan!x:x)</f>
        <v>0</v>
      </c>
      <c r="Y914">
        <f>sumif(Plan!B:B,"261-008000-204",Plan!y:y)</f>
        <v>0</v>
      </c>
      <c r="Z914">
        <f>sumif(Plan!B:B,"261-008000-204",Plan!z:z)</f>
        <v>0</v>
      </c>
      <c r="AA914">
        <f>sumif(Plan!B:B,"261-008000-204",Plan!aa:aa)</f>
        <v>0</v>
      </c>
      <c r="AB914">
        <f>sumif(Plan!B:B,"261-008000-204",Plan!ab:ab)</f>
        <v>0</v>
      </c>
      <c r="AC914">
        <f>sumif(Plan!B:B,"261-008000-204",Plan!ac:ac)</f>
        <v>0</v>
      </c>
      <c r="AD914">
        <f>sumif(Plan!B:B,"261-008000-204",Plan!ad:ad)</f>
        <v>0</v>
      </c>
      <c r="AE914">
        <f>sumif(Plan!B:B,"261-008000-204",Plan!ae:ae)</f>
        <v>0</v>
      </c>
      <c r="AF914">
        <f>sumif(Plan!B:B,"261-008000-204",Plan!af:af)</f>
        <v>0</v>
      </c>
      <c r="AG914">
        <f>sumif(Plan!B:B,"261-008000-204",Plan!ag:ag)</f>
        <v>0</v>
      </c>
      <c r="AH914">
        <f>sumif(Plan!B:B,"261-008000-204",Plan!ah:ah)</f>
        <v>0</v>
      </c>
      <c r="AI914">
        <f>sumif(Plan!B:B,"261-008000-204",Plan!ai:ai)</f>
        <v>0</v>
      </c>
      <c r="AJ914">
        <f>sumif(Plan!B:B,"261-008000-204",Plan!aj:aj)</f>
        <v>0</v>
      </c>
      <c r="AK914">
        <f>sumif(Plan!B:B,"261-008000-204",Plan!ak:ak)</f>
        <v>0</v>
      </c>
      <c r="AL914">
        <f>sumif(Plan!B:B,"261-008000-204",Plan!al:al)</f>
        <v>0</v>
      </c>
      <c r="AM914">
        <f>sumif(Plan!B:B,"261-008000-204",Plan!am:am)</f>
        <v>0</v>
      </c>
      <c r="AN914">
        <f>sumif(Plan!B:B,"261-008000-204",Plan!an:an)</f>
        <v>0</v>
      </c>
      <c r="AO914">
        <f>sumif(Plan!B:B,"261-008000-204",Plan!ao:ao)</f>
        <v>0</v>
      </c>
    </row>
    <row r="915" spans="1:41">
      <c r="A915" t="s">
        <v>22</v>
      </c>
      <c r="B915" t="s">
        <v>611</v>
      </c>
      <c r="C915" t="s">
        <v>612</v>
      </c>
      <c r="E915">
        <v>1</v>
      </c>
      <c r="F915" t="s">
        <v>13</v>
      </c>
      <c r="H915" t="s">
        <v>16</v>
      </c>
      <c r="J915">
        <f>indirect(address(915,9))+indirect(address(913,10))-indirect(address(914,10))</f>
        <v>0</v>
      </c>
      <c r="K915">
        <f>indirect(address(915,10))+indirect(address(913,11))-indirect(address(914,11))</f>
        <v>0</v>
      </c>
      <c r="L915">
        <f>indirect(address(915,11))+indirect(address(913,12))-indirect(address(914,12))</f>
        <v>0</v>
      </c>
      <c r="M915">
        <f>indirect(address(915,12))+indirect(address(913,13))-indirect(address(914,13))</f>
        <v>0</v>
      </c>
      <c r="N915">
        <f>indirect(address(915,13))+indirect(address(913,14))-indirect(address(914,14))</f>
        <v>0</v>
      </c>
      <c r="O915">
        <f>indirect(address(915,14))+indirect(address(913,15))-indirect(address(914,15))</f>
        <v>0</v>
      </c>
      <c r="P915">
        <f>indirect(address(915,15))+indirect(address(913,16))-indirect(address(914,16))</f>
        <v>0</v>
      </c>
      <c r="Q915">
        <f>indirect(address(915,16))+indirect(address(913,17))-indirect(address(914,17))</f>
        <v>0</v>
      </c>
      <c r="R915">
        <f>indirect(address(915,17))+indirect(address(913,18))-indirect(address(914,18))</f>
        <v>0</v>
      </c>
      <c r="S915">
        <f>indirect(address(915,18))+indirect(address(913,19))-indirect(address(914,19))</f>
        <v>0</v>
      </c>
      <c r="T915">
        <f>indirect(address(915,19))+indirect(address(913,20))-indirect(address(914,20))</f>
        <v>0</v>
      </c>
      <c r="U915">
        <f>indirect(address(915,20))+indirect(address(913,21))-indirect(address(914,21))</f>
        <v>0</v>
      </c>
      <c r="V915">
        <f>indirect(address(915,21))+indirect(address(913,22))-indirect(address(914,22))</f>
        <v>0</v>
      </c>
      <c r="W915">
        <f>indirect(address(915,22))+indirect(address(913,23))-indirect(address(914,23))</f>
        <v>0</v>
      </c>
      <c r="X915">
        <f>indirect(address(915,23))+indirect(address(913,24))-indirect(address(914,24))</f>
        <v>0</v>
      </c>
      <c r="Y915">
        <f>indirect(address(915,24))+indirect(address(913,25))-indirect(address(914,25))</f>
        <v>0</v>
      </c>
      <c r="Z915">
        <f>indirect(address(915,25))+indirect(address(913,26))-indirect(address(914,26))</f>
        <v>0</v>
      </c>
      <c r="AA915">
        <f>indirect(address(915,26))+indirect(address(913,27))-indirect(address(914,27))</f>
        <v>0</v>
      </c>
      <c r="AB915">
        <f>indirect(address(915,27))+indirect(address(913,28))-indirect(address(914,28))</f>
        <v>0</v>
      </c>
      <c r="AC915">
        <f>indirect(address(915,28))+indirect(address(913,29))-indirect(address(914,29))</f>
        <v>0</v>
      </c>
      <c r="AD915">
        <f>indirect(address(915,29))+indirect(address(913,30))-indirect(address(914,30))</f>
        <v>0</v>
      </c>
      <c r="AE915">
        <f>indirect(address(915,30))+indirect(address(913,31))-indirect(address(914,31))</f>
        <v>0</v>
      </c>
      <c r="AF915">
        <f>indirect(address(915,31))+indirect(address(913,32))-indirect(address(914,32))</f>
        <v>0</v>
      </c>
      <c r="AG915">
        <f>indirect(address(915,32))+indirect(address(913,33))-indirect(address(914,33))</f>
        <v>0</v>
      </c>
      <c r="AH915">
        <f>indirect(address(915,33))+indirect(address(913,34))-indirect(address(914,34))</f>
        <v>0</v>
      </c>
      <c r="AI915">
        <f>indirect(address(915,34))+indirect(address(913,35))-indirect(address(914,35))</f>
        <v>0</v>
      </c>
      <c r="AJ915">
        <f>indirect(address(915,35))+indirect(address(913,36))-indirect(address(914,36))</f>
        <v>0</v>
      </c>
      <c r="AK915">
        <f>indirect(address(915,36))+indirect(address(913,37))-indirect(address(914,37))</f>
        <v>0</v>
      </c>
      <c r="AL915">
        <f>indirect(address(915,37))+indirect(address(913,38))-indirect(address(914,38))</f>
        <v>0</v>
      </c>
      <c r="AM915">
        <f>indirect(address(915,38))+indirect(address(913,39))-indirect(address(914,39))</f>
        <v>0</v>
      </c>
      <c r="AN915">
        <f>indirect(address(915,39))+indirect(address(913,40))-indirect(address(914,40))</f>
        <v>0</v>
      </c>
      <c r="AO915">
        <f>indirect(address(915,40))+indirect(address(913,41))-indirect(address(914,41))</f>
        <v>0</v>
      </c>
    </row>
    <row r="916" spans="1:41">
      <c r="I916" t="s">
        <v>14</v>
      </c>
      <c r="AO916">
        <f>sum(j916:an916)</f>
        <v>0</v>
      </c>
    </row>
    <row r="917" spans="1:41">
      <c r="I917" t="s">
        <v>15</v>
      </c>
      <c r="J917">
        <f>sumif(Plan!B:B,"261-019500-254",Plan!j:j)</f>
        <v>0</v>
      </c>
      <c r="K917">
        <f>sumif(Plan!B:B,"261-019500-254",Plan!k:k)</f>
        <v>0</v>
      </c>
      <c r="L917">
        <f>sumif(Plan!B:B,"261-019500-254",Plan!l:l)</f>
        <v>0</v>
      </c>
      <c r="M917">
        <f>sumif(Plan!B:B,"261-019500-254",Plan!m:m)</f>
        <v>0</v>
      </c>
      <c r="N917">
        <f>sumif(Plan!B:B,"261-019500-254",Plan!n:n)</f>
        <v>0</v>
      </c>
      <c r="O917">
        <f>sumif(Plan!B:B,"261-019500-254",Plan!o:o)</f>
        <v>0</v>
      </c>
      <c r="P917">
        <f>sumif(Plan!B:B,"261-019500-254",Plan!p:p)</f>
        <v>0</v>
      </c>
      <c r="Q917">
        <f>sumif(Plan!B:B,"261-019500-254",Plan!q:q)</f>
        <v>0</v>
      </c>
      <c r="R917">
        <f>sumif(Plan!B:B,"261-019500-254",Plan!r:r)</f>
        <v>0</v>
      </c>
      <c r="S917">
        <f>sumif(Plan!B:B,"261-019500-254",Plan!s:s)</f>
        <v>0</v>
      </c>
      <c r="T917">
        <f>sumif(Plan!B:B,"261-019500-254",Plan!t:t)</f>
        <v>0</v>
      </c>
      <c r="U917">
        <f>sumif(Plan!B:B,"261-019500-254",Plan!u:u)</f>
        <v>0</v>
      </c>
      <c r="V917">
        <f>sumif(Plan!B:B,"261-019500-254",Plan!v:v)</f>
        <v>0</v>
      </c>
      <c r="W917">
        <f>sumif(Plan!B:B,"261-019500-254",Plan!w:w)</f>
        <v>0</v>
      </c>
      <c r="X917">
        <f>sumif(Plan!B:B,"261-019500-254",Plan!x:x)</f>
        <v>0</v>
      </c>
      <c r="Y917">
        <f>sumif(Plan!B:B,"261-019500-254",Plan!y:y)</f>
        <v>0</v>
      </c>
      <c r="Z917">
        <f>sumif(Plan!B:B,"261-019500-254",Plan!z:z)</f>
        <v>0</v>
      </c>
      <c r="AA917">
        <f>sumif(Plan!B:B,"261-019500-254",Plan!aa:aa)</f>
        <v>0</v>
      </c>
      <c r="AB917">
        <f>sumif(Plan!B:B,"261-019500-254",Plan!ab:ab)</f>
        <v>0</v>
      </c>
      <c r="AC917">
        <f>sumif(Plan!B:B,"261-019500-254",Plan!ac:ac)</f>
        <v>0</v>
      </c>
      <c r="AD917">
        <f>sumif(Plan!B:B,"261-019500-254",Plan!ad:ad)</f>
        <v>0</v>
      </c>
      <c r="AE917">
        <f>sumif(Plan!B:B,"261-019500-254",Plan!ae:ae)</f>
        <v>0</v>
      </c>
      <c r="AF917">
        <f>sumif(Plan!B:B,"261-019500-254",Plan!af:af)</f>
        <v>0</v>
      </c>
      <c r="AG917">
        <f>sumif(Plan!B:B,"261-019500-254",Plan!ag:ag)</f>
        <v>0</v>
      </c>
      <c r="AH917">
        <f>sumif(Plan!B:B,"261-019500-254",Plan!ah:ah)</f>
        <v>0</v>
      </c>
      <c r="AI917">
        <f>sumif(Plan!B:B,"261-019500-254",Plan!ai:ai)</f>
        <v>0</v>
      </c>
      <c r="AJ917">
        <f>sumif(Plan!B:B,"261-019500-254",Plan!aj:aj)</f>
        <v>0</v>
      </c>
      <c r="AK917">
        <f>sumif(Plan!B:B,"261-019500-254",Plan!ak:ak)</f>
        <v>0</v>
      </c>
      <c r="AL917">
        <f>sumif(Plan!B:B,"261-019500-254",Plan!al:al)</f>
        <v>0</v>
      </c>
      <c r="AM917">
        <f>sumif(Plan!B:B,"261-019500-254",Plan!am:am)</f>
        <v>0</v>
      </c>
      <c r="AN917">
        <f>sumif(Plan!B:B,"261-019500-254",Plan!an:an)</f>
        <v>0</v>
      </c>
      <c r="AO917">
        <f>sumif(Plan!B:B,"261-019500-254",Plan!ao:ao)</f>
        <v>0</v>
      </c>
    </row>
    <row r="918" spans="1:41">
      <c r="A918" t="s">
        <v>22</v>
      </c>
      <c r="B918" t="s">
        <v>613</v>
      </c>
      <c r="C918" t="s">
        <v>614</v>
      </c>
      <c r="E918">
        <v>1</v>
      </c>
      <c r="F918" t="s">
        <v>13</v>
      </c>
      <c r="H918" t="s">
        <v>16</v>
      </c>
      <c r="J918">
        <f>indirect(address(918,9))+indirect(address(916,10))-indirect(address(917,10))</f>
        <v>0</v>
      </c>
      <c r="K918">
        <f>indirect(address(918,10))+indirect(address(916,11))-indirect(address(917,11))</f>
        <v>0</v>
      </c>
      <c r="L918">
        <f>indirect(address(918,11))+indirect(address(916,12))-indirect(address(917,12))</f>
        <v>0</v>
      </c>
      <c r="M918">
        <f>indirect(address(918,12))+indirect(address(916,13))-indirect(address(917,13))</f>
        <v>0</v>
      </c>
      <c r="N918">
        <f>indirect(address(918,13))+indirect(address(916,14))-indirect(address(917,14))</f>
        <v>0</v>
      </c>
      <c r="O918">
        <f>indirect(address(918,14))+indirect(address(916,15))-indirect(address(917,15))</f>
        <v>0</v>
      </c>
      <c r="P918">
        <f>indirect(address(918,15))+indirect(address(916,16))-indirect(address(917,16))</f>
        <v>0</v>
      </c>
      <c r="Q918">
        <f>indirect(address(918,16))+indirect(address(916,17))-indirect(address(917,17))</f>
        <v>0</v>
      </c>
      <c r="R918">
        <f>indirect(address(918,17))+indirect(address(916,18))-indirect(address(917,18))</f>
        <v>0</v>
      </c>
      <c r="S918">
        <f>indirect(address(918,18))+indirect(address(916,19))-indirect(address(917,19))</f>
        <v>0</v>
      </c>
      <c r="T918">
        <f>indirect(address(918,19))+indirect(address(916,20))-indirect(address(917,20))</f>
        <v>0</v>
      </c>
      <c r="U918">
        <f>indirect(address(918,20))+indirect(address(916,21))-indirect(address(917,21))</f>
        <v>0</v>
      </c>
      <c r="V918">
        <f>indirect(address(918,21))+indirect(address(916,22))-indirect(address(917,22))</f>
        <v>0</v>
      </c>
      <c r="W918">
        <f>indirect(address(918,22))+indirect(address(916,23))-indirect(address(917,23))</f>
        <v>0</v>
      </c>
      <c r="X918">
        <f>indirect(address(918,23))+indirect(address(916,24))-indirect(address(917,24))</f>
        <v>0</v>
      </c>
      <c r="Y918">
        <f>indirect(address(918,24))+indirect(address(916,25))-indirect(address(917,25))</f>
        <v>0</v>
      </c>
      <c r="Z918">
        <f>indirect(address(918,25))+indirect(address(916,26))-indirect(address(917,26))</f>
        <v>0</v>
      </c>
      <c r="AA918">
        <f>indirect(address(918,26))+indirect(address(916,27))-indirect(address(917,27))</f>
        <v>0</v>
      </c>
      <c r="AB918">
        <f>indirect(address(918,27))+indirect(address(916,28))-indirect(address(917,28))</f>
        <v>0</v>
      </c>
      <c r="AC918">
        <f>indirect(address(918,28))+indirect(address(916,29))-indirect(address(917,29))</f>
        <v>0</v>
      </c>
      <c r="AD918">
        <f>indirect(address(918,29))+indirect(address(916,30))-indirect(address(917,30))</f>
        <v>0</v>
      </c>
      <c r="AE918">
        <f>indirect(address(918,30))+indirect(address(916,31))-indirect(address(917,31))</f>
        <v>0</v>
      </c>
      <c r="AF918">
        <f>indirect(address(918,31))+indirect(address(916,32))-indirect(address(917,32))</f>
        <v>0</v>
      </c>
      <c r="AG918">
        <f>indirect(address(918,32))+indirect(address(916,33))-indirect(address(917,33))</f>
        <v>0</v>
      </c>
      <c r="AH918">
        <f>indirect(address(918,33))+indirect(address(916,34))-indirect(address(917,34))</f>
        <v>0</v>
      </c>
      <c r="AI918">
        <f>indirect(address(918,34))+indirect(address(916,35))-indirect(address(917,35))</f>
        <v>0</v>
      </c>
      <c r="AJ918">
        <f>indirect(address(918,35))+indirect(address(916,36))-indirect(address(917,36))</f>
        <v>0</v>
      </c>
      <c r="AK918">
        <f>indirect(address(918,36))+indirect(address(916,37))-indirect(address(917,37))</f>
        <v>0</v>
      </c>
      <c r="AL918">
        <f>indirect(address(918,37))+indirect(address(916,38))-indirect(address(917,38))</f>
        <v>0</v>
      </c>
      <c r="AM918">
        <f>indirect(address(918,38))+indirect(address(916,39))-indirect(address(917,39))</f>
        <v>0</v>
      </c>
      <c r="AN918">
        <f>indirect(address(918,39))+indirect(address(916,40))-indirect(address(917,40))</f>
        <v>0</v>
      </c>
      <c r="AO918">
        <f>indirect(address(918,40))+indirect(address(916,41))-indirect(address(917,41))</f>
        <v>0</v>
      </c>
    </row>
    <row r="919" spans="1:41">
      <c r="I919" t="s">
        <v>14</v>
      </c>
      <c r="AO919">
        <f>sum(j919:an919)</f>
        <v>0</v>
      </c>
    </row>
    <row r="920" spans="1:41">
      <c r="I920" t="s">
        <v>15</v>
      </c>
      <c r="J920">
        <f>sumif(Plan!B:B,"261-012000-254",Plan!j:j)</f>
        <v>0</v>
      </c>
      <c r="K920">
        <f>sumif(Plan!B:B,"261-012000-254",Plan!k:k)</f>
        <v>0</v>
      </c>
      <c r="L920">
        <f>sumif(Plan!B:B,"261-012000-254",Plan!l:l)</f>
        <v>0</v>
      </c>
      <c r="M920">
        <f>sumif(Plan!B:B,"261-012000-254",Plan!m:m)</f>
        <v>0</v>
      </c>
      <c r="N920">
        <f>sumif(Plan!B:B,"261-012000-254",Plan!n:n)</f>
        <v>0</v>
      </c>
      <c r="O920">
        <f>sumif(Plan!B:B,"261-012000-254",Plan!o:o)</f>
        <v>0</v>
      </c>
      <c r="P920">
        <f>sumif(Plan!B:B,"261-012000-254",Plan!p:p)</f>
        <v>0</v>
      </c>
      <c r="Q920">
        <f>sumif(Plan!B:B,"261-012000-254",Plan!q:q)</f>
        <v>0</v>
      </c>
      <c r="R920">
        <f>sumif(Plan!B:B,"261-012000-254",Plan!r:r)</f>
        <v>0</v>
      </c>
      <c r="S920">
        <f>sumif(Plan!B:B,"261-012000-254",Plan!s:s)</f>
        <v>0</v>
      </c>
      <c r="T920">
        <f>sumif(Plan!B:B,"261-012000-254",Plan!t:t)</f>
        <v>0</v>
      </c>
      <c r="U920">
        <f>sumif(Plan!B:B,"261-012000-254",Plan!u:u)</f>
        <v>0</v>
      </c>
      <c r="V920">
        <f>sumif(Plan!B:B,"261-012000-254",Plan!v:v)</f>
        <v>0</v>
      </c>
      <c r="W920">
        <f>sumif(Plan!B:B,"261-012000-254",Plan!w:w)</f>
        <v>0</v>
      </c>
      <c r="X920">
        <f>sumif(Plan!B:B,"261-012000-254",Plan!x:x)</f>
        <v>0</v>
      </c>
      <c r="Y920">
        <f>sumif(Plan!B:B,"261-012000-254",Plan!y:y)</f>
        <v>0</v>
      </c>
      <c r="Z920">
        <f>sumif(Plan!B:B,"261-012000-254",Plan!z:z)</f>
        <v>0</v>
      </c>
      <c r="AA920">
        <f>sumif(Plan!B:B,"261-012000-254",Plan!aa:aa)</f>
        <v>0</v>
      </c>
      <c r="AB920">
        <f>sumif(Plan!B:B,"261-012000-254",Plan!ab:ab)</f>
        <v>0</v>
      </c>
      <c r="AC920">
        <f>sumif(Plan!B:B,"261-012000-254",Plan!ac:ac)</f>
        <v>0</v>
      </c>
      <c r="AD920">
        <f>sumif(Plan!B:B,"261-012000-254",Plan!ad:ad)</f>
        <v>0</v>
      </c>
      <c r="AE920">
        <f>sumif(Plan!B:B,"261-012000-254",Plan!ae:ae)</f>
        <v>0</v>
      </c>
      <c r="AF920">
        <f>sumif(Plan!B:B,"261-012000-254",Plan!af:af)</f>
        <v>0</v>
      </c>
      <c r="AG920">
        <f>sumif(Plan!B:B,"261-012000-254",Plan!ag:ag)</f>
        <v>0</v>
      </c>
      <c r="AH920">
        <f>sumif(Plan!B:B,"261-012000-254",Plan!ah:ah)</f>
        <v>0</v>
      </c>
      <c r="AI920">
        <f>sumif(Plan!B:B,"261-012000-254",Plan!ai:ai)</f>
        <v>0</v>
      </c>
      <c r="AJ920">
        <f>sumif(Plan!B:B,"261-012000-254",Plan!aj:aj)</f>
        <v>0</v>
      </c>
      <c r="AK920">
        <f>sumif(Plan!B:B,"261-012000-254",Plan!ak:ak)</f>
        <v>0</v>
      </c>
      <c r="AL920">
        <f>sumif(Plan!B:B,"261-012000-254",Plan!al:al)</f>
        <v>0</v>
      </c>
      <c r="AM920">
        <f>sumif(Plan!B:B,"261-012000-254",Plan!am:am)</f>
        <v>0</v>
      </c>
      <c r="AN920">
        <f>sumif(Plan!B:B,"261-012000-254",Plan!an:an)</f>
        <v>0</v>
      </c>
      <c r="AO920">
        <f>sumif(Plan!B:B,"261-012000-254",Plan!ao:ao)</f>
        <v>0</v>
      </c>
    </row>
    <row r="921" spans="1:41">
      <c r="A921" t="s">
        <v>22</v>
      </c>
      <c r="B921" t="s">
        <v>615</v>
      </c>
      <c r="C921" t="s">
        <v>616</v>
      </c>
      <c r="E921">
        <v>1</v>
      </c>
      <c r="F921" t="s">
        <v>13</v>
      </c>
      <c r="H921" t="s">
        <v>16</v>
      </c>
      <c r="J921">
        <f>indirect(address(921,9))+indirect(address(919,10))-indirect(address(920,10))</f>
        <v>0</v>
      </c>
      <c r="K921">
        <f>indirect(address(921,10))+indirect(address(919,11))-indirect(address(920,11))</f>
        <v>0</v>
      </c>
      <c r="L921">
        <f>indirect(address(921,11))+indirect(address(919,12))-indirect(address(920,12))</f>
        <v>0</v>
      </c>
      <c r="M921">
        <f>indirect(address(921,12))+indirect(address(919,13))-indirect(address(920,13))</f>
        <v>0</v>
      </c>
      <c r="N921">
        <f>indirect(address(921,13))+indirect(address(919,14))-indirect(address(920,14))</f>
        <v>0</v>
      </c>
      <c r="O921">
        <f>indirect(address(921,14))+indirect(address(919,15))-indirect(address(920,15))</f>
        <v>0</v>
      </c>
      <c r="P921">
        <f>indirect(address(921,15))+indirect(address(919,16))-indirect(address(920,16))</f>
        <v>0</v>
      </c>
      <c r="Q921">
        <f>indirect(address(921,16))+indirect(address(919,17))-indirect(address(920,17))</f>
        <v>0</v>
      </c>
      <c r="R921">
        <f>indirect(address(921,17))+indirect(address(919,18))-indirect(address(920,18))</f>
        <v>0</v>
      </c>
      <c r="S921">
        <f>indirect(address(921,18))+indirect(address(919,19))-indirect(address(920,19))</f>
        <v>0</v>
      </c>
      <c r="T921">
        <f>indirect(address(921,19))+indirect(address(919,20))-indirect(address(920,20))</f>
        <v>0</v>
      </c>
      <c r="U921">
        <f>indirect(address(921,20))+indirect(address(919,21))-indirect(address(920,21))</f>
        <v>0</v>
      </c>
      <c r="V921">
        <f>indirect(address(921,21))+indirect(address(919,22))-indirect(address(920,22))</f>
        <v>0</v>
      </c>
      <c r="W921">
        <f>indirect(address(921,22))+indirect(address(919,23))-indirect(address(920,23))</f>
        <v>0</v>
      </c>
      <c r="X921">
        <f>indirect(address(921,23))+indirect(address(919,24))-indirect(address(920,24))</f>
        <v>0</v>
      </c>
      <c r="Y921">
        <f>indirect(address(921,24))+indirect(address(919,25))-indirect(address(920,25))</f>
        <v>0</v>
      </c>
      <c r="Z921">
        <f>indirect(address(921,25))+indirect(address(919,26))-indirect(address(920,26))</f>
        <v>0</v>
      </c>
      <c r="AA921">
        <f>indirect(address(921,26))+indirect(address(919,27))-indirect(address(920,27))</f>
        <v>0</v>
      </c>
      <c r="AB921">
        <f>indirect(address(921,27))+indirect(address(919,28))-indirect(address(920,28))</f>
        <v>0</v>
      </c>
      <c r="AC921">
        <f>indirect(address(921,28))+indirect(address(919,29))-indirect(address(920,29))</f>
        <v>0</v>
      </c>
      <c r="AD921">
        <f>indirect(address(921,29))+indirect(address(919,30))-indirect(address(920,30))</f>
        <v>0</v>
      </c>
      <c r="AE921">
        <f>indirect(address(921,30))+indirect(address(919,31))-indirect(address(920,31))</f>
        <v>0</v>
      </c>
      <c r="AF921">
        <f>indirect(address(921,31))+indirect(address(919,32))-indirect(address(920,32))</f>
        <v>0</v>
      </c>
      <c r="AG921">
        <f>indirect(address(921,32))+indirect(address(919,33))-indirect(address(920,33))</f>
        <v>0</v>
      </c>
      <c r="AH921">
        <f>indirect(address(921,33))+indirect(address(919,34))-indirect(address(920,34))</f>
        <v>0</v>
      </c>
      <c r="AI921">
        <f>indirect(address(921,34))+indirect(address(919,35))-indirect(address(920,35))</f>
        <v>0</v>
      </c>
      <c r="AJ921">
        <f>indirect(address(921,35))+indirect(address(919,36))-indirect(address(920,36))</f>
        <v>0</v>
      </c>
      <c r="AK921">
        <f>indirect(address(921,36))+indirect(address(919,37))-indirect(address(920,37))</f>
        <v>0</v>
      </c>
      <c r="AL921">
        <f>indirect(address(921,37))+indirect(address(919,38))-indirect(address(920,38))</f>
        <v>0</v>
      </c>
      <c r="AM921">
        <f>indirect(address(921,38))+indirect(address(919,39))-indirect(address(920,39))</f>
        <v>0</v>
      </c>
      <c r="AN921">
        <f>indirect(address(921,39))+indirect(address(919,40))-indirect(address(920,40))</f>
        <v>0</v>
      </c>
      <c r="AO921">
        <f>indirect(address(921,40))+indirect(address(919,41))-indirect(address(920,41))</f>
        <v>0</v>
      </c>
    </row>
    <row r="922" spans="1:41">
      <c r="I922" t="s">
        <v>14</v>
      </c>
      <c r="AO922">
        <f>sum(j922:an922)</f>
        <v>0</v>
      </c>
    </row>
    <row r="923" spans="1:41">
      <c r="I923" t="s">
        <v>15</v>
      </c>
      <c r="J923">
        <f>sumif(Plan!B:B,"806-422348-110",Plan!j:j)</f>
        <v>0</v>
      </c>
      <c r="K923">
        <f>sumif(Plan!B:B,"806-422348-110",Plan!k:k)</f>
        <v>0</v>
      </c>
      <c r="L923">
        <f>sumif(Plan!B:B,"806-422348-110",Plan!l:l)</f>
        <v>0</v>
      </c>
      <c r="M923">
        <f>sumif(Plan!B:B,"806-422348-110",Plan!m:m)</f>
        <v>0</v>
      </c>
      <c r="N923">
        <f>sumif(Plan!B:B,"806-422348-110",Plan!n:n)</f>
        <v>0</v>
      </c>
      <c r="O923">
        <f>sumif(Plan!B:B,"806-422348-110",Plan!o:o)</f>
        <v>0</v>
      </c>
      <c r="P923">
        <f>sumif(Plan!B:B,"806-422348-110",Plan!p:p)</f>
        <v>0</v>
      </c>
      <c r="Q923">
        <f>sumif(Plan!B:B,"806-422348-110",Plan!q:q)</f>
        <v>0</v>
      </c>
      <c r="R923">
        <f>sumif(Plan!B:B,"806-422348-110",Plan!r:r)</f>
        <v>0</v>
      </c>
      <c r="S923">
        <f>sumif(Plan!B:B,"806-422348-110",Plan!s:s)</f>
        <v>0</v>
      </c>
      <c r="T923">
        <f>sumif(Plan!B:B,"806-422348-110",Plan!t:t)</f>
        <v>0</v>
      </c>
      <c r="U923">
        <f>sumif(Plan!B:B,"806-422348-110",Plan!u:u)</f>
        <v>0</v>
      </c>
      <c r="V923">
        <f>sumif(Plan!B:B,"806-422348-110",Plan!v:v)</f>
        <v>0</v>
      </c>
      <c r="W923">
        <f>sumif(Plan!B:B,"806-422348-110",Plan!w:w)</f>
        <v>0</v>
      </c>
      <c r="X923">
        <f>sumif(Plan!B:B,"806-422348-110",Plan!x:x)</f>
        <v>0</v>
      </c>
      <c r="Y923">
        <f>sumif(Plan!B:B,"806-422348-110",Plan!y:y)</f>
        <v>0</v>
      </c>
      <c r="Z923">
        <f>sumif(Plan!B:B,"806-422348-110",Plan!z:z)</f>
        <v>0</v>
      </c>
      <c r="AA923">
        <f>sumif(Plan!B:B,"806-422348-110",Plan!aa:aa)</f>
        <v>0</v>
      </c>
      <c r="AB923">
        <f>sumif(Plan!B:B,"806-422348-110",Plan!ab:ab)</f>
        <v>0</v>
      </c>
      <c r="AC923">
        <f>sumif(Plan!B:B,"806-422348-110",Plan!ac:ac)</f>
        <v>0</v>
      </c>
      <c r="AD923">
        <f>sumif(Plan!B:B,"806-422348-110",Plan!ad:ad)</f>
        <v>0</v>
      </c>
      <c r="AE923">
        <f>sumif(Plan!B:B,"806-422348-110",Plan!ae:ae)</f>
        <v>0</v>
      </c>
      <c r="AF923">
        <f>sumif(Plan!B:B,"806-422348-110",Plan!af:af)</f>
        <v>0</v>
      </c>
      <c r="AG923">
        <f>sumif(Plan!B:B,"806-422348-110",Plan!ag:ag)</f>
        <v>0</v>
      </c>
      <c r="AH923">
        <f>sumif(Plan!B:B,"806-422348-110",Plan!ah:ah)</f>
        <v>0</v>
      </c>
      <c r="AI923">
        <f>sumif(Plan!B:B,"806-422348-110",Plan!ai:ai)</f>
        <v>0</v>
      </c>
      <c r="AJ923">
        <f>sumif(Plan!B:B,"806-422348-110",Plan!aj:aj)</f>
        <v>0</v>
      </c>
      <c r="AK923">
        <f>sumif(Plan!B:B,"806-422348-110",Plan!ak:ak)</f>
        <v>0</v>
      </c>
      <c r="AL923">
        <f>sumif(Plan!B:B,"806-422348-110",Plan!al:al)</f>
        <v>0</v>
      </c>
      <c r="AM923">
        <f>sumif(Plan!B:B,"806-422348-110",Plan!am:am)</f>
        <v>0</v>
      </c>
      <c r="AN923">
        <f>sumif(Plan!B:B,"806-422348-110",Plan!an:an)</f>
        <v>0</v>
      </c>
      <c r="AO923">
        <f>sumif(Plan!B:B,"806-422348-110",Plan!ao:ao)</f>
        <v>0</v>
      </c>
    </row>
    <row r="924" spans="1:41">
      <c r="A924" t="s">
        <v>17</v>
      </c>
      <c r="B924" t="s">
        <v>618</v>
      </c>
      <c r="C924" t="s">
        <v>505</v>
      </c>
      <c r="E924">
        <v>1</v>
      </c>
      <c r="F924" t="s">
        <v>13</v>
      </c>
      <c r="H924" t="s">
        <v>16</v>
      </c>
      <c r="J924">
        <f>indirect(address(924,9))+indirect(address(922,10))-indirect(address(923,10))</f>
        <v>0</v>
      </c>
      <c r="K924">
        <f>indirect(address(924,10))+indirect(address(922,11))-indirect(address(923,11))</f>
        <v>0</v>
      </c>
      <c r="L924">
        <f>indirect(address(924,11))+indirect(address(922,12))-indirect(address(923,12))</f>
        <v>0</v>
      </c>
      <c r="M924">
        <f>indirect(address(924,12))+indirect(address(922,13))-indirect(address(923,13))</f>
        <v>0</v>
      </c>
      <c r="N924">
        <f>indirect(address(924,13))+indirect(address(922,14))-indirect(address(923,14))</f>
        <v>0</v>
      </c>
      <c r="O924">
        <f>indirect(address(924,14))+indirect(address(922,15))-indirect(address(923,15))</f>
        <v>0</v>
      </c>
      <c r="P924">
        <f>indirect(address(924,15))+indirect(address(922,16))-indirect(address(923,16))</f>
        <v>0</v>
      </c>
      <c r="Q924">
        <f>indirect(address(924,16))+indirect(address(922,17))-indirect(address(923,17))</f>
        <v>0</v>
      </c>
      <c r="R924">
        <f>indirect(address(924,17))+indirect(address(922,18))-indirect(address(923,18))</f>
        <v>0</v>
      </c>
      <c r="S924">
        <f>indirect(address(924,18))+indirect(address(922,19))-indirect(address(923,19))</f>
        <v>0</v>
      </c>
      <c r="T924">
        <f>indirect(address(924,19))+indirect(address(922,20))-indirect(address(923,20))</f>
        <v>0</v>
      </c>
      <c r="U924">
        <f>indirect(address(924,20))+indirect(address(922,21))-indirect(address(923,21))</f>
        <v>0</v>
      </c>
      <c r="V924">
        <f>indirect(address(924,21))+indirect(address(922,22))-indirect(address(923,22))</f>
        <v>0</v>
      </c>
      <c r="W924">
        <f>indirect(address(924,22))+indirect(address(922,23))-indirect(address(923,23))</f>
        <v>0</v>
      </c>
      <c r="X924">
        <f>indirect(address(924,23))+indirect(address(922,24))-indirect(address(923,24))</f>
        <v>0</v>
      </c>
      <c r="Y924">
        <f>indirect(address(924,24))+indirect(address(922,25))-indirect(address(923,25))</f>
        <v>0</v>
      </c>
      <c r="Z924">
        <f>indirect(address(924,25))+indirect(address(922,26))-indirect(address(923,26))</f>
        <v>0</v>
      </c>
      <c r="AA924">
        <f>indirect(address(924,26))+indirect(address(922,27))-indirect(address(923,27))</f>
        <v>0</v>
      </c>
      <c r="AB924">
        <f>indirect(address(924,27))+indirect(address(922,28))-indirect(address(923,28))</f>
        <v>0</v>
      </c>
      <c r="AC924">
        <f>indirect(address(924,28))+indirect(address(922,29))-indirect(address(923,29))</f>
        <v>0</v>
      </c>
      <c r="AD924">
        <f>indirect(address(924,29))+indirect(address(922,30))-indirect(address(923,30))</f>
        <v>0</v>
      </c>
      <c r="AE924">
        <f>indirect(address(924,30))+indirect(address(922,31))-indirect(address(923,31))</f>
        <v>0</v>
      </c>
      <c r="AF924">
        <f>indirect(address(924,31))+indirect(address(922,32))-indirect(address(923,32))</f>
        <v>0</v>
      </c>
      <c r="AG924">
        <f>indirect(address(924,32))+indirect(address(922,33))-indirect(address(923,33))</f>
        <v>0</v>
      </c>
      <c r="AH924">
        <f>indirect(address(924,33))+indirect(address(922,34))-indirect(address(923,34))</f>
        <v>0</v>
      </c>
      <c r="AI924">
        <f>indirect(address(924,34))+indirect(address(922,35))-indirect(address(923,35))</f>
        <v>0</v>
      </c>
      <c r="AJ924">
        <f>indirect(address(924,35))+indirect(address(922,36))-indirect(address(923,36))</f>
        <v>0</v>
      </c>
      <c r="AK924">
        <f>indirect(address(924,36))+indirect(address(922,37))-indirect(address(923,37))</f>
        <v>0</v>
      </c>
      <c r="AL924">
        <f>indirect(address(924,37))+indirect(address(922,38))-indirect(address(923,38))</f>
        <v>0</v>
      </c>
      <c r="AM924">
        <f>indirect(address(924,38))+indirect(address(922,39))-indirect(address(923,39))</f>
        <v>0</v>
      </c>
      <c r="AN924">
        <f>indirect(address(924,39))+indirect(address(922,40))-indirect(address(923,40))</f>
        <v>0</v>
      </c>
      <c r="AO924">
        <f>indirect(address(924,40))+indirect(address(922,41))-indirect(address(923,41))</f>
        <v>0</v>
      </c>
    </row>
    <row r="925" spans="1:41">
      <c r="I925" t="s">
        <v>14</v>
      </c>
      <c r="AO925">
        <f>sum(j925:an925)</f>
        <v>0</v>
      </c>
    </row>
    <row r="926" spans="1:41">
      <c r="I926" t="s">
        <v>15</v>
      </c>
      <c r="J926">
        <f>sumif(Plan!B:B,"806-423348-110",Plan!j:j)</f>
        <v>0</v>
      </c>
      <c r="K926">
        <f>sumif(Plan!B:B,"806-423348-110",Plan!k:k)</f>
        <v>0</v>
      </c>
      <c r="L926">
        <f>sumif(Plan!B:B,"806-423348-110",Plan!l:l)</f>
        <v>0</v>
      </c>
      <c r="M926">
        <f>sumif(Plan!B:B,"806-423348-110",Plan!m:m)</f>
        <v>0</v>
      </c>
      <c r="N926">
        <f>sumif(Plan!B:B,"806-423348-110",Plan!n:n)</f>
        <v>0</v>
      </c>
      <c r="O926">
        <f>sumif(Plan!B:B,"806-423348-110",Plan!o:o)</f>
        <v>0</v>
      </c>
      <c r="P926">
        <f>sumif(Plan!B:B,"806-423348-110",Plan!p:p)</f>
        <v>0</v>
      </c>
      <c r="Q926">
        <f>sumif(Plan!B:B,"806-423348-110",Plan!q:q)</f>
        <v>0</v>
      </c>
      <c r="R926">
        <f>sumif(Plan!B:B,"806-423348-110",Plan!r:r)</f>
        <v>0</v>
      </c>
      <c r="S926">
        <f>sumif(Plan!B:B,"806-423348-110",Plan!s:s)</f>
        <v>0</v>
      </c>
      <c r="T926">
        <f>sumif(Plan!B:B,"806-423348-110",Plan!t:t)</f>
        <v>0</v>
      </c>
      <c r="U926">
        <f>sumif(Plan!B:B,"806-423348-110",Plan!u:u)</f>
        <v>0</v>
      </c>
      <c r="V926">
        <f>sumif(Plan!B:B,"806-423348-110",Plan!v:v)</f>
        <v>0</v>
      </c>
      <c r="W926">
        <f>sumif(Plan!B:B,"806-423348-110",Plan!w:w)</f>
        <v>0</v>
      </c>
      <c r="X926">
        <f>sumif(Plan!B:B,"806-423348-110",Plan!x:x)</f>
        <v>0</v>
      </c>
      <c r="Y926">
        <f>sumif(Plan!B:B,"806-423348-110",Plan!y:y)</f>
        <v>0</v>
      </c>
      <c r="Z926">
        <f>sumif(Plan!B:B,"806-423348-110",Plan!z:z)</f>
        <v>0</v>
      </c>
      <c r="AA926">
        <f>sumif(Plan!B:B,"806-423348-110",Plan!aa:aa)</f>
        <v>0</v>
      </c>
      <c r="AB926">
        <f>sumif(Plan!B:B,"806-423348-110",Plan!ab:ab)</f>
        <v>0</v>
      </c>
      <c r="AC926">
        <f>sumif(Plan!B:B,"806-423348-110",Plan!ac:ac)</f>
        <v>0</v>
      </c>
      <c r="AD926">
        <f>sumif(Plan!B:B,"806-423348-110",Plan!ad:ad)</f>
        <v>0</v>
      </c>
      <c r="AE926">
        <f>sumif(Plan!B:B,"806-423348-110",Plan!ae:ae)</f>
        <v>0</v>
      </c>
      <c r="AF926">
        <f>sumif(Plan!B:B,"806-423348-110",Plan!af:af)</f>
        <v>0</v>
      </c>
      <c r="AG926">
        <f>sumif(Plan!B:B,"806-423348-110",Plan!ag:ag)</f>
        <v>0</v>
      </c>
      <c r="AH926">
        <f>sumif(Plan!B:B,"806-423348-110",Plan!ah:ah)</f>
        <v>0</v>
      </c>
      <c r="AI926">
        <f>sumif(Plan!B:B,"806-423348-110",Plan!ai:ai)</f>
        <v>0</v>
      </c>
      <c r="AJ926">
        <f>sumif(Plan!B:B,"806-423348-110",Plan!aj:aj)</f>
        <v>0</v>
      </c>
      <c r="AK926">
        <f>sumif(Plan!B:B,"806-423348-110",Plan!ak:ak)</f>
        <v>0</v>
      </c>
      <c r="AL926">
        <f>sumif(Plan!B:B,"806-423348-110",Plan!al:al)</f>
        <v>0</v>
      </c>
      <c r="AM926">
        <f>sumif(Plan!B:B,"806-423348-110",Plan!am:am)</f>
        <v>0</v>
      </c>
      <c r="AN926">
        <f>sumif(Plan!B:B,"806-423348-110",Plan!an:an)</f>
        <v>0</v>
      </c>
      <c r="AO926">
        <f>sumif(Plan!B:B,"806-423348-110",Plan!ao:ao)</f>
        <v>0</v>
      </c>
    </row>
    <row r="927" spans="1:41">
      <c r="A927" t="s">
        <v>17</v>
      </c>
      <c r="B927" t="s">
        <v>619</v>
      </c>
      <c r="C927" t="s">
        <v>604</v>
      </c>
      <c r="E927">
        <v>1</v>
      </c>
      <c r="F927" t="s">
        <v>13</v>
      </c>
      <c r="H927" t="s">
        <v>16</v>
      </c>
      <c r="J927">
        <f>indirect(address(927,9))+indirect(address(925,10))-indirect(address(926,10))</f>
        <v>0</v>
      </c>
      <c r="K927">
        <f>indirect(address(927,10))+indirect(address(925,11))-indirect(address(926,11))</f>
        <v>0</v>
      </c>
      <c r="L927">
        <f>indirect(address(927,11))+indirect(address(925,12))-indirect(address(926,12))</f>
        <v>0</v>
      </c>
      <c r="M927">
        <f>indirect(address(927,12))+indirect(address(925,13))-indirect(address(926,13))</f>
        <v>0</v>
      </c>
      <c r="N927">
        <f>indirect(address(927,13))+indirect(address(925,14))-indirect(address(926,14))</f>
        <v>0</v>
      </c>
      <c r="O927">
        <f>indirect(address(927,14))+indirect(address(925,15))-indirect(address(926,15))</f>
        <v>0</v>
      </c>
      <c r="P927">
        <f>indirect(address(927,15))+indirect(address(925,16))-indirect(address(926,16))</f>
        <v>0</v>
      </c>
      <c r="Q927">
        <f>indirect(address(927,16))+indirect(address(925,17))-indirect(address(926,17))</f>
        <v>0</v>
      </c>
      <c r="R927">
        <f>indirect(address(927,17))+indirect(address(925,18))-indirect(address(926,18))</f>
        <v>0</v>
      </c>
      <c r="S927">
        <f>indirect(address(927,18))+indirect(address(925,19))-indirect(address(926,19))</f>
        <v>0</v>
      </c>
      <c r="T927">
        <f>indirect(address(927,19))+indirect(address(925,20))-indirect(address(926,20))</f>
        <v>0</v>
      </c>
      <c r="U927">
        <f>indirect(address(927,20))+indirect(address(925,21))-indirect(address(926,21))</f>
        <v>0</v>
      </c>
      <c r="V927">
        <f>indirect(address(927,21))+indirect(address(925,22))-indirect(address(926,22))</f>
        <v>0</v>
      </c>
      <c r="W927">
        <f>indirect(address(927,22))+indirect(address(925,23))-indirect(address(926,23))</f>
        <v>0</v>
      </c>
      <c r="X927">
        <f>indirect(address(927,23))+indirect(address(925,24))-indirect(address(926,24))</f>
        <v>0</v>
      </c>
      <c r="Y927">
        <f>indirect(address(927,24))+indirect(address(925,25))-indirect(address(926,25))</f>
        <v>0</v>
      </c>
      <c r="Z927">
        <f>indirect(address(927,25))+indirect(address(925,26))-indirect(address(926,26))</f>
        <v>0</v>
      </c>
      <c r="AA927">
        <f>indirect(address(927,26))+indirect(address(925,27))-indirect(address(926,27))</f>
        <v>0</v>
      </c>
      <c r="AB927">
        <f>indirect(address(927,27))+indirect(address(925,28))-indirect(address(926,28))</f>
        <v>0</v>
      </c>
      <c r="AC927">
        <f>indirect(address(927,28))+indirect(address(925,29))-indirect(address(926,29))</f>
        <v>0</v>
      </c>
      <c r="AD927">
        <f>indirect(address(927,29))+indirect(address(925,30))-indirect(address(926,30))</f>
        <v>0</v>
      </c>
      <c r="AE927">
        <f>indirect(address(927,30))+indirect(address(925,31))-indirect(address(926,31))</f>
        <v>0</v>
      </c>
      <c r="AF927">
        <f>indirect(address(927,31))+indirect(address(925,32))-indirect(address(926,32))</f>
        <v>0</v>
      </c>
      <c r="AG927">
        <f>indirect(address(927,32))+indirect(address(925,33))-indirect(address(926,33))</f>
        <v>0</v>
      </c>
      <c r="AH927">
        <f>indirect(address(927,33))+indirect(address(925,34))-indirect(address(926,34))</f>
        <v>0</v>
      </c>
      <c r="AI927">
        <f>indirect(address(927,34))+indirect(address(925,35))-indirect(address(926,35))</f>
        <v>0</v>
      </c>
      <c r="AJ927">
        <f>indirect(address(927,35))+indirect(address(925,36))-indirect(address(926,36))</f>
        <v>0</v>
      </c>
      <c r="AK927">
        <f>indirect(address(927,36))+indirect(address(925,37))-indirect(address(926,37))</f>
        <v>0</v>
      </c>
      <c r="AL927">
        <f>indirect(address(927,37))+indirect(address(925,38))-indirect(address(926,38))</f>
        <v>0</v>
      </c>
      <c r="AM927">
        <f>indirect(address(927,38))+indirect(address(925,39))-indirect(address(926,39))</f>
        <v>0</v>
      </c>
      <c r="AN927">
        <f>indirect(address(927,39))+indirect(address(925,40))-indirect(address(926,40))</f>
        <v>0</v>
      </c>
      <c r="AO927">
        <f>indirect(address(927,40))+indirect(address(925,41))-indirect(address(926,41))</f>
        <v>0</v>
      </c>
    </row>
    <row r="928" spans="1:41">
      <c r="I928" t="s">
        <v>14</v>
      </c>
      <c r="AO928">
        <f>sum(j928:an928)</f>
        <v>0</v>
      </c>
    </row>
    <row r="929" spans="1:41">
      <c r="I929" t="s">
        <v>15</v>
      </c>
      <c r="J929">
        <f>sumif(Plan!B:B,"261-173000-103",Plan!j:j)</f>
        <v>0</v>
      </c>
      <c r="K929">
        <f>sumif(Plan!B:B,"261-173000-103",Plan!k:k)</f>
        <v>0</v>
      </c>
      <c r="L929">
        <f>sumif(Plan!B:B,"261-173000-103",Plan!l:l)</f>
        <v>0</v>
      </c>
      <c r="M929">
        <f>sumif(Plan!B:B,"261-173000-103",Plan!m:m)</f>
        <v>0</v>
      </c>
      <c r="N929">
        <f>sumif(Plan!B:B,"261-173000-103",Plan!n:n)</f>
        <v>0</v>
      </c>
      <c r="O929">
        <f>sumif(Plan!B:B,"261-173000-103",Plan!o:o)</f>
        <v>0</v>
      </c>
      <c r="P929">
        <f>sumif(Plan!B:B,"261-173000-103",Plan!p:p)</f>
        <v>0</v>
      </c>
      <c r="Q929">
        <f>sumif(Plan!B:B,"261-173000-103",Plan!q:q)</f>
        <v>0</v>
      </c>
      <c r="R929">
        <f>sumif(Plan!B:B,"261-173000-103",Plan!r:r)</f>
        <v>0</v>
      </c>
      <c r="S929">
        <f>sumif(Plan!B:B,"261-173000-103",Plan!s:s)</f>
        <v>0</v>
      </c>
      <c r="T929">
        <f>sumif(Plan!B:B,"261-173000-103",Plan!t:t)</f>
        <v>0</v>
      </c>
      <c r="U929">
        <f>sumif(Plan!B:B,"261-173000-103",Plan!u:u)</f>
        <v>0</v>
      </c>
      <c r="V929">
        <f>sumif(Plan!B:B,"261-173000-103",Plan!v:v)</f>
        <v>0</v>
      </c>
      <c r="W929">
        <f>sumif(Plan!B:B,"261-173000-103",Plan!w:w)</f>
        <v>0</v>
      </c>
      <c r="X929">
        <f>sumif(Plan!B:B,"261-173000-103",Plan!x:x)</f>
        <v>0</v>
      </c>
      <c r="Y929">
        <f>sumif(Plan!B:B,"261-173000-103",Plan!y:y)</f>
        <v>0</v>
      </c>
      <c r="Z929">
        <f>sumif(Plan!B:B,"261-173000-103",Plan!z:z)</f>
        <v>0</v>
      </c>
      <c r="AA929">
        <f>sumif(Plan!B:B,"261-173000-103",Plan!aa:aa)</f>
        <v>0</v>
      </c>
      <c r="AB929">
        <f>sumif(Plan!B:B,"261-173000-103",Plan!ab:ab)</f>
        <v>0</v>
      </c>
      <c r="AC929">
        <f>sumif(Plan!B:B,"261-173000-103",Plan!ac:ac)</f>
        <v>0</v>
      </c>
      <c r="AD929">
        <f>sumif(Plan!B:B,"261-173000-103",Plan!ad:ad)</f>
        <v>0</v>
      </c>
      <c r="AE929">
        <f>sumif(Plan!B:B,"261-173000-103",Plan!ae:ae)</f>
        <v>0</v>
      </c>
      <c r="AF929">
        <f>sumif(Plan!B:B,"261-173000-103",Plan!af:af)</f>
        <v>0</v>
      </c>
      <c r="AG929">
        <f>sumif(Plan!B:B,"261-173000-103",Plan!ag:ag)</f>
        <v>0</v>
      </c>
      <c r="AH929">
        <f>sumif(Plan!B:B,"261-173000-103",Plan!ah:ah)</f>
        <v>0</v>
      </c>
      <c r="AI929">
        <f>sumif(Plan!B:B,"261-173000-103",Plan!ai:ai)</f>
        <v>0</v>
      </c>
      <c r="AJ929">
        <f>sumif(Plan!B:B,"261-173000-103",Plan!aj:aj)</f>
        <v>0</v>
      </c>
      <c r="AK929">
        <f>sumif(Plan!B:B,"261-173000-103",Plan!ak:ak)</f>
        <v>0</v>
      </c>
      <c r="AL929">
        <f>sumif(Plan!B:B,"261-173000-103",Plan!al:al)</f>
        <v>0</v>
      </c>
      <c r="AM929">
        <f>sumif(Plan!B:B,"261-173000-103",Plan!am:am)</f>
        <v>0</v>
      </c>
      <c r="AN929">
        <f>sumif(Plan!B:B,"261-173000-103",Plan!an:an)</f>
        <v>0</v>
      </c>
      <c r="AO929">
        <f>sumif(Plan!B:B,"261-173000-103",Plan!ao:ao)</f>
        <v>0</v>
      </c>
    </row>
    <row r="930" spans="1:41">
      <c r="A930" t="s">
        <v>22</v>
      </c>
      <c r="B930" t="s">
        <v>620</v>
      </c>
      <c r="C930" t="s">
        <v>621</v>
      </c>
      <c r="E930">
        <v>1</v>
      </c>
      <c r="F930" t="s">
        <v>13</v>
      </c>
      <c r="H930" t="s">
        <v>16</v>
      </c>
      <c r="J930">
        <f>indirect(address(930,9))+indirect(address(928,10))-indirect(address(929,10))</f>
        <v>0</v>
      </c>
      <c r="K930">
        <f>indirect(address(930,10))+indirect(address(928,11))-indirect(address(929,11))</f>
        <v>0</v>
      </c>
      <c r="L930">
        <f>indirect(address(930,11))+indirect(address(928,12))-indirect(address(929,12))</f>
        <v>0</v>
      </c>
      <c r="M930">
        <f>indirect(address(930,12))+indirect(address(928,13))-indirect(address(929,13))</f>
        <v>0</v>
      </c>
      <c r="N930">
        <f>indirect(address(930,13))+indirect(address(928,14))-indirect(address(929,14))</f>
        <v>0</v>
      </c>
      <c r="O930">
        <f>indirect(address(930,14))+indirect(address(928,15))-indirect(address(929,15))</f>
        <v>0</v>
      </c>
      <c r="P930">
        <f>indirect(address(930,15))+indirect(address(928,16))-indirect(address(929,16))</f>
        <v>0</v>
      </c>
      <c r="Q930">
        <f>indirect(address(930,16))+indirect(address(928,17))-indirect(address(929,17))</f>
        <v>0</v>
      </c>
      <c r="R930">
        <f>indirect(address(930,17))+indirect(address(928,18))-indirect(address(929,18))</f>
        <v>0</v>
      </c>
      <c r="S930">
        <f>indirect(address(930,18))+indirect(address(928,19))-indirect(address(929,19))</f>
        <v>0</v>
      </c>
      <c r="T930">
        <f>indirect(address(930,19))+indirect(address(928,20))-indirect(address(929,20))</f>
        <v>0</v>
      </c>
      <c r="U930">
        <f>indirect(address(930,20))+indirect(address(928,21))-indirect(address(929,21))</f>
        <v>0</v>
      </c>
      <c r="V930">
        <f>indirect(address(930,21))+indirect(address(928,22))-indirect(address(929,22))</f>
        <v>0</v>
      </c>
      <c r="W930">
        <f>indirect(address(930,22))+indirect(address(928,23))-indirect(address(929,23))</f>
        <v>0</v>
      </c>
      <c r="X930">
        <f>indirect(address(930,23))+indirect(address(928,24))-indirect(address(929,24))</f>
        <v>0</v>
      </c>
      <c r="Y930">
        <f>indirect(address(930,24))+indirect(address(928,25))-indirect(address(929,25))</f>
        <v>0</v>
      </c>
      <c r="Z930">
        <f>indirect(address(930,25))+indirect(address(928,26))-indirect(address(929,26))</f>
        <v>0</v>
      </c>
      <c r="AA930">
        <f>indirect(address(930,26))+indirect(address(928,27))-indirect(address(929,27))</f>
        <v>0</v>
      </c>
      <c r="AB930">
        <f>indirect(address(930,27))+indirect(address(928,28))-indirect(address(929,28))</f>
        <v>0</v>
      </c>
      <c r="AC930">
        <f>indirect(address(930,28))+indirect(address(928,29))-indirect(address(929,29))</f>
        <v>0</v>
      </c>
      <c r="AD930">
        <f>indirect(address(930,29))+indirect(address(928,30))-indirect(address(929,30))</f>
        <v>0</v>
      </c>
      <c r="AE930">
        <f>indirect(address(930,30))+indirect(address(928,31))-indirect(address(929,31))</f>
        <v>0</v>
      </c>
      <c r="AF930">
        <f>indirect(address(930,31))+indirect(address(928,32))-indirect(address(929,32))</f>
        <v>0</v>
      </c>
      <c r="AG930">
        <f>indirect(address(930,32))+indirect(address(928,33))-indirect(address(929,33))</f>
        <v>0</v>
      </c>
      <c r="AH930">
        <f>indirect(address(930,33))+indirect(address(928,34))-indirect(address(929,34))</f>
        <v>0</v>
      </c>
      <c r="AI930">
        <f>indirect(address(930,34))+indirect(address(928,35))-indirect(address(929,35))</f>
        <v>0</v>
      </c>
      <c r="AJ930">
        <f>indirect(address(930,35))+indirect(address(928,36))-indirect(address(929,36))</f>
        <v>0</v>
      </c>
      <c r="AK930">
        <f>indirect(address(930,36))+indirect(address(928,37))-indirect(address(929,37))</f>
        <v>0</v>
      </c>
      <c r="AL930">
        <f>indirect(address(930,37))+indirect(address(928,38))-indirect(address(929,38))</f>
        <v>0</v>
      </c>
      <c r="AM930">
        <f>indirect(address(930,38))+indirect(address(928,39))-indirect(address(929,39))</f>
        <v>0</v>
      </c>
      <c r="AN930">
        <f>indirect(address(930,39))+indirect(address(928,40))-indirect(address(929,40))</f>
        <v>0</v>
      </c>
      <c r="AO930">
        <f>indirect(address(930,40))+indirect(address(928,41))-indirect(address(929,41))</f>
        <v>0</v>
      </c>
    </row>
    <row r="931" spans="1:41">
      <c r="I931" t="s">
        <v>14</v>
      </c>
      <c r="AO931">
        <f>sum(j931:an931)</f>
        <v>0</v>
      </c>
    </row>
    <row r="932" spans="1:41">
      <c r="I932" t="s">
        <v>15</v>
      </c>
      <c r="J932">
        <f>sumif(Plan!B:B,"261-005000-254",Plan!j:j)</f>
        <v>0</v>
      </c>
      <c r="K932">
        <f>sumif(Plan!B:B,"261-005000-254",Plan!k:k)</f>
        <v>0</v>
      </c>
      <c r="L932">
        <f>sumif(Plan!B:B,"261-005000-254",Plan!l:l)</f>
        <v>0</v>
      </c>
      <c r="M932">
        <f>sumif(Plan!B:B,"261-005000-254",Plan!m:m)</f>
        <v>0</v>
      </c>
      <c r="N932">
        <f>sumif(Plan!B:B,"261-005000-254",Plan!n:n)</f>
        <v>0</v>
      </c>
      <c r="O932">
        <f>sumif(Plan!B:B,"261-005000-254",Plan!o:o)</f>
        <v>0</v>
      </c>
      <c r="P932">
        <f>sumif(Plan!B:B,"261-005000-254",Plan!p:p)</f>
        <v>0</v>
      </c>
      <c r="Q932">
        <f>sumif(Plan!B:B,"261-005000-254",Plan!q:q)</f>
        <v>0</v>
      </c>
      <c r="R932">
        <f>sumif(Plan!B:B,"261-005000-254",Plan!r:r)</f>
        <v>0</v>
      </c>
      <c r="S932">
        <f>sumif(Plan!B:B,"261-005000-254",Plan!s:s)</f>
        <v>0</v>
      </c>
      <c r="T932">
        <f>sumif(Plan!B:B,"261-005000-254",Plan!t:t)</f>
        <v>0</v>
      </c>
      <c r="U932">
        <f>sumif(Plan!B:B,"261-005000-254",Plan!u:u)</f>
        <v>0</v>
      </c>
      <c r="V932">
        <f>sumif(Plan!B:B,"261-005000-254",Plan!v:v)</f>
        <v>0</v>
      </c>
      <c r="W932">
        <f>sumif(Plan!B:B,"261-005000-254",Plan!w:w)</f>
        <v>0</v>
      </c>
      <c r="X932">
        <f>sumif(Plan!B:B,"261-005000-254",Plan!x:x)</f>
        <v>0</v>
      </c>
      <c r="Y932">
        <f>sumif(Plan!B:B,"261-005000-254",Plan!y:y)</f>
        <v>0</v>
      </c>
      <c r="Z932">
        <f>sumif(Plan!B:B,"261-005000-254",Plan!z:z)</f>
        <v>0</v>
      </c>
      <c r="AA932">
        <f>sumif(Plan!B:B,"261-005000-254",Plan!aa:aa)</f>
        <v>0</v>
      </c>
      <c r="AB932">
        <f>sumif(Plan!B:B,"261-005000-254",Plan!ab:ab)</f>
        <v>0</v>
      </c>
      <c r="AC932">
        <f>sumif(Plan!B:B,"261-005000-254",Plan!ac:ac)</f>
        <v>0</v>
      </c>
      <c r="AD932">
        <f>sumif(Plan!B:B,"261-005000-254",Plan!ad:ad)</f>
        <v>0</v>
      </c>
      <c r="AE932">
        <f>sumif(Plan!B:B,"261-005000-254",Plan!ae:ae)</f>
        <v>0</v>
      </c>
      <c r="AF932">
        <f>sumif(Plan!B:B,"261-005000-254",Plan!af:af)</f>
        <v>0</v>
      </c>
      <c r="AG932">
        <f>sumif(Plan!B:B,"261-005000-254",Plan!ag:ag)</f>
        <v>0</v>
      </c>
      <c r="AH932">
        <f>sumif(Plan!B:B,"261-005000-254",Plan!ah:ah)</f>
        <v>0</v>
      </c>
      <c r="AI932">
        <f>sumif(Plan!B:B,"261-005000-254",Plan!ai:ai)</f>
        <v>0</v>
      </c>
      <c r="AJ932">
        <f>sumif(Plan!B:B,"261-005000-254",Plan!aj:aj)</f>
        <v>0</v>
      </c>
      <c r="AK932">
        <f>sumif(Plan!B:B,"261-005000-254",Plan!ak:ak)</f>
        <v>0</v>
      </c>
      <c r="AL932">
        <f>sumif(Plan!B:B,"261-005000-254",Plan!al:al)</f>
        <v>0</v>
      </c>
      <c r="AM932">
        <f>sumif(Plan!B:B,"261-005000-254",Plan!am:am)</f>
        <v>0</v>
      </c>
      <c r="AN932">
        <f>sumif(Plan!B:B,"261-005000-254",Plan!an:an)</f>
        <v>0</v>
      </c>
      <c r="AO932">
        <f>sumif(Plan!B:B,"261-005000-254",Plan!ao:ao)</f>
        <v>0</v>
      </c>
    </row>
    <row r="933" spans="1:41">
      <c r="A933" t="s">
        <v>22</v>
      </c>
      <c r="B933" t="s">
        <v>607</v>
      </c>
      <c r="C933" t="s">
        <v>622</v>
      </c>
      <c r="E933">
        <v>2</v>
      </c>
      <c r="F933" t="s">
        <v>13</v>
      </c>
      <c r="H933" t="s">
        <v>16</v>
      </c>
      <c r="J933">
        <f>indirect(address(933,9))+indirect(address(931,10))-indirect(address(932,10))</f>
        <v>0</v>
      </c>
      <c r="K933">
        <f>indirect(address(933,10))+indirect(address(931,11))-indirect(address(932,11))</f>
        <v>0</v>
      </c>
      <c r="L933">
        <f>indirect(address(933,11))+indirect(address(931,12))-indirect(address(932,12))</f>
        <v>0</v>
      </c>
      <c r="M933">
        <f>indirect(address(933,12))+indirect(address(931,13))-indirect(address(932,13))</f>
        <v>0</v>
      </c>
      <c r="N933">
        <f>indirect(address(933,13))+indirect(address(931,14))-indirect(address(932,14))</f>
        <v>0</v>
      </c>
      <c r="O933">
        <f>indirect(address(933,14))+indirect(address(931,15))-indirect(address(932,15))</f>
        <v>0</v>
      </c>
      <c r="P933">
        <f>indirect(address(933,15))+indirect(address(931,16))-indirect(address(932,16))</f>
        <v>0</v>
      </c>
      <c r="Q933">
        <f>indirect(address(933,16))+indirect(address(931,17))-indirect(address(932,17))</f>
        <v>0</v>
      </c>
      <c r="R933">
        <f>indirect(address(933,17))+indirect(address(931,18))-indirect(address(932,18))</f>
        <v>0</v>
      </c>
      <c r="S933">
        <f>indirect(address(933,18))+indirect(address(931,19))-indirect(address(932,19))</f>
        <v>0</v>
      </c>
      <c r="T933">
        <f>indirect(address(933,19))+indirect(address(931,20))-indirect(address(932,20))</f>
        <v>0</v>
      </c>
      <c r="U933">
        <f>indirect(address(933,20))+indirect(address(931,21))-indirect(address(932,21))</f>
        <v>0</v>
      </c>
      <c r="V933">
        <f>indirect(address(933,21))+indirect(address(931,22))-indirect(address(932,22))</f>
        <v>0</v>
      </c>
      <c r="W933">
        <f>indirect(address(933,22))+indirect(address(931,23))-indirect(address(932,23))</f>
        <v>0</v>
      </c>
      <c r="X933">
        <f>indirect(address(933,23))+indirect(address(931,24))-indirect(address(932,24))</f>
        <v>0</v>
      </c>
      <c r="Y933">
        <f>indirect(address(933,24))+indirect(address(931,25))-indirect(address(932,25))</f>
        <v>0</v>
      </c>
      <c r="Z933">
        <f>indirect(address(933,25))+indirect(address(931,26))-indirect(address(932,26))</f>
        <v>0</v>
      </c>
      <c r="AA933">
        <f>indirect(address(933,26))+indirect(address(931,27))-indirect(address(932,27))</f>
        <v>0</v>
      </c>
      <c r="AB933">
        <f>indirect(address(933,27))+indirect(address(931,28))-indirect(address(932,28))</f>
        <v>0</v>
      </c>
      <c r="AC933">
        <f>indirect(address(933,28))+indirect(address(931,29))-indirect(address(932,29))</f>
        <v>0</v>
      </c>
      <c r="AD933">
        <f>indirect(address(933,29))+indirect(address(931,30))-indirect(address(932,30))</f>
        <v>0</v>
      </c>
      <c r="AE933">
        <f>indirect(address(933,30))+indirect(address(931,31))-indirect(address(932,31))</f>
        <v>0</v>
      </c>
      <c r="AF933">
        <f>indirect(address(933,31))+indirect(address(931,32))-indirect(address(932,32))</f>
        <v>0</v>
      </c>
      <c r="AG933">
        <f>indirect(address(933,32))+indirect(address(931,33))-indirect(address(932,33))</f>
        <v>0</v>
      </c>
      <c r="AH933">
        <f>indirect(address(933,33))+indirect(address(931,34))-indirect(address(932,34))</f>
        <v>0</v>
      </c>
      <c r="AI933">
        <f>indirect(address(933,34))+indirect(address(931,35))-indirect(address(932,35))</f>
        <v>0</v>
      </c>
      <c r="AJ933">
        <f>indirect(address(933,35))+indirect(address(931,36))-indirect(address(932,36))</f>
        <v>0</v>
      </c>
      <c r="AK933">
        <f>indirect(address(933,36))+indirect(address(931,37))-indirect(address(932,37))</f>
        <v>0</v>
      </c>
      <c r="AL933">
        <f>indirect(address(933,37))+indirect(address(931,38))-indirect(address(932,38))</f>
        <v>0</v>
      </c>
      <c r="AM933">
        <f>indirect(address(933,38))+indirect(address(931,39))-indirect(address(932,39))</f>
        <v>0</v>
      </c>
      <c r="AN933">
        <f>indirect(address(933,39))+indirect(address(931,40))-indirect(address(932,40))</f>
        <v>0</v>
      </c>
      <c r="AO933">
        <f>indirect(address(933,40))+indirect(address(931,41))-indirect(address(932,41))</f>
        <v>0</v>
      </c>
    </row>
    <row r="934" spans="1:41">
      <c r="I934" t="s">
        <v>14</v>
      </c>
      <c r="AO934">
        <f>sum(j934:an934)</f>
        <v>0</v>
      </c>
    </row>
    <row r="935" spans="1:41">
      <c r="I935" t="s">
        <v>15</v>
      </c>
      <c r="J935">
        <f>sumif(Plan!B:B,"261-015000-254",Plan!j:j)</f>
        <v>0</v>
      </c>
      <c r="K935">
        <f>sumif(Plan!B:B,"261-015000-254",Plan!k:k)</f>
        <v>0</v>
      </c>
      <c r="L935">
        <f>sumif(Plan!B:B,"261-015000-254",Plan!l:l)</f>
        <v>0</v>
      </c>
      <c r="M935">
        <f>sumif(Plan!B:B,"261-015000-254",Plan!m:m)</f>
        <v>0</v>
      </c>
      <c r="N935">
        <f>sumif(Plan!B:B,"261-015000-254",Plan!n:n)</f>
        <v>0</v>
      </c>
      <c r="O935">
        <f>sumif(Plan!B:B,"261-015000-254",Plan!o:o)</f>
        <v>0</v>
      </c>
      <c r="P935">
        <f>sumif(Plan!B:B,"261-015000-254",Plan!p:p)</f>
        <v>0</v>
      </c>
      <c r="Q935">
        <f>sumif(Plan!B:B,"261-015000-254",Plan!q:q)</f>
        <v>0</v>
      </c>
      <c r="R935">
        <f>sumif(Plan!B:B,"261-015000-254",Plan!r:r)</f>
        <v>0</v>
      </c>
      <c r="S935">
        <f>sumif(Plan!B:B,"261-015000-254",Plan!s:s)</f>
        <v>0</v>
      </c>
      <c r="T935">
        <f>sumif(Plan!B:B,"261-015000-254",Plan!t:t)</f>
        <v>0</v>
      </c>
      <c r="U935">
        <f>sumif(Plan!B:B,"261-015000-254",Plan!u:u)</f>
        <v>0</v>
      </c>
      <c r="V935">
        <f>sumif(Plan!B:B,"261-015000-254",Plan!v:v)</f>
        <v>0</v>
      </c>
      <c r="W935">
        <f>sumif(Plan!B:B,"261-015000-254",Plan!w:w)</f>
        <v>0</v>
      </c>
      <c r="X935">
        <f>sumif(Plan!B:B,"261-015000-254",Plan!x:x)</f>
        <v>0</v>
      </c>
      <c r="Y935">
        <f>sumif(Plan!B:B,"261-015000-254",Plan!y:y)</f>
        <v>0</v>
      </c>
      <c r="Z935">
        <f>sumif(Plan!B:B,"261-015000-254",Plan!z:z)</f>
        <v>0</v>
      </c>
      <c r="AA935">
        <f>sumif(Plan!B:B,"261-015000-254",Plan!aa:aa)</f>
        <v>0</v>
      </c>
      <c r="AB935">
        <f>sumif(Plan!B:B,"261-015000-254",Plan!ab:ab)</f>
        <v>0</v>
      </c>
      <c r="AC935">
        <f>sumif(Plan!B:B,"261-015000-254",Plan!ac:ac)</f>
        <v>0</v>
      </c>
      <c r="AD935">
        <f>sumif(Plan!B:B,"261-015000-254",Plan!ad:ad)</f>
        <v>0</v>
      </c>
      <c r="AE935">
        <f>sumif(Plan!B:B,"261-015000-254",Plan!ae:ae)</f>
        <v>0</v>
      </c>
      <c r="AF935">
        <f>sumif(Plan!B:B,"261-015000-254",Plan!af:af)</f>
        <v>0</v>
      </c>
      <c r="AG935">
        <f>sumif(Plan!B:B,"261-015000-254",Plan!ag:ag)</f>
        <v>0</v>
      </c>
      <c r="AH935">
        <f>sumif(Plan!B:B,"261-015000-254",Plan!ah:ah)</f>
        <v>0</v>
      </c>
      <c r="AI935">
        <f>sumif(Plan!B:B,"261-015000-254",Plan!ai:ai)</f>
        <v>0</v>
      </c>
      <c r="AJ935">
        <f>sumif(Plan!B:B,"261-015000-254",Plan!aj:aj)</f>
        <v>0</v>
      </c>
      <c r="AK935">
        <f>sumif(Plan!B:B,"261-015000-254",Plan!ak:ak)</f>
        <v>0</v>
      </c>
      <c r="AL935">
        <f>sumif(Plan!B:B,"261-015000-254",Plan!al:al)</f>
        <v>0</v>
      </c>
      <c r="AM935">
        <f>sumif(Plan!B:B,"261-015000-254",Plan!am:am)</f>
        <v>0</v>
      </c>
      <c r="AN935">
        <f>sumif(Plan!B:B,"261-015000-254",Plan!an:an)</f>
        <v>0</v>
      </c>
      <c r="AO935">
        <f>sumif(Plan!B:B,"261-015000-254",Plan!ao:ao)</f>
        <v>0</v>
      </c>
    </row>
    <row r="936" spans="1:41">
      <c r="A936" t="s">
        <v>22</v>
      </c>
      <c r="B936" t="s">
        <v>609</v>
      </c>
      <c r="C936" t="s">
        <v>623</v>
      </c>
      <c r="E936">
        <v>1</v>
      </c>
      <c r="F936" t="s">
        <v>13</v>
      </c>
      <c r="H936" t="s">
        <v>16</v>
      </c>
      <c r="J936">
        <f>indirect(address(936,9))+indirect(address(934,10))-indirect(address(935,10))</f>
        <v>0</v>
      </c>
      <c r="K936">
        <f>indirect(address(936,10))+indirect(address(934,11))-indirect(address(935,11))</f>
        <v>0</v>
      </c>
      <c r="L936">
        <f>indirect(address(936,11))+indirect(address(934,12))-indirect(address(935,12))</f>
        <v>0</v>
      </c>
      <c r="M936">
        <f>indirect(address(936,12))+indirect(address(934,13))-indirect(address(935,13))</f>
        <v>0</v>
      </c>
      <c r="N936">
        <f>indirect(address(936,13))+indirect(address(934,14))-indirect(address(935,14))</f>
        <v>0</v>
      </c>
      <c r="O936">
        <f>indirect(address(936,14))+indirect(address(934,15))-indirect(address(935,15))</f>
        <v>0</v>
      </c>
      <c r="P936">
        <f>indirect(address(936,15))+indirect(address(934,16))-indirect(address(935,16))</f>
        <v>0</v>
      </c>
      <c r="Q936">
        <f>indirect(address(936,16))+indirect(address(934,17))-indirect(address(935,17))</f>
        <v>0</v>
      </c>
      <c r="R936">
        <f>indirect(address(936,17))+indirect(address(934,18))-indirect(address(935,18))</f>
        <v>0</v>
      </c>
      <c r="S936">
        <f>indirect(address(936,18))+indirect(address(934,19))-indirect(address(935,19))</f>
        <v>0</v>
      </c>
      <c r="T936">
        <f>indirect(address(936,19))+indirect(address(934,20))-indirect(address(935,20))</f>
        <v>0</v>
      </c>
      <c r="U936">
        <f>indirect(address(936,20))+indirect(address(934,21))-indirect(address(935,21))</f>
        <v>0</v>
      </c>
      <c r="V936">
        <f>indirect(address(936,21))+indirect(address(934,22))-indirect(address(935,22))</f>
        <v>0</v>
      </c>
      <c r="W936">
        <f>indirect(address(936,22))+indirect(address(934,23))-indirect(address(935,23))</f>
        <v>0</v>
      </c>
      <c r="X936">
        <f>indirect(address(936,23))+indirect(address(934,24))-indirect(address(935,24))</f>
        <v>0</v>
      </c>
      <c r="Y936">
        <f>indirect(address(936,24))+indirect(address(934,25))-indirect(address(935,25))</f>
        <v>0</v>
      </c>
      <c r="Z936">
        <f>indirect(address(936,25))+indirect(address(934,26))-indirect(address(935,26))</f>
        <v>0</v>
      </c>
      <c r="AA936">
        <f>indirect(address(936,26))+indirect(address(934,27))-indirect(address(935,27))</f>
        <v>0</v>
      </c>
      <c r="AB936">
        <f>indirect(address(936,27))+indirect(address(934,28))-indirect(address(935,28))</f>
        <v>0</v>
      </c>
      <c r="AC936">
        <f>indirect(address(936,28))+indirect(address(934,29))-indirect(address(935,29))</f>
        <v>0</v>
      </c>
      <c r="AD936">
        <f>indirect(address(936,29))+indirect(address(934,30))-indirect(address(935,30))</f>
        <v>0</v>
      </c>
      <c r="AE936">
        <f>indirect(address(936,30))+indirect(address(934,31))-indirect(address(935,31))</f>
        <v>0</v>
      </c>
      <c r="AF936">
        <f>indirect(address(936,31))+indirect(address(934,32))-indirect(address(935,32))</f>
        <v>0</v>
      </c>
      <c r="AG936">
        <f>indirect(address(936,32))+indirect(address(934,33))-indirect(address(935,33))</f>
        <v>0</v>
      </c>
      <c r="AH936">
        <f>indirect(address(936,33))+indirect(address(934,34))-indirect(address(935,34))</f>
        <v>0</v>
      </c>
      <c r="AI936">
        <f>indirect(address(936,34))+indirect(address(934,35))-indirect(address(935,35))</f>
        <v>0</v>
      </c>
      <c r="AJ936">
        <f>indirect(address(936,35))+indirect(address(934,36))-indirect(address(935,36))</f>
        <v>0</v>
      </c>
      <c r="AK936">
        <f>indirect(address(936,36))+indirect(address(934,37))-indirect(address(935,37))</f>
        <v>0</v>
      </c>
      <c r="AL936">
        <f>indirect(address(936,37))+indirect(address(934,38))-indirect(address(935,38))</f>
        <v>0</v>
      </c>
      <c r="AM936">
        <f>indirect(address(936,38))+indirect(address(934,39))-indirect(address(935,39))</f>
        <v>0</v>
      </c>
      <c r="AN936">
        <f>indirect(address(936,39))+indirect(address(934,40))-indirect(address(935,40))</f>
        <v>0</v>
      </c>
      <c r="AO936">
        <f>indirect(address(936,40))+indirect(address(934,41))-indirect(address(935,41))</f>
        <v>0</v>
      </c>
    </row>
    <row r="937" spans="1:41">
      <c r="I937" t="s">
        <v>14</v>
      </c>
      <c r="AO937">
        <f>sum(j937:an937)</f>
        <v>0</v>
      </c>
    </row>
    <row r="938" spans="1:41">
      <c r="I938" t="s">
        <v>15</v>
      </c>
      <c r="J938">
        <f>sumif(Plan!B:B,"261-008000-204",Plan!j:j)</f>
        <v>0</v>
      </c>
      <c r="K938">
        <f>sumif(Plan!B:B,"261-008000-204",Plan!k:k)</f>
        <v>0</v>
      </c>
      <c r="L938">
        <f>sumif(Plan!B:B,"261-008000-204",Plan!l:l)</f>
        <v>0</v>
      </c>
      <c r="M938">
        <f>sumif(Plan!B:B,"261-008000-204",Plan!m:m)</f>
        <v>0</v>
      </c>
      <c r="N938">
        <f>sumif(Plan!B:B,"261-008000-204",Plan!n:n)</f>
        <v>0</v>
      </c>
      <c r="O938">
        <f>sumif(Plan!B:B,"261-008000-204",Plan!o:o)</f>
        <v>0</v>
      </c>
      <c r="P938">
        <f>sumif(Plan!B:B,"261-008000-204",Plan!p:p)</f>
        <v>0</v>
      </c>
      <c r="Q938">
        <f>sumif(Plan!B:B,"261-008000-204",Plan!q:q)</f>
        <v>0</v>
      </c>
      <c r="R938">
        <f>sumif(Plan!B:B,"261-008000-204",Plan!r:r)</f>
        <v>0</v>
      </c>
      <c r="S938">
        <f>sumif(Plan!B:B,"261-008000-204",Plan!s:s)</f>
        <v>0</v>
      </c>
      <c r="T938">
        <f>sumif(Plan!B:B,"261-008000-204",Plan!t:t)</f>
        <v>0</v>
      </c>
      <c r="U938">
        <f>sumif(Plan!B:B,"261-008000-204",Plan!u:u)</f>
        <v>0</v>
      </c>
      <c r="V938">
        <f>sumif(Plan!B:B,"261-008000-204",Plan!v:v)</f>
        <v>0</v>
      </c>
      <c r="W938">
        <f>sumif(Plan!B:B,"261-008000-204",Plan!w:w)</f>
        <v>0</v>
      </c>
      <c r="X938">
        <f>sumif(Plan!B:B,"261-008000-204",Plan!x:x)</f>
        <v>0</v>
      </c>
      <c r="Y938">
        <f>sumif(Plan!B:B,"261-008000-204",Plan!y:y)</f>
        <v>0</v>
      </c>
      <c r="Z938">
        <f>sumif(Plan!B:B,"261-008000-204",Plan!z:z)</f>
        <v>0</v>
      </c>
      <c r="AA938">
        <f>sumif(Plan!B:B,"261-008000-204",Plan!aa:aa)</f>
        <v>0</v>
      </c>
      <c r="AB938">
        <f>sumif(Plan!B:B,"261-008000-204",Plan!ab:ab)</f>
        <v>0</v>
      </c>
      <c r="AC938">
        <f>sumif(Plan!B:B,"261-008000-204",Plan!ac:ac)</f>
        <v>0</v>
      </c>
      <c r="AD938">
        <f>sumif(Plan!B:B,"261-008000-204",Plan!ad:ad)</f>
        <v>0</v>
      </c>
      <c r="AE938">
        <f>sumif(Plan!B:B,"261-008000-204",Plan!ae:ae)</f>
        <v>0</v>
      </c>
      <c r="AF938">
        <f>sumif(Plan!B:B,"261-008000-204",Plan!af:af)</f>
        <v>0</v>
      </c>
      <c r="AG938">
        <f>sumif(Plan!B:B,"261-008000-204",Plan!ag:ag)</f>
        <v>0</v>
      </c>
      <c r="AH938">
        <f>sumif(Plan!B:B,"261-008000-204",Plan!ah:ah)</f>
        <v>0</v>
      </c>
      <c r="AI938">
        <f>sumif(Plan!B:B,"261-008000-204",Plan!ai:ai)</f>
        <v>0</v>
      </c>
      <c r="AJ938">
        <f>sumif(Plan!B:B,"261-008000-204",Plan!aj:aj)</f>
        <v>0</v>
      </c>
      <c r="AK938">
        <f>sumif(Plan!B:B,"261-008000-204",Plan!ak:ak)</f>
        <v>0</v>
      </c>
      <c r="AL938">
        <f>sumif(Plan!B:B,"261-008000-204",Plan!al:al)</f>
        <v>0</v>
      </c>
      <c r="AM938">
        <f>sumif(Plan!B:B,"261-008000-204",Plan!am:am)</f>
        <v>0</v>
      </c>
      <c r="AN938">
        <f>sumif(Plan!B:B,"261-008000-204",Plan!an:an)</f>
        <v>0</v>
      </c>
      <c r="AO938">
        <f>sumif(Plan!B:B,"261-008000-204",Plan!ao:ao)</f>
        <v>0</v>
      </c>
    </row>
    <row r="939" spans="1:41">
      <c r="A939" t="s">
        <v>22</v>
      </c>
      <c r="B939" t="s">
        <v>611</v>
      </c>
      <c r="C939" t="s">
        <v>624</v>
      </c>
      <c r="E939">
        <v>1</v>
      </c>
      <c r="F939" t="s">
        <v>13</v>
      </c>
      <c r="H939" t="s">
        <v>16</v>
      </c>
      <c r="J939">
        <f>indirect(address(939,9))+indirect(address(937,10))-indirect(address(938,10))</f>
        <v>0</v>
      </c>
      <c r="K939">
        <f>indirect(address(939,10))+indirect(address(937,11))-indirect(address(938,11))</f>
        <v>0</v>
      </c>
      <c r="L939">
        <f>indirect(address(939,11))+indirect(address(937,12))-indirect(address(938,12))</f>
        <v>0</v>
      </c>
      <c r="M939">
        <f>indirect(address(939,12))+indirect(address(937,13))-indirect(address(938,13))</f>
        <v>0</v>
      </c>
      <c r="N939">
        <f>indirect(address(939,13))+indirect(address(937,14))-indirect(address(938,14))</f>
        <v>0</v>
      </c>
      <c r="O939">
        <f>indirect(address(939,14))+indirect(address(937,15))-indirect(address(938,15))</f>
        <v>0</v>
      </c>
      <c r="P939">
        <f>indirect(address(939,15))+indirect(address(937,16))-indirect(address(938,16))</f>
        <v>0</v>
      </c>
      <c r="Q939">
        <f>indirect(address(939,16))+indirect(address(937,17))-indirect(address(938,17))</f>
        <v>0</v>
      </c>
      <c r="R939">
        <f>indirect(address(939,17))+indirect(address(937,18))-indirect(address(938,18))</f>
        <v>0</v>
      </c>
      <c r="S939">
        <f>indirect(address(939,18))+indirect(address(937,19))-indirect(address(938,19))</f>
        <v>0</v>
      </c>
      <c r="T939">
        <f>indirect(address(939,19))+indirect(address(937,20))-indirect(address(938,20))</f>
        <v>0</v>
      </c>
      <c r="U939">
        <f>indirect(address(939,20))+indirect(address(937,21))-indirect(address(938,21))</f>
        <v>0</v>
      </c>
      <c r="V939">
        <f>indirect(address(939,21))+indirect(address(937,22))-indirect(address(938,22))</f>
        <v>0</v>
      </c>
      <c r="W939">
        <f>indirect(address(939,22))+indirect(address(937,23))-indirect(address(938,23))</f>
        <v>0</v>
      </c>
      <c r="X939">
        <f>indirect(address(939,23))+indirect(address(937,24))-indirect(address(938,24))</f>
        <v>0</v>
      </c>
      <c r="Y939">
        <f>indirect(address(939,24))+indirect(address(937,25))-indirect(address(938,25))</f>
        <v>0</v>
      </c>
      <c r="Z939">
        <f>indirect(address(939,25))+indirect(address(937,26))-indirect(address(938,26))</f>
        <v>0</v>
      </c>
      <c r="AA939">
        <f>indirect(address(939,26))+indirect(address(937,27))-indirect(address(938,27))</f>
        <v>0</v>
      </c>
      <c r="AB939">
        <f>indirect(address(939,27))+indirect(address(937,28))-indirect(address(938,28))</f>
        <v>0</v>
      </c>
      <c r="AC939">
        <f>indirect(address(939,28))+indirect(address(937,29))-indirect(address(938,29))</f>
        <v>0</v>
      </c>
      <c r="AD939">
        <f>indirect(address(939,29))+indirect(address(937,30))-indirect(address(938,30))</f>
        <v>0</v>
      </c>
      <c r="AE939">
        <f>indirect(address(939,30))+indirect(address(937,31))-indirect(address(938,31))</f>
        <v>0</v>
      </c>
      <c r="AF939">
        <f>indirect(address(939,31))+indirect(address(937,32))-indirect(address(938,32))</f>
        <v>0</v>
      </c>
      <c r="AG939">
        <f>indirect(address(939,32))+indirect(address(937,33))-indirect(address(938,33))</f>
        <v>0</v>
      </c>
      <c r="AH939">
        <f>indirect(address(939,33))+indirect(address(937,34))-indirect(address(938,34))</f>
        <v>0</v>
      </c>
      <c r="AI939">
        <f>indirect(address(939,34))+indirect(address(937,35))-indirect(address(938,35))</f>
        <v>0</v>
      </c>
      <c r="AJ939">
        <f>indirect(address(939,35))+indirect(address(937,36))-indirect(address(938,36))</f>
        <v>0</v>
      </c>
      <c r="AK939">
        <f>indirect(address(939,36))+indirect(address(937,37))-indirect(address(938,37))</f>
        <v>0</v>
      </c>
      <c r="AL939">
        <f>indirect(address(939,37))+indirect(address(937,38))-indirect(address(938,38))</f>
        <v>0</v>
      </c>
      <c r="AM939">
        <f>indirect(address(939,38))+indirect(address(937,39))-indirect(address(938,39))</f>
        <v>0</v>
      </c>
      <c r="AN939">
        <f>indirect(address(939,39))+indirect(address(937,40))-indirect(address(938,40))</f>
        <v>0</v>
      </c>
      <c r="AO939">
        <f>indirect(address(939,40))+indirect(address(937,41))-indirect(address(938,41))</f>
        <v>0</v>
      </c>
    </row>
    <row r="940" spans="1:41">
      <c r="I940" t="s">
        <v>14</v>
      </c>
      <c r="AO940">
        <f>sum(j940:an940)</f>
        <v>0</v>
      </c>
    </row>
    <row r="941" spans="1:41">
      <c r="I941" t="s">
        <v>15</v>
      </c>
      <c r="J941">
        <f>sumif(Plan!B:B,"261-023000-254",Plan!j:j)</f>
        <v>0</v>
      </c>
      <c r="K941">
        <f>sumif(Plan!B:B,"261-023000-254",Plan!k:k)</f>
        <v>0</v>
      </c>
      <c r="L941">
        <f>sumif(Plan!B:B,"261-023000-254",Plan!l:l)</f>
        <v>0</v>
      </c>
      <c r="M941">
        <f>sumif(Plan!B:B,"261-023000-254",Plan!m:m)</f>
        <v>0</v>
      </c>
      <c r="N941">
        <f>sumif(Plan!B:B,"261-023000-254",Plan!n:n)</f>
        <v>0</v>
      </c>
      <c r="O941">
        <f>sumif(Plan!B:B,"261-023000-254",Plan!o:o)</f>
        <v>0</v>
      </c>
      <c r="P941">
        <f>sumif(Plan!B:B,"261-023000-254",Plan!p:p)</f>
        <v>0</v>
      </c>
      <c r="Q941">
        <f>sumif(Plan!B:B,"261-023000-254",Plan!q:q)</f>
        <v>0</v>
      </c>
      <c r="R941">
        <f>sumif(Plan!B:B,"261-023000-254",Plan!r:r)</f>
        <v>0</v>
      </c>
      <c r="S941">
        <f>sumif(Plan!B:B,"261-023000-254",Plan!s:s)</f>
        <v>0</v>
      </c>
      <c r="T941">
        <f>sumif(Plan!B:B,"261-023000-254",Plan!t:t)</f>
        <v>0</v>
      </c>
      <c r="U941">
        <f>sumif(Plan!B:B,"261-023000-254",Plan!u:u)</f>
        <v>0</v>
      </c>
      <c r="V941">
        <f>sumif(Plan!B:B,"261-023000-254",Plan!v:v)</f>
        <v>0</v>
      </c>
      <c r="W941">
        <f>sumif(Plan!B:B,"261-023000-254",Plan!w:w)</f>
        <v>0</v>
      </c>
      <c r="X941">
        <f>sumif(Plan!B:B,"261-023000-254",Plan!x:x)</f>
        <v>0</v>
      </c>
      <c r="Y941">
        <f>sumif(Plan!B:B,"261-023000-254",Plan!y:y)</f>
        <v>0</v>
      </c>
      <c r="Z941">
        <f>sumif(Plan!B:B,"261-023000-254",Plan!z:z)</f>
        <v>0</v>
      </c>
      <c r="AA941">
        <f>sumif(Plan!B:B,"261-023000-254",Plan!aa:aa)</f>
        <v>0</v>
      </c>
      <c r="AB941">
        <f>sumif(Plan!B:B,"261-023000-254",Plan!ab:ab)</f>
        <v>0</v>
      </c>
      <c r="AC941">
        <f>sumif(Plan!B:B,"261-023000-254",Plan!ac:ac)</f>
        <v>0</v>
      </c>
      <c r="AD941">
        <f>sumif(Plan!B:B,"261-023000-254",Plan!ad:ad)</f>
        <v>0</v>
      </c>
      <c r="AE941">
        <f>sumif(Plan!B:B,"261-023000-254",Plan!ae:ae)</f>
        <v>0</v>
      </c>
      <c r="AF941">
        <f>sumif(Plan!B:B,"261-023000-254",Plan!af:af)</f>
        <v>0</v>
      </c>
      <c r="AG941">
        <f>sumif(Plan!B:B,"261-023000-254",Plan!ag:ag)</f>
        <v>0</v>
      </c>
      <c r="AH941">
        <f>sumif(Plan!B:B,"261-023000-254",Plan!ah:ah)</f>
        <v>0</v>
      </c>
      <c r="AI941">
        <f>sumif(Plan!B:B,"261-023000-254",Plan!ai:ai)</f>
        <v>0</v>
      </c>
      <c r="AJ941">
        <f>sumif(Plan!B:B,"261-023000-254",Plan!aj:aj)</f>
        <v>0</v>
      </c>
      <c r="AK941">
        <f>sumif(Plan!B:B,"261-023000-254",Plan!ak:ak)</f>
        <v>0</v>
      </c>
      <c r="AL941">
        <f>sumif(Plan!B:B,"261-023000-254",Plan!al:al)</f>
        <v>0</v>
      </c>
      <c r="AM941">
        <f>sumif(Plan!B:B,"261-023000-254",Plan!am:am)</f>
        <v>0</v>
      </c>
      <c r="AN941">
        <f>sumif(Plan!B:B,"261-023000-254",Plan!an:an)</f>
        <v>0</v>
      </c>
      <c r="AO941">
        <f>sumif(Plan!B:B,"261-023000-254",Plan!ao:ao)</f>
        <v>0</v>
      </c>
    </row>
    <row r="942" spans="1:41">
      <c r="A942" t="s">
        <v>22</v>
      </c>
      <c r="B942" t="s">
        <v>625</v>
      </c>
      <c r="C942" t="s">
        <v>626</v>
      </c>
      <c r="E942">
        <v>1</v>
      </c>
      <c r="F942" t="s">
        <v>13</v>
      </c>
      <c r="H942" t="s">
        <v>16</v>
      </c>
      <c r="J942">
        <f>indirect(address(942,9))+indirect(address(940,10))-indirect(address(941,10))</f>
        <v>0</v>
      </c>
      <c r="K942">
        <f>indirect(address(942,10))+indirect(address(940,11))-indirect(address(941,11))</f>
        <v>0</v>
      </c>
      <c r="L942">
        <f>indirect(address(942,11))+indirect(address(940,12))-indirect(address(941,12))</f>
        <v>0</v>
      </c>
      <c r="M942">
        <f>indirect(address(942,12))+indirect(address(940,13))-indirect(address(941,13))</f>
        <v>0</v>
      </c>
      <c r="N942">
        <f>indirect(address(942,13))+indirect(address(940,14))-indirect(address(941,14))</f>
        <v>0</v>
      </c>
      <c r="O942">
        <f>indirect(address(942,14))+indirect(address(940,15))-indirect(address(941,15))</f>
        <v>0</v>
      </c>
      <c r="P942">
        <f>indirect(address(942,15))+indirect(address(940,16))-indirect(address(941,16))</f>
        <v>0</v>
      </c>
      <c r="Q942">
        <f>indirect(address(942,16))+indirect(address(940,17))-indirect(address(941,17))</f>
        <v>0</v>
      </c>
      <c r="R942">
        <f>indirect(address(942,17))+indirect(address(940,18))-indirect(address(941,18))</f>
        <v>0</v>
      </c>
      <c r="S942">
        <f>indirect(address(942,18))+indirect(address(940,19))-indirect(address(941,19))</f>
        <v>0</v>
      </c>
      <c r="T942">
        <f>indirect(address(942,19))+indirect(address(940,20))-indirect(address(941,20))</f>
        <v>0</v>
      </c>
      <c r="U942">
        <f>indirect(address(942,20))+indirect(address(940,21))-indirect(address(941,21))</f>
        <v>0</v>
      </c>
      <c r="V942">
        <f>indirect(address(942,21))+indirect(address(940,22))-indirect(address(941,22))</f>
        <v>0</v>
      </c>
      <c r="W942">
        <f>indirect(address(942,22))+indirect(address(940,23))-indirect(address(941,23))</f>
        <v>0</v>
      </c>
      <c r="X942">
        <f>indirect(address(942,23))+indirect(address(940,24))-indirect(address(941,24))</f>
        <v>0</v>
      </c>
      <c r="Y942">
        <f>indirect(address(942,24))+indirect(address(940,25))-indirect(address(941,25))</f>
        <v>0</v>
      </c>
      <c r="Z942">
        <f>indirect(address(942,25))+indirect(address(940,26))-indirect(address(941,26))</f>
        <v>0</v>
      </c>
      <c r="AA942">
        <f>indirect(address(942,26))+indirect(address(940,27))-indirect(address(941,27))</f>
        <v>0</v>
      </c>
      <c r="AB942">
        <f>indirect(address(942,27))+indirect(address(940,28))-indirect(address(941,28))</f>
        <v>0</v>
      </c>
      <c r="AC942">
        <f>indirect(address(942,28))+indirect(address(940,29))-indirect(address(941,29))</f>
        <v>0</v>
      </c>
      <c r="AD942">
        <f>indirect(address(942,29))+indirect(address(940,30))-indirect(address(941,30))</f>
        <v>0</v>
      </c>
      <c r="AE942">
        <f>indirect(address(942,30))+indirect(address(940,31))-indirect(address(941,31))</f>
        <v>0</v>
      </c>
      <c r="AF942">
        <f>indirect(address(942,31))+indirect(address(940,32))-indirect(address(941,32))</f>
        <v>0</v>
      </c>
      <c r="AG942">
        <f>indirect(address(942,32))+indirect(address(940,33))-indirect(address(941,33))</f>
        <v>0</v>
      </c>
      <c r="AH942">
        <f>indirect(address(942,33))+indirect(address(940,34))-indirect(address(941,34))</f>
        <v>0</v>
      </c>
      <c r="AI942">
        <f>indirect(address(942,34))+indirect(address(940,35))-indirect(address(941,35))</f>
        <v>0</v>
      </c>
      <c r="AJ942">
        <f>indirect(address(942,35))+indirect(address(940,36))-indirect(address(941,36))</f>
        <v>0</v>
      </c>
      <c r="AK942">
        <f>indirect(address(942,36))+indirect(address(940,37))-indirect(address(941,37))</f>
        <v>0</v>
      </c>
      <c r="AL942">
        <f>indirect(address(942,37))+indirect(address(940,38))-indirect(address(941,38))</f>
        <v>0</v>
      </c>
      <c r="AM942">
        <f>indirect(address(942,38))+indirect(address(940,39))-indirect(address(941,39))</f>
        <v>0</v>
      </c>
      <c r="AN942">
        <f>indirect(address(942,39))+indirect(address(940,40))-indirect(address(941,40))</f>
        <v>0</v>
      </c>
      <c r="AO942">
        <f>indirect(address(942,40))+indirect(address(940,41))-indirect(address(941,41))</f>
        <v>0</v>
      </c>
    </row>
    <row r="943" spans="1:41">
      <c r="I943" t="s">
        <v>14</v>
      </c>
      <c r="AO943">
        <f>sum(j943:an943)</f>
        <v>0</v>
      </c>
    </row>
    <row r="944" spans="1:41">
      <c r="I944" t="s">
        <v>15</v>
      </c>
      <c r="J944">
        <f>sumif(Plan!B:B,"261-000000-000",Plan!j:j)</f>
        <v>0</v>
      </c>
      <c r="K944">
        <f>sumif(Plan!B:B,"261-000000-000",Plan!k:k)</f>
        <v>0</v>
      </c>
      <c r="L944">
        <f>sumif(Plan!B:B,"261-000000-000",Plan!l:l)</f>
        <v>0</v>
      </c>
      <c r="M944">
        <f>sumif(Plan!B:B,"261-000000-000",Plan!m:m)</f>
        <v>0</v>
      </c>
      <c r="N944">
        <f>sumif(Plan!B:B,"261-000000-000",Plan!n:n)</f>
        <v>0</v>
      </c>
      <c r="O944">
        <f>sumif(Plan!B:B,"261-000000-000",Plan!o:o)</f>
        <v>0</v>
      </c>
      <c r="P944">
        <f>sumif(Plan!B:B,"261-000000-000",Plan!p:p)</f>
        <v>0</v>
      </c>
      <c r="Q944">
        <f>sumif(Plan!B:B,"261-000000-000",Plan!q:q)</f>
        <v>0</v>
      </c>
      <c r="R944">
        <f>sumif(Plan!B:B,"261-000000-000",Plan!r:r)</f>
        <v>0</v>
      </c>
      <c r="S944">
        <f>sumif(Plan!B:B,"261-000000-000",Plan!s:s)</f>
        <v>0</v>
      </c>
      <c r="T944">
        <f>sumif(Plan!B:B,"261-000000-000",Plan!t:t)</f>
        <v>0</v>
      </c>
      <c r="U944">
        <f>sumif(Plan!B:B,"261-000000-000",Plan!u:u)</f>
        <v>0</v>
      </c>
      <c r="V944">
        <f>sumif(Plan!B:B,"261-000000-000",Plan!v:v)</f>
        <v>0</v>
      </c>
      <c r="W944">
        <f>sumif(Plan!B:B,"261-000000-000",Plan!w:w)</f>
        <v>0</v>
      </c>
      <c r="X944">
        <f>sumif(Plan!B:B,"261-000000-000",Plan!x:x)</f>
        <v>0</v>
      </c>
      <c r="Y944">
        <f>sumif(Plan!B:B,"261-000000-000",Plan!y:y)</f>
        <v>0</v>
      </c>
      <c r="Z944">
        <f>sumif(Plan!B:B,"261-000000-000",Plan!z:z)</f>
        <v>0</v>
      </c>
      <c r="AA944">
        <f>sumif(Plan!B:B,"261-000000-000",Plan!aa:aa)</f>
        <v>0</v>
      </c>
      <c r="AB944">
        <f>sumif(Plan!B:B,"261-000000-000",Plan!ab:ab)</f>
        <v>0</v>
      </c>
      <c r="AC944">
        <f>sumif(Plan!B:B,"261-000000-000",Plan!ac:ac)</f>
        <v>0</v>
      </c>
      <c r="AD944">
        <f>sumif(Plan!B:B,"261-000000-000",Plan!ad:ad)</f>
        <v>0</v>
      </c>
      <c r="AE944">
        <f>sumif(Plan!B:B,"261-000000-000",Plan!ae:ae)</f>
        <v>0</v>
      </c>
      <c r="AF944">
        <f>sumif(Plan!B:B,"261-000000-000",Plan!af:af)</f>
        <v>0</v>
      </c>
      <c r="AG944">
        <f>sumif(Plan!B:B,"261-000000-000",Plan!ag:ag)</f>
        <v>0</v>
      </c>
      <c r="AH944">
        <f>sumif(Plan!B:B,"261-000000-000",Plan!ah:ah)</f>
        <v>0</v>
      </c>
      <c r="AI944">
        <f>sumif(Plan!B:B,"261-000000-000",Plan!ai:ai)</f>
        <v>0</v>
      </c>
      <c r="AJ944">
        <f>sumif(Plan!B:B,"261-000000-000",Plan!aj:aj)</f>
        <v>0</v>
      </c>
      <c r="AK944">
        <f>sumif(Plan!B:B,"261-000000-000",Plan!ak:ak)</f>
        <v>0</v>
      </c>
      <c r="AL944">
        <f>sumif(Plan!B:B,"261-000000-000",Plan!al:al)</f>
        <v>0</v>
      </c>
      <c r="AM944">
        <f>sumif(Plan!B:B,"261-000000-000",Plan!am:am)</f>
        <v>0</v>
      </c>
      <c r="AN944">
        <f>sumif(Plan!B:B,"261-000000-000",Plan!an:an)</f>
        <v>0</v>
      </c>
      <c r="AO944">
        <f>sumif(Plan!B:B,"261-000000-000",Plan!ao:ao)</f>
        <v>0</v>
      </c>
    </row>
    <row r="945" spans="1:41">
      <c r="A945" t="s">
        <v>22</v>
      </c>
      <c r="B945" t="s">
        <v>508</v>
      </c>
      <c r="C945" t="s">
        <v>627</v>
      </c>
      <c r="E945">
        <v>2</v>
      </c>
      <c r="F945" t="s">
        <v>13</v>
      </c>
      <c r="H945" t="s">
        <v>16</v>
      </c>
      <c r="J945">
        <f>indirect(address(945,9))+indirect(address(943,10))-indirect(address(944,10))</f>
        <v>0</v>
      </c>
      <c r="K945">
        <f>indirect(address(945,10))+indirect(address(943,11))-indirect(address(944,11))</f>
        <v>0</v>
      </c>
      <c r="L945">
        <f>indirect(address(945,11))+indirect(address(943,12))-indirect(address(944,12))</f>
        <v>0</v>
      </c>
      <c r="M945">
        <f>indirect(address(945,12))+indirect(address(943,13))-indirect(address(944,13))</f>
        <v>0</v>
      </c>
      <c r="N945">
        <f>indirect(address(945,13))+indirect(address(943,14))-indirect(address(944,14))</f>
        <v>0</v>
      </c>
      <c r="O945">
        <f>indirect(address(945,14))+indirect(address(943,15))-indirect(address(944,15))</f>
        <v>0</v>
      </c>
      <c r="P945">
        <f>indirect(address(945,15))+indirect(address(943,16))-indirect(address(944,16))</f>
        <v>0</v>
      </c>
      <c r="Q945">
        <f>indirect(address(945,16))+indirect(address(943,17))-indirect(address(944,17))</f>
        <v>0</v>
      </c>
      <c r="R945">
        <f>indirect(address(945,17))+indirect(address(943,18))-indirect(address(944,18))</f>
        <v>0</v>
      </c>
      <c r="S945">
        <f>indirect(address(945,18))+indirect(address(943,19))-indirect(address(944,19))</f>
        <v>0</v>
      </c>
      <c r="T945">
        <f>indirect(address(945,19))+indirect(address(943,20))-indirect(address(944,20))</f>
        <v>0</v>
      </c>
      <c r="U945">
        <f>indirect(address(945,20))+indirect(address(943,21))-indirect(address(944,21))</f>
        <v>0</v>
      </c>
      <c r="V945">
        <f>indirect(address(945,21))+indirect(address(943,22))-indirect(address(944,22))</f>
        <v>0</v>
      </c>
      <c r="W945">
        <f>indirect(address(945,22))+indirect(address(943,23))-indirect(address(944,23))</f>
        <v>0</v>
      </c>
      <c r="X945">
        <f>indirect(address(945,23))+indirect(address(943,24))-indirect(address(944,24))</f>
        <v>0</v>
      </c>
      <c r="Y945">
        <f>indirect(address(945,24))+indirect(address(943,25))-indirect(address(944,25))</f>
        <v>0</v>
      </c>
      <c r="Z945">
        <f>indirect(address(945,25))+indirect(address(943,26))-indirect(address(944,26))</f>
        <v>0</v>
      </c>
      <c r="AA945">
        <f>indirect(address(945,26))+indirect(address(943,27))-indirect(address(944,27))</f>
        <v>0</v>
      </c>
      <c r="AB945">
        <f>indirect(address(945,27))+indirect(address(943,28))-indirect(address(944,28))</f>
        <v>0</v>
      </c>
      <c r="AC945">
        <f>indirect(address(945,28))+indirect(address(943,29))-indirect(address(944,29))</f>
        <v>0</v>
      </c>
      <c r="AD945">
        <f>indirect(address(945,29))+indirect(address(943,30))-indirect(address(944,30))</f>
        <v>0</v>
      </c>
      <c r="AE945">
        <f>indirect(address(945,30))+indirect(address(943,31))-indirect(address(944,31))</f>
        <v>0</v>
      </c>
      <c r="AF945">
        <f>indirect(address(945,31))+indirect(address(943,32))-indirect(address(944,32))</f>
        <v>0</v>
      </c>
      <c r="AG945">
        <f>indirect(address(945,32))+indirect(address(943,33))-indirect(address(944,33))</f>
        <v>0</v>
      </c>
      <c r="AH945">
        <f>indirect(address(945,33))+indirect(address(943,34))-indirect(address(944,34))</f>
        <v>0</v>
      </c>
      <c r="AI945">
        <f>indirect(address(945,34))+indirect(address(943,35))-indirect(address(944,35))</f>
        <v>0</v>
      </c>
      <c r="AJ945">
        <f>indirect(address(945,35))+indirect(address(943,36))-indirect(address(944,36))</f>
        <v>0</v>
      </c>
      <c r="AK945">
        <f>indirect(address(945,36))+indirect(address(943,37))-indirect(address(944,37))</f>
        <v>0</v>
      </c>
      <c r="AL945">
        <f>indirect(address(945,37))+indirect(address(943,38))-indirect(address(944,38))</f>
        <v>0</v>
      </c>
      <c r="AM945">
        <f>indirect(address(945,38))+indirect(address(943,39))-indirect(address(944,39))</f>
        <v>0</v>
      </c>
      <c r="AN945">
        <f>indirect(address(945,39))+indirect(address(943,40))-indirect(address(944,40))</f>
        <v>0</v>
      </c>
      <c r="AO945">
        <f>indirect(address(945,40))+indirect(address(943,41))-indirect(address(944,41))</f>
        <v>0</v>
      </c>
    </row>
    <row r="946" spans="1:41">
      <c r="I946" t="s">
        <v>14</v>
      </c>
      <c r="AO946">
        <f>sum(j946:an946)</f>
        <v>0</v>
      </c>
    </row>
    <row r="947" spans="1:41">
      <c r="I947" t="s">
        <v>15</v>
      </c>
      <c r="J947">
        <f>sumif(Plan!B:B,"806-161000-110",Plan!j:j)</f>
        <v>0</v>
      </c>
      <c r="K947">
        <f>sumif(Plan!B:B,"806-161000-110",Plan!k:k)</f>
        <v>0</v>
      </c>
      <c r="L947">
        <f>sumif(Plan!B:B,"806-161000-110",Plan!l:l)</f>
        <v>0</v>
      </c>
      <c r="M947">
        <f>sumif(Plan!B:B,"806-161000-110",Plan!m:m)</f>
        <v>0</v>
      </c>
      <c r="N947">
        <f>sumif(Plan!B:B,"806-161000-110",Plan!n:n)</f>
        <v>0</v>
      </c>
      <c r="O947">
        <f>sumif(Plan!B:B,"806-161000-110",Plan!o:o)</f>
        <v>0</v>
      </c>
      <c r="P947">
        <f>sumif(Plan!B:B,"806-161000-110",Plan!p:p)</f>
        <v>0</v>
      </c>
      <c r="Q947">
        <f>sumif(Plan!B:B,"806-161000-110",Plan!q:q)</f>
        <v>0</v>
      </c>
      <c r="R947">
        <f>sumif(Plan!B:B,"806-161000-110",Plan!r:r)</f>
        <v>0</v>
      </c>
      <c r="S947">
        <f>sumif(Plan!B:B,"806-161000-110",Plan!s:s)</f>
        <v>0</v>
      </c>
      <c r="T947">
        <f>sumif(Plan!B:B,"806-161000-110",Plan!t:t)</f>
        <v>0</v>
      </c>
      <c r="U947">
        <f>sumif(Plan!B:B,"806-161000-110",Plan!u:u)</f>
        <v>0</v>
      </c>
      <c r="V947">
        <f>sumif(Plan!B:B,"806-161000-110",Plan!v:v)</f>
        <v>0</v>
      </c>
      <c r="W947">
        <f>sumif(Plan!B:B,"806-161000-110",Plan!w:w)</f>
        <v>0</v>
      </c>
      <c r="X947">
        <f>sumif(Plan!B:B,"806-161000-110",Plan!x:x)</f>
        <v>0</v>
      </c>
      <c r="Y947">
        <f>sumif(Plan!B:B,"806-161000-110",Plan!y:y)</f>
        <v>0</v>
      </c>
      <c r="Z947">
        <f>sumif(Plan!B:B,"806-161000-110",Plan!z:z)</f>
        <v>0</v>
      </c>
      <c r="AA947">
        <f>sumif(Plan!B:B,"806-161000-110",Plan!aa:aa)</f>
        <v>0</v>
      </c>
      <c r="AB947">
        <f>sumif(Plan!B:B,"806-161000-110",Plan!ab:ab)</f>
        <v>0</v>
      </c>
      <c r="AC947">
        <f>sumif(Plan!B:B,"806-161000-110",Plan!ac:ac)</f>
        <v>0</v>
      </c>
      <c r="AD947">
        <f>sumif(Plan!B:B,"806-161000-110",Plan!ad:ad)</f>
        <v>0</v>
      </c>
      <c r="AE947">
        <f>sumif(Plan!B:B,"806-161000-110",Plan!ae:ae)</f>
        <v>0</v>
      </c>
      <c r="AF947">
        <f>sumif(Plan!B:B,"806-161000-110",Plan!af:af)</f>
        <v>0</v>
      </c>
      <c r="AG947">
        <f>sumif(Plan!B:B,"806-161000-110",Plan!ag:ag)</f>
        <v>0</v>
      </c>
      <c r="AH947">
        <f>sumif(Plan!B:B,"806-161000-110",Plan!ah:ah)</f>
        <v>0</v>
      </c>
      <c r="AI947">
        <f>sumif(Plan!B:B,"806-161000-110",Plan!ai:ai)</f>
        <v>0</v>
      </c>
      <c r="AJ947">
        <f>sumif(Plan!B:B,"806-161000-110",Plan!aj:aj)</f>
        <v>0</v>
      </c>
      <c r="AK947">
        <f>sumif(Plan!B:B,"806-161000-110",Plan!ak:ak)</f>
        <v>0</v>
      </c>
      <c r="AL947">
        <f>sumif(Plan!B:B,"806-161000-110",Plan!al:al)</f>
        <v>0</v>
      </c>
      <c r="AM947">
        <f>sumif(Plan!B:B,"806-161000-110",Plan!am:am)</f>
        <v>0</v>
      </c>
      <c r="AN947">
        <f>sumif(Plan!B:B,"806-161000-110",Plan!an:an)</f>
        <v>0</v>
      </c>
      <c r="AO947">
        <f>sumif(Plan!B:B,"806-161000-110",Plan!ao:ao)</f>
        <v>0</v>
      </c>
    </row>
    <row r="948" spans="1:41">
      <c r="A948" t="s">
        <v>17</v>
      </c>
      <c r="B948" t="s">
        <v>630</v>
      </c>
      <c r="C948" t="s">
        <v>631</v>
      </c>
      <c r="E948">
        <v>1</v>
      </c>
      <c r="F948" t="s">
        <v>13</v>
      </c>
      <c r="H948" t="s">
        <v>16</v>
      </c>
      <c r="J948">
        <f>indirect(address(948,9))+indirect(address(946,10))-indirect(address(947,10))</f>
        <v>0</v>
      </c>
      <c r="K948">
        <f>indirect(address(948,10))+indirect(address(946,11))-indirect(address(947,11))</f>
        <v>0</v>
      </c>
      <c r="L948">
        <f>indirect(address(948,11))+indirect(address(946,12))-indirect(address(947,12))</f>
        <v>0</v>
      </c>
      <c r="M948">
        <f>indirect(address(948,12))+indirect(address(946,13))-indirect(address(947,13))</f>
        <v>0</v>
      </c>
      <c r="N948">
        <f>indirect(address(948,13))+indirect(address(946,14))-indirect(address(947,14))</f>
        <v>0</v>
      </c>
      <c r="O948">
        <f>indirect(address(948,14))+indirect(address(946,15))-indirect(address(947,15))</f>
        <v>0</v>
      </c>
      <c r="P948">
        <f>indirect(address(948,15))+indirect(address(946,16))-indirect(address(947,16))</f>
        <v>0</v>
      </c>
      <c r="Q948">
        <f>indirect(address(948,16))+indirect(address(946,17))-indirect(address(947,17))</f>
        <v>0</v>
      </c>
      <c r="R948">
        <f>indirect(address(948,17))+indirect(address(946,18))-indirect(address(947,18))</f>
        <v>0</v>
      </c>
      <c r="S948">
        <f>indirect(address(948,18))+indirect(address(946,19))-indirect(address(947,19))</f>
        <v>0</v>
      </c>
      <c r="T948">
        <f>indirect(address(948,19))+indirect(address(946,20))-indirect(address(947,20))</f>
        <v>0</v>
      </c>
      <c r="U948">
        <f>indirect(address(948,20))+indirect(address(946,21))-indirect(address(947,21))</f>
        <v>0</v>
      </c>
      <c r="V948">
        <f>indirect(address(948,21))+indirect(address(946,22))-indirect(address(947,22))</f>
        <v>0</v>
      </c>
      <c r="W948">
        <f>indirect(address(948,22))+indirect(address(946,23))-indirect(address(947,23))</f>
        <v>0</v>
      </c>
      <c r="X948">
        <f>indirect(address(948,23))+indirect(address(946,24))-indirect(address(947,24))</f>
        <v>0</v>
      </c>
      <c r="Y948">
        <f>indirect(address(948,24))+indirect(address(946,25))-indirect(address(947,25))</f>
        <v>0</v>
      </c>
      <c r="Z948">
        <f>indirect(address(948,25))+indirect(address(946,26))-indirect(address(947,26))</f>
        <v>0</v>
      </c>
      <c r="AA948">
        <f>indirect(address(948,26))+indirect(address(946,27))-indirect(address(947,27))</f>
        <v>0</v>
      </c>
      <c r="AB948">
        <f>indirect(address(948,27))+indirect(address(946,28))-indirect(address(947,28))</f>
        <v>0</v>
      </c>
      <c r="AC948">
        <f>indirect(address(948,28))+indirect(address(946,29))-indirect(address(947,29))</f>
        <v>0</v>
      </c>
      <c r="AD948">
        <f>indirect(address(948,29))+indirect(address(946,30))-indirect(address(947,30))</f>
        <v>0</v>
      </c>
      <c r="AE948">
        <f>indirect(address(948,30))+indirect(address(946,31))-indirect(address(947,31))</f>
        <v>0</v>
      </c>
      <c r="AF948">
        <f>indirect(address(948,31))+indirect(address(946,32))-indirect(address(947,32))</f>
        <v>0</v>
      </c>
      <c r="AG948">
        <f>indirect(address(948,32))+indirect(address(946,33))-indirect(address(947,33))</f>
        <v>0</v>
      </c>
      <c r="AH948">
        <f>indirect(address(948,33))+indirect(address(946,34))-indirect(address(947,34))</f>
        <v>0</v>
      </c>
      <c r="AI948">
        <f>indirect(address(948,34))+indirect(address(946,35))-indirect(address(947,35))</f>
        <v>0</v>
      </c>
      <c r="AJ948">
        <f>indirect(address(948,35))+indirect(address(946,36))-indirect(address(947,36))</f>
        <v>0</v>
      </c>
      <c r="AK948">
        <f>indirect(address(948,36))+indirect(address(946,37))-indirect(address(947,37))</f>
        <v>0</v>
      </c>
      <c r="AL948">
        <f>indirect(address(948,37))+indirect(address(946,38))-indirect(address(947,38))</f>
        <v>0</v>
      </c>
      <c r="AM948">
        <f>indirect(address(948,38))+indirect(address(946,39))-indirect(address(947,39))</f>
        <v>0</v>
      </c>
      <c r="AN948">
        <f>indirect(address(948,39))+indirect(address(946,40))-indirect(address(947,40))</f>
        <v>0</v>
      </c>
      <c r="AO948">
        <f>indirect(address(948,40))+indirect(address(946,41))-indirect(address(947,41))</f>
        <v>0</v>
      </c>
    </row>
    <row r="949" spans="1:41">
      <c r="I949" t="s">
        <v>14</v>
      </c>
      <c r="AO949">
        <f>sum(j949:an949)</f>
        <v>0</v>
      </c>
    </row>
    <row r="950" spans="1:41">
      <c r="I950" t="s">
        <v>15</v>
      </c>
      <c r="J950">
        <f>sumif(Plan!B:B,"261-002500-255",Plan!j:j)</f>
        <v>0</v>
      </c>
      <c r="K950">
        <f>sumif(Plan!B:B,"261-002500-255",Plan!k:k)</f>
        <v>0</v>
      </c>
      <c r="L950">
        <f>sumif(Plan!B:B,"261-002500-255",Plan!l:l)</f>
        <v>0</v>
      </c>
      <c r="M950">
        <f>sumif(Plan!B:B,"261-002500-255",Plan!m:m)</f>
        <v>0</v>
      </c>
      <c r="N950">
        <f>sumif(Plan!B:B,"261-002500-255",Plan!n:n)</f>
        <v>0</v>
      </c>
      <c r="O950">
        <f>sumif(Plan!B:B,"261-002500-255",Plan!o:o)</f>
        <v>0</v>
      </c>
      <c r="P950">
        <f>sumif(Plan!B:B,"261-002500-255",Plan!p:p)</f>
        <v>0</v>
      </c>
      <c r="Q950">
        <f>sumif(Plan!B:B,"261-002500-255",Plan!q:q)</f>
        <v>0</v>
      </c>
      <c r="R950">
        <f>sumif(Plan!B:B,"261-002500-255",Plan!r:r)</f>
        <v>0</v>
      </c>
      <c r="S950">
        <f>sumif(Plan!B:B,"261-002500-255",Plan!s:s)</f>
        <v>0</v>
      </c>
      <c r="T950">
        <f>sumif(Plan!B:B,"261-002500-255",Plan!t:t)</f>
        <v>0</v>
      </c>
      <c r="U950">
        <f>sumif(Plan!B:B,"261-002500-255",Plan!u:u)</f>
        <v>0</v>
      </c>
      <c r="V950">
        <f>sumif(Plan!B:B,"261-002500-255",Plan!v:v)</f>
        <v>0</v>
      </c>
      <c r="W950">
        <f>sumif(Plan!B:B,"261-002500-255",Plan!w:w)</f>
        <v>0</v>
      </c>
      <c r="X950">
        <f>sumif(Plan!B:B,"261-002500-255",Plan!x:x)</f>
        <v>0</v>
      </c>
      <c r="Y950">
        <f>sumif(Plan!B:B,"261-002500-255",Plan!y:y)</f>
        <v>0</v>
      </c>
      <c r="Z950">
        <f>sumif(Plan!B:B,"261-002500-255",Plan!z:z)</f>
        <v>0</v>
      </c>
      <c r="AA950">
        <f>sumif(Plan!B:B,"261-002500-255",Plan!aa:aa)</f>
        <v>0</v>
      </c>
      <c r="AB950">
        <f>sumif(Plan!B:B,"261-002500-255",Plan!ab:ab)</f>
        <v>0</v>
      </c>
      <c r="AC950">
        <f>sumif(Plan!B:B,"261-002500-255",Plan!ac:ac)</f>
        <v>0</v>
      </c>
      <c r="AD950">
        <f>sumif(Plan!B:B,"261-002500-255",Plan!ad:ad)</f>
        <v>0</v>
      </c>
      <c r="AE950">
        <f>sumif(Plan!B:B,"261-002500-255",Plan!ae:ae)</f>
        <v>0</v>
      </c>
      <c r="AF950">
        <f>sumif(Plan!B:B,"261-002500-255",Plan!af:af)</f>
        <v>0</v>
      </c>
      <c r="AG950">
        <f>sumif(Plan!B:B,"261-002500-255",Plan!ag:ag)</f>
        <v>0</v>
      </c>
      <c r="AH950">
        <f>sumif(Plan!B:B,"261-002500-255",Plan!ah:ah)</f>
        <v>0</v>
      </c>
      <c r="AI950">
        <f>sumif(Plan!B:B,"261-002500-255",Plan!ai:ai)</f>
        <v>0</v>
      </c>
      <c r="AJ950">
        <f>sumif(Plan!B:B,"261-002500-255",Plan!aj:aj)</f>
        <v>0</v>
      </c>
      <c r="AK950">
        <f>sumif(Plan!B:B,"261-002500-255",Plan!ak:ak)</f>
        <v>0</v>
      </c>
      <c r="AL950">
        <f>sumif(Plan!B:B,"261-002500-255",Plan!al:al)</f>
        <v>0</v>
      </c>
      <c r="AM950">
        <f>sumif(Plan!B:B,"261-002500-255",Plan!am:am)</f>
        <v>0</v>
      </c>
      <c r="AN950">
        <f>sumif(Plan!B:B,"261-002500-255",Plan!an:an)</f>
        <v>0</v>
      </c>
      <c r="AO950">
        <f>sumif(Plan!B:B,"261-002500-255",Plan!ao:ao)</f>
        <v>0</v>
      </c>
    </row>
    <row r="951" spans="1:41">
      <c r="A951" t="s">
        <v>22</v>
      </c>
      <c r="B951" t="s">
        <v>512</v>
      </c>
      <c r="C951" t="s">
        <v>632</v>
      </c>
      <c r="E951">
        <v>1</v>
      </c>
      <c r="F951" t="s">
        <v>13</v>
      </c>
      <c r="H951" t="s">
        <v>16</v>
      </c>
      <c r="J951">
        <f>indirect(address(951,9))+indirect(address(949,10))-indirect(address(950,10))</f>
        <v>0</v>
      </c>
      <c r="K951">
        <f>indirect(address(951,10))+indirect(address(949,11))-indirect(address(950,11))</f>
        <v>0</v>
      </c>
      <c r="L951">
        <f>indirect(address(951,11))+indirect(address(949,12))-indirect(address(950,12))</f>
        <v>0</v>
      </c>
      <c r="M951">
        <f>indirect(address(951,12))+indirect(address(949,13))-indirect(address(950,13))</f>
        <v>0</v>
      </c>
      <c r="N951">
        <f>indirect(address(951,13))+indirect(address(949,14))-indirect(address(950,14))</f>
        <v>0</v>
      </c>
      <c r="O951">
        <f>indirect(address(951,14))+indirect(address(949,15))-indirect(address(950,15))</f>
        <v>0</v>
      </c>
      <c r="P951">
        <f>indirect(address(951,15))+indirect(address(949,16))-indirect(address(950,16))</f>
        <v>0</v>
      </c>
      <c r="Q951">
        <f>indirect(address(951,16))+indirect(address(949,17))-indirect(address(950,17))</f>
        <v>0</v>
      </c>
      <c r="R951">
        <f>indirect(address(951,17))+indirect(address(949,18))-indirect(address(950,18))</f>
        <v>0</v>
      </c>
      <c r="S951">
        <f>indirect(address(951,18))+indirect(address(949,19))-indirect(address(950,19))</f>
        <v>0</v>
      </c>
      <c r="T951">
        <f>indirect(address(951,19))+indirect(address(949,20))-indirect(address(950,20))</f>
        <v>0</v>
      </c>
      <c r="U951">
        <f>indirect(address(951,20))+indirect(address(949,21))-indirect(address(950,21))</f>
        <v>0</v>
      </c>
      <c r="V951">
        <f>indirect(address(951,21))+indirect(address(949,22))-indirect(address(950,22))</f>
        <v>0</v>
      </c>
      <c r="W951">
        <f>indirect(address(951,22))+indirect(address(949,23))-indirect(address(950,23))</f>
        <v>0</v>
      </c>
      <c r="X951">
        <f>indirect(address(951,23))+indirect(address(949,24))-indirect(address(950,24))</f>
        <v>0</v>
      </c>
      <c r="Y951">
        <f>indirect(address(951,24))+indirect(address(949,25))-indirect(address(950,25))</f>
        <v>0</v>
      </c>
      <c r="Z951">
        <f>indirect(address(951,25))+indirect(address(949,26))-indirect(address(950,26))</f>
        <v>0</v>
      </c>
      <c r="AA951">
        <f>indirect(address(951,26))+indirect(address(949,27))-indirect(address(950,27))</f>
        <v>0</v>
      </c>
      <c r="AB951">
        <f>indirect(address(951,27))+indirect(address(949,28))-indirect(address(950,28))</f>
        <v>0</v>
      </c>
      <c r="AC951">
        <f>indirect(address(951,28))+indirect(address(949,29))-indirect(address(950,29))</f>
        <v>0</v>
      </c>
      <c r="AD951">
        <f>indirect(address(951,29))+indirect(address(949,30))-indirect(address(950,30))</f>
        <v>0</v>
      </c>
      <c r="AE951">
        <f>indirect(address(951,30))+indirect(address(949,31))-indirect(address(950,31))</f>
        <v>0</v>
      </c>
      <c r="AF951">
        <f>indirect(address(951,31))+indirect(address(949,32))-indirect(address(950,32))</f>
        <v>0</v>
      </c>
      <c r="AG951">
        <f>indirect(address(951,32))+indirect(address(949,33))-indirect(address(950,33))</f>
        <v>0</v>
      </c>
      <c r="AH951">
        <f>indirect(address(951,33))+indirect(address(949,34))-indirect(address(950,34))</f>
        <v>0</v>
      </c>
      <c r="AI951">
        <f>indirect(address(951,34))+indirect(address(949,35))-indirect(address(950,35))</f>
        <v>0</v>
      </c>
      <c r="AJ951">
        <f>indirect(address(951,35))+indirect(address(949,36))-indirect(address(950,36))</f>
        <v>0</v>
      </c>
      <c r="AK951">
        <f>indirect(address(951,36))+indirect(address(949,37))-indirect(address(950,37))</f>
        <v>0</v>
      </c>
      <c r="AL951">
        <f>indirect(address(951,37))+indirect(address(949,38))-indirect(address(950,38))</f>
        <v>0</v>
      </c>
      <c r="AM951">
        <f>indirect(address(951,38))+indirect(address(949,39))-indirect(address(950,39))</f>
        <v>0</v>
      </c>
      <c r="AN951">
        <f>indirect(address(951,39))+indirect(address(949,40))-indirect(address(950,40))</f>
        <v>0</v>
      </c>
      <c r="AO951">
        <f>indirect(address(951,40))+indirect(address(949,41))-indirect(address(950,41))</f>
        <v>0</v>
      </c>
    </row>
    <row r="952" spans="1:41">
      <c r="I952" t="s">
        <v>14</v>
      </c>
      <c r="AO952">
        <f>sum(j952:an952)</f>
        <v>0</v>
      </c>
    </row>
    <row r="953" spans="1:41">
      <c r="I953" t="s">
        <v>15</v>
      </c>
      <c r="J953">
        <f>sumif(Plan!B:B,"261-078000-105",Plan!j:j)</f>
        <v>0</v>
      </c>
      <c r="K953">
        <f>sumif(Plan!B:B,"261-078000-105",Plan!k:k)</f>
        <v>0</v>
      </c>
      <c r="L953">
        <f>sumif(Plan!B:B,"261-078000-105",Plan!l:l)</f>
        <v>0</v>
      </c>
      <c r="M953">
        <f>sumif(Plan!B:B,"261-078000-105",Plan!m:m)</f>
        <v>0</v>
      </c>
      <c r="N953">
        <f>sumif(Plan!B:B,"261-078000-105",Plan!n:n)</f>
        <v>0</v>
      </c>
      <c r="O953">
        <f>sumif(Plan!B:B,"261-078000-105",Plan!o:o)</f>
        <v>0</v>
      </c>
      <c r="P953">
        <f>sumif(Plan!B:B,"261-078000-105",Plan!p:p)</f>
        <v>0</v>
      </c>
      <c r="Q953">
        <f>sumif(Plan!B:B,"261-078000-105",Plan!q:q)</f>
        <v>0</v>
      </c>
      <c r="R953">
        <f>sumif(Plan!B:B,"261-078000-105",Plan!r:r)</f>
        <v>0</v>
      </c>
      <c r="S953">
        <f>sumif(Plan!B:B,"261-078000-105",Plan!s:s)</f>
        <v>0</v>
      </c>
      <c r="T953">
        <f>sumif(Plan!B:B,"261-078000-105",Plan!t:t)</f>
        <v>0</v>
      </c>
      <c r="U953">
        <f>sumif(Plan!B:B,"261-078000-105",Plan!u:u)</f>
        <v>0</v>
      </c>
      <c r="V953">
        <f>sumif(Plan!B:B,"261-078000-105",Plan!v:v)</f>
        <v>0</v>
      </c>
      <c r="W953">
        <f>sumif(Plan!B:B,"261-078000-105",Plan!w:w)</f>
        <v>0</v>
      </c>
      <c r="X953">
        <f>sumif(Plan!B:B,"261-078000-105",Plan!x:x)</f>
        <v>0</v>
      </c>
      <c r="Y953">
        <f>sumif(Plan!B:B,"261-078000-105",Plan!y:y)</f>
        <v>0</v>
      </c>
      <c r="Z953">
        <f>sumif(Plan!B:B,"261-078000-105",Plan!z:z)</f>
        <v>0</v>
      </c>
      <c r="AA953">
        <f>sumif(Plan!B:B,"261-078000-105",Plan!aa:aa)</f>
        <v>0</v>
      </c>
      <c r="AB953">
        <f>sumif(Plan!B:B,"261-078000-105",Plan!ab:ab)</f>
        <v>0</v>
      </c>
      <c r="AC953">
        <f>sumif(Plan!B:B,"261-078000-105",Plan!ac:ac)</f>
        <v>0</v>
      </c>
      <c r="AD953">
        <f>sumif(Plan!B:B,"261-078000-105",Plan!ad:ad)</f>
        <v>0</v>
      </c>
      <c r="AE953">
        <f>sumif(Plan!B:B,"261-078000-105",Plan!ae:ae)</f>
        <v>0</v>
      </c>
      <c r="AF953">
        <f>sumif(Plan!B:B,"261-078000-105",Plan!af:af)</f>
        <v>0</v>
      </c>
      <c r="AG953">
        <f>sumif(Plan!B:B,"261-078000-105",Plan!ag:ag)</f>
        <v>0</v>
      </c>
      <c r="AH953">
        <f>sumif(Plan!B:B,"261-078000-105",Plan!ah:ah)</f>
        <v>0</v>
      </c>
      <c r="AI953">
        <f>sumif(Plan!B:B,"261-078000-105",Plan!ai:ai)</f>
        <v>0</v>
      </c>
      <c r="AJ953">
        <f>sumif(Plan!B:B,"261-078000-105",Plan!aj:aj)</f>
        <v>0</v>
      </c>
      <c r="AK953">
        <f>sumif(Plan!B:B,"261-078000-105",Plan!ak:ak)</f>
        <v>0</v>
      </c>
      <c r="AL953">
        <f>sumif(Plan!B:B,"261-078000-105",Plan!al:al)</f>
        <v>0</v>
      </c>
      <c r="AM953">
        <f>sumif(Plan!B:B,"261-078000-105",Plan!am:am)</f>
        <v>0</v>
      </c>
      <c r="AN953">
        <f>sumif(Plan!B:B,"261-078000-105",Plan!an:an)</f>
        <v>0</v>
      </c>
      <c r="AO953">
        <f>sumif(Plan!B:B,"261-078000-105",Plan!ao:ao)</f>
        <v>0</v>
      </c>
    </row>
    <row r="954" spans="1:41">
      <c r="A954" t="s">
        <v>22</v>
      </c>
      <c r="B954" t="s">
        <v>633</v>
      </c>
      <c r="C954" t="s">
        <v>634</v>
      </c>
      <c r="E954">
        <v>1</v>
      </c>
      <c r="F954" t="s">
        <v>13</v>
      </c>
      <c r="H954" t="s">
        <v>16</v>
      </c>
      <c r="J954">
        <f>indirect(address(954,9))+indirect(address(952,10))-indirect(address(953,10))</f>
        <v>0</v>
      </c>
      <c r="K954">
        <f>indirect(address(954,10))+indirect(address(952,11))-indirect(address(953,11))</f>
        <v>0</v>
      </c>
      <c r="L954">
        <f>indirect(address(954,11))+indirect(address(952,12))-indirect(address(953,12))</f>
        <v>0</v>
      </c>
      <c r="M954">
        <f>indirect(address(954,12))+indirect(address(952,13))-indirect(address(953,13))</f>
        <v>0</v>
      </c>
      <c r="N954">
        <f>indirect(address(954,13))+indirect(address(952,14))-indirect(address(953,14))</f>
        <v>0</v>
      </c>
      <c r="O954">
        <f>indirect(address(954,14))+indirect(address(952,15))-indirect(address(953,15))</f>
        <v>0</v>
      </c>
      <c r="P954">
        <f>indirect(address(954,15))+indirect(address(952,16))-indirect(address(953,16))</f>
        <v>0</v>
      </c>
      <c r="Q954">
        <f>indirect(address(954,16))+indirect(address(952,17))-indirect(address(953,17))</f>
        <v>0</v>
      </c>
      <c r="R954">
        <f>indirect(address(954,17))+indirect(address(952,18))-indirect(address(953,18))</f>
        <v>0</v>
      </c>
      <c r="S954">
        <f>indirect(address(954,18))+indirect(address(952,19))-indirect(address(953,19))</f>
        <v>0</v>
      </c>
      <c r="T954">
        <f>indirect(address(954,19))+indirect(address(952,20))-indirect(address(953,20))</f>
        <v>0</v>
      </c>
      <c r="U954">
        <f>indirect(address(954,20))+indirect(address(952,21))-indirect(address(953,21))</f>
        <v>0</v>
      </c>
      <c r="V954">
        <f>indirect(address(954,21))+indirect(address(952,22))-indirect(address(953,22))</f>
        <v>0</v>
      </c>
      <c r="W954">
        <f>indirect(address(954,22))+indirect(address(952,23))-indirect(address(953,23))</f>
        <v>0</v>
      </c>
      <c r="X954">
        <f>indirect(address(954,23))+indirect(address(952,24))-indirect(address(953,24))</f>
        <v>0</v>
      </c>
      <c r="Y954">
        <f>indirect(address(954,24))+indirect(address(952,25))-indirect(address(953,25))</f>
        <v>0</v>
      </c>
      <c r="Z954">
        <f>indirect(address(954,25))+indirect(address(952,26))-indirect(address(953,26))</f>
        <v>0</v>
      </c>
      <c r="AA954">
        <f>indirect(address(954,26))+indirect(address(952,27))-indirect(address(953,27))</f>
        <v>0</v>
      </c>
      <c r="AB954">
        <f>indirect(address(954,27))+indirect(address(952,28))-indirect(address(953,28))</f>
        <v>0</v>
      </c>
      <c r="AC954">
        <f>indirect(address(954,28))+indirect(address(952,29))-indirect(address(953,29))</f>
        <v>0</v>
      </c>
      <c r="AD954">
        <f>indirect(address(954,29))+indirect(address(952,30))-indirect(address(953,30))</f>
        <v>0</v>
      </c>
      <c r="AE954">
        <f>indirect(address(954,30))+indirect(address(952,31))-indirect(address(953,31))</f>
        <v>0</v>
      </c>
      <c r="AF954">
        <f>indirect(address(954,31))+indirect(address(952,32))-indirect(address(953,32))</f>
        <v>0</v>
      </c>
      <c r="AG954">
        <f>indirect(address(954,32))+indirect(address(952,33))-indirect(address(953,33))</f>
        <v>0</v>
      </c>
      <c r="AH954">
        <f>indirect(address(954,33))+indirect(address(952,34))-indirect(address(953,34))</f>
        <v>0</v>
      </c>
      <c r="AI954">
        <f>indirect(address(954,34))+indirect(address(952,35))-indirect(address(953,35))</f>
        <v>0</v>
      </c>
      <c r="AJ954">
        <f>indirect(address(954,35))+indirect(address(952,36))-indirect(address(953,36))</f>
        <v>0</v>
      </c>
      <c r="AK954">
        <f>indirect(address(954,36))+indirect(address(952,37))-indirect(address(953,37))</f>
        <v>0</v>
      </c>
      <c r="AL954">
        <f>indirect(address(954,37))+indirect(address(952,38))-indirect(address(953,38))</f>
        <v>0</v>
      </c>
      <c r="AM954">
        <f>indirect(address(954,38))+indirect(address(952,39))-indirect(address(953,39))</f>
        <v>0</v>
      </c>
      <c r="AN954">
        <f>indirect(address(954,39))+indirect(address(952,40))-indirect(address(953,40))</f>
        <v>0</v>
      </c>
      <c r="AO954">
        <f>indirect(address(954,40))+indirect(address(952,41))-indirect(address(953,41))</f>
        <v>0</v>
      </c>
    </row>
    <row r="955" spans="1:41">
      <c r="I955" t="s">
        <v>14</v>
      </c>
      <c r="AO955">
        <f>sum(j955:an955)</f>
        <v>0</v>
      </c>
    </row>
    <row r="956" spans="1:41">
      <c r="I956" t="s">
        <v>15</v>
      </c>
      <c r="J956">
        <f>sumif(Plan!B:B,"906-222000-110",Plan!j:j)</f>
        <v>0</v>
      </c>
      <c r="K956">
        <f>sumif(Plan!B:B,"906-222000-110",Plan!k:k)</f>
        <v>0</v>
      </c>
      <c r="L956">
        <f>sumif(Plan!B:B,"906-222000-110",Plan!l:l)</f>
        <v>0</v>
      </c>
      <c r="M956">
        <f>sumif(Plan!B:B,"906-222000-110",Plan!m:m)</f>
        <v>0</v>
      </c>
      <c r="N956">
        <f>sumif(Plan!B:B,"906-222000-110",Plan!n:n)</f>
        <v>0</v>
      </c>
      <c r="O956">
        <f>sumif(Plan!B:B,"906-222000-110",Plan!o:o)</f>
        <v>0</v>
      </c>
      <c r="P956">
        <f>sumif(Plan!B:B,"906-222000-110",Plan!p:p)</f>
        <v>0</v>
      </c>
      <c r="Q956">
        <f>sumif(Plan!B:B,"906-222000-110",Plan!q:q)</f>
        <v>0</v>
      </c>
      <c r="R956">
        <f>sumif(Plan!B:B,"906-222000-110",Plan!r:r)</f>
        <v>0</v>
      </c>
      <c r="S956">
        <f>sumif(Plan!B:B,"906-222000-110",Plan!s:s)</f>
        <v>0</v>
      </c>
      <c r="T956">
        <f>sumif(Plan!B:B,"906-222000-110",Plan!t:t)</f>
        <v>0</v>
      </c>
      <c r="U956">
        <f>sumif(Plan!B:B,"906-222000-110",Plan!u:u)</f>
        <v>0</v>
      </c>
      <c r="V956">
        <f>sumif(Plan!B:B,"906-222000-110",Plan!v:v)</f>
        <v>0</v>
      </c>
      <c r="W956">
        <f>sumif(Plan!B:B,"906-222000-110",Plan!w:w)</f>
        <v>0</v>
      </c>
      <c r="X956">
        <f>sumif(Plan!B:B,"906-222000-110",Plan!x:x)</f>
        <v>0</v>
      </c>
      <c r="Y956">
        <f>sumif(Plan!B:B,"906-222000-110",Plan!y:y)</f>
        <v>0</v>
      </c>
      <c r="Z956">
        <f>sumif(Plan!B:B,"906-222000-110",Plan!z:z)</f>
        <v>0</v>
      </c>
      <c r="AA956">
        <f>sumif(Plan!B:B,"906-222000-110",Plan!aa:aa)</f>
        <v>0</v>
      </c>
      <c r="AB956">
        <f>sumif(Plan!B:B,"906-222000-110",Plan!ab:ab)</f>
        <v>0</v>
      </c>
      <c r="AC956">
        <f>sumif(Plan!B:B,"906-222000-110",Plan!ac:ac)</f>
        <v>0</v>
      </c>
      <c r="AD956">
        <f>sumif(Plan!B:B,"906-222000-110",Plan!ad:ad)</f>
        <v>0</v>
      </c>
      <c r="AE956">
        <f>sumif(Plan!B:B,"906-222000-110",Plan!ae:ae)</f>
        <v>0</v>
      </c>
      <c r="AF956">
        <f>sumif(Plan!B:B,"906-222000-110",Plan!af:af)</f>
        <v>0</v>
      </c>
      <c r="AG956">
        <f>sumif(Plan!B:B,"906-222000-110",Plan!ag:ag)</f>
        <v>0</v>
      </c>
      <c r="AH956">
        <f>sumif(Plan!B:B,"906-222000-110",Plan!ah:ah)</f>
        <v>0</v>
      </c>
      <c r="AI956">
        <f>sumif(Plan!B:B,"906-222000-110",Plan!ai:ai)</f>
        <v>0</v>
      </c>
      <c r="AJ956">
        <f>sumif(Plan!B:B,"906-222000-110",Plan!aj:aj)</f>
        <v>0</v>
      </c>
      <c r="AK956">
        <f>sumif(Plan!B:B,"906-222000-110",Plan!ak:ak)</f>
        <v>0</v>
      </c>
      <c r="AL956">
        <f>sumif(Plan!B:B,"906-222000-110",Plan!al:al)</f>
        <v>0</v>
      </c>
      <c r="AM956">
        <f>sumif(Plan!B:B,"906-222000-110",Plan!am:am)</f>
        <v>0</v>
      </c>
      <c r="AN956">
        <f>sumif(Plan!B:B,"906-222000-110",Plan!an:an)</f>
        <v>0</v>
      </c>
      <c r="AO956">
        <f>sumif(Plan!B:B,"906-222000-110",Plan!ao:ao)</f>
        <v>0</v>
      </c>
    </row>
    <row r="957" spans="1:41">
      <c r="A957" t="s">
        <v>17</v>
      </c>
      <c r="B957" t="s">
        <v>637</v>
      </c>
      <c r="C957" t="s">
        <v>638</v>
      </c>
      <c r="E957">
        <v>1</v>
      </c>
      <c r="F957" t="s">
        <v>13</v>
      </c>
      <c r="H957" t="s">
        <v>16</v>
      </c>
      <c r="J957">
        <f>indirect(address(957,9))+indirect(address(955,10))-indirect(address(956,10))</f>
        <v>0</v>
      </c>
      <c r="K957">
        <f>indirect(address(957,10))+indirect(address(955,11))-indirect(address(956,11))</f>
        <v>0</v>
      </c>
      <c r="L957">
        <f>indirect(address(957,11))+indirect(address(955,12))-indirect(address(956,12))</f>
        <v>0</v>
      </c>
      <c r="M957">
        <f>indirect(address(957,12))+indirect(address(955,13))-indirect(address(956,13))</f>
        <v>0</v>
      </c>
      <c r="N957">
        <f>indirect(address(957,13))+indirect(address(955,14))-indirect(address(956,14))</f>
        <v>0</v>
      </c>
      <c r="O957">
        <f>indirect(address(957,14))+indirect(address(955,15))-indirect(address(956,15))</f>
        <v>0</v>
      </c>
      <c r="P957">
        <f>indirect(address(957,15))+indirect(address(955,16))-indirect(address(956,16))</f>
        <v>0</v>
      </c>
      <c r="Q957">
        <f>indirect(address(957,16))+indirect(address(955,17))-indirect(address(956,17))</f>
        <v>0</v>
      </c>
      <c r="R957">
        <f>indirect(address(957,17))+indirect(address(955,18))-indirect(address(956,18))</f>
        <v>0</v>
      </c>
      <c r="S957">
        <f>indirect(address(957,18))+indirect(address(955,19))-indirect(address(956,19))</f>
        <v>0</v>
      </c>
      <c r="T957">
        <f>indirect(address(957,19))+indirect(address(955,20))-indirect(address(956,20))</f>
        <v>0</v>
      </c>
      <c r="U957">
        <f>indirect(address(957,20))+indirect(address(955,21))-indirect(address(956,21))</f>
        <v>0</v>
      </c>
      <c r="V957">
        <f>indirect(address(957,21))+indirect(address(955,22))-indirect(address(956,22))</f>
        <v>0</v>
      </c>
      <c r="W957">
        <f>indirect(address(957,22))+indirect(address(955,23))-indirect(address(956,23))</f>
        <v>0</v>
      </c>
      <c r="X957">
        <f>indirect(address(957,23))+indirect(address(955,24))-indirect(address(956,24))</f>
        <v>0</v>
      </c>
      <c r="Y957">
        <f>indirect(address(957,24))+indirect(address(955,25))-indirect(address(956,25))</f>
        <v>0</v>
      </c>
      <c r="Z957">
        <f>indirect(address(957,25))+indirect(address(955,26))-indirect(address(956,26))</f>
        <v>0</v>
      </c>
      <c r="AA957">
        <f>indirect(address(957,26))+indirect(address(955,27))-indirect(address(956,27))</f>
        <v>0</v>
      </c>
      <c r="AB957">
        <f>indirect(address(957,27))+indirect(address(955,28))-indirect(address(956,28))</f>
        <v>0</v>
      </c>
      <c r="AC957">
        <f>indirect(address(957,28))+indirect(address(955,29))-indirect(address(956,29))</f>
        <v>0</v>
      </c>
      <c r="AD957">
        <f>indirect(address(957,29))+indirect(address(955,30))-indirect(address(956,30))</f>
        <v>0</v>
      </c>
      <c r="AE957">
        <f>indirect(address(957,30))+indirect(address(955,31))-indirect(address(956,31))</f>
        <v>0</v>
      </c>
      <c r="AF957">
        <f>indirect(address(957,31))+indirect(address(955,32))-indirect(address(956,32))</f>
        <v>0</v>
      </c>
      <c r="AG957">
        <f>indirect(address(957,32))+indirect(address(955,33))-indirect(address(956,33))</f>
        <v>0</v>
      </c>
      <c r="AH957">
        <f>indirect(address(957,33))+indirect(address(955,34))-indirect(address(956,34))</f>
        <v>0</v>
      </c>
      <c r="AI957">
        <f>indirect(address(957,34))+indirect(address(955,35))-indirect(address(956,35))</f>
        <v>0</v>
      </c>
      <c r="AJ957">
        <f>indirect(address(957,35))+indirect(address(955,36))-indirect(address(956,36))</f>
        <v>0</v>
      </c>
      <c r="AK957">
        <f>indirect(address(957,36))+indirect(address(955,37))-indirect(address(956,37))</f>
        <v>0</v>
      </c>
      <c r="AL957">
        <f>indirect(address(957,37))+indirect(address(955,38))-indirect(address(956,38))</f>
        <v>0</v>
      </c>
      <c r="AM957">
        <f>indirect(address(957,38))+indirect(address(955,39))-indirect(address(956,39))</f>
        <v>0</v>
      </c>
      <c r="AN957">
        <f>indirect(address(957,39))+indirect(address(955,40))-indirect(address(956,40))</f>
        <v>0</v>
      </c>
      <c r="AO957">
        <f>indirect(address(957,40))+indirect(address(955,41))-indirect(address(956,41))</f>
        <v>0</v>
      </c>
    </row>
    <row r="958" spans="1:41">
      <c r="I958" t="s">
        <v>14</v>
      </c>
      <c r="AO958">
        <f>sum(j958:an958)</f>
        <v>0</v>
      </c>
    </row>
    <row r="959" spans="1:41">
      <c r="I959" t="s">
        <v>15</v>
      </c>
      <c r="J959">
        <f>sumif(Plan!B:B,"261-000000-016",Plan!j:j)</f>
        <v>0</v>
      </c>
      <c r="K959">
        <f>sumif(Plan!B:B,"261-000000-016",Plan!k:k)</f>
        <v>0</v>
      </c>
      <c r="L959">
        <f>sumif(Plan!B:B,"261-000000-016",Plan!l:l)</f>
        <v>0</v>
      </c>
      <c r="M959">
        <f>sumif(Plan!B:B,"261-000000-016",Plan!m:m)</f>
        <v>0</v>
      </c>
      <c r="N959">
        <f>sumif(Plan!B:B,"261-000000-016",Plan!n:n)</f>
        <v>0</v>
      </c>
      <c r="O959">
        <f>sumif(Plan!B:B,"261-000000-016",Plan!o:o)</f>
        <v>0</v>
      </c>
      <c r="P959">
        <f>sumif(Plan!B:B,"261-000000-016",Plan!p:p)</f>
        <v>0</v>
      </c>
      <c r="Q959">
        <f>sumif(Plan!B:B,"261-000000-016",Plan!q:q)</f>
        <v>0</v>
      </c>
      <c r="R959">
        <f>sumif(Plan!B:B,"261-000000-016",Plan!r:r)</f>
        <v>0</v>
      </c>
      <c r="S959">
        <f>sumif(Plan!B:B,"261-000000-016",Plan!s:s)</f>
        <v>0</v>
      </c>
      <c r="T959">
        <f>sumif(Plan!B:B,"261-000000-016",Plan!t:t)</f>
        <v>0</v>
      </c>
      <c r="U959">
        <f>sumif(Plan!B:B,"261-000000-016",Plan!u:u)</f>
        <v>0</v>
      </c>
      <c r="V959">
        <f>sumif(Plan!B:B,"261-000000-016",Plan!v:v)</f>
        <v>0</v>
      </c>
      <c r="W959">
        <f>sumif(Plan!B:B,"261-000000-016",Plan!w:w)</f>
        <v>0</v>
      </c>
      <c r="X959">
        <f>sumif(Plan!B:B,"261-000000-016",Plan!x:x)</f>
        <v>0</v>
      </c>
      <c r="Y959">
        <f>sumif(Plan!B:B,"261-000000-016",Plan!y:y)</f>
        <v>0</v>
      </c>
      <c r="Z959">
        <f>sumif(Plan!B:B,"261-000000-016",Plan!z:z)</f>
        <v>0</v>
      </c>
      <c r="AA959">
        <f>sumif(Plan!B:B,"261-000000-016",Plan!aa:aa)</f>
        <v>0</v>
      </c>
      <c r="AB959">
        <f>sumif(Plan!B:B,"261-000000-016",Plan!ab:ab)</f>
        <v>0</v>
      </c>
      <c r="AC959">
        <f>sumif(Plan!B:B,"261-000000-016",Plan!ac:ac)</f>
        <v>0</v>
      </c>
      <c r="AD959">
        <f>sumif(Plan!B:B,"261-000000-016",Plan!ad:ad)</f>
        <v>0</v>
      </c>
      <c r="AE959">
        <f>sumif(Plan!B:B,"261-000000-016",Plan!ae:ae)</f>
        <v>0</v>
      </c>
      <c r="AF959">
        <f>sumif(Plan!B:B,"261-000000-016",Plan!af:af)</f>
        <v>0</v>
      </c>
      <c r="AG959">
        <f>sumif(Plan!B:B,"261-000000-016",Plan!ag:ag)</f>
        <v>0</v>
      </c>
      <c r="AH959">
        <f>sumif(Plan!B:B,"261-000000-016",Plan!ah:ah)</f>
        <v>0</v>
      </c>
      <c r="AI959">
        <f>sumif(Plan!B:B,"261-000000-016",Plan!ai:ai)</f>
        <v>0</v>
      </c>
      <c r="AJ959">
        <f>sumif(Plan!B:B,"261-000000-016",Plan!aj:aj)</f>
        <v>0</v>
      </c>
      <c r="AK959">
        <f>sumif(Plan!B:B,"261-000000-016",Plan!ak:ak)</f>
        <v>0</v>
      </c>
      <c r="AL959">
        <f>sumif(Plan!B:B,"261-000000-016",Plan!al:al)</f>
        <v>0</v>
      </c>
      <c r="AM959">
        <f>sumif(Plan!B:B,"261-000000-016",Plan!am:am)</f>
        <v>0</v>
      </c>
      <c r="AN959">
        <f>sumif(Plan!B:B,"261-000000-016",Plan!an:an)</f>
        <v>0</v>
      </c>
      <c r="AO959">
        <f>sumif(Plan!B:B,"261-000000-016",Plan!ao:ao)</f>
        <v>0</v>
      </c>
    </row>
    <row r="960" spans="1:41">
      <c r="A960" t="s">
        <v>22</v>
      </c>
      <c r="B960" t="s">
        <v>639</v>
      </c>
      <c r="C960" t="s">
        <v>640</v>
      </c>
      <c r="E960">
        <v>0.03</v>
      </c>
      <c r="F960" t="s">
        <v>13</v>
      </c>
      <c r="H960" t="s">
        <v>16</v>
      </c>
      <c r="J960">
        <f>indirect(address(960,9))+indirect(address(958,10))-indirect(address(959,10))</f>
        <v>0</v>
      </c>
      <c r="K960">
        <f>indirect(address(960,10))+indirect(address(958,11))-indirect(address(959,11))</f>
        <v>0</v>
      </c>
      <c r="L960">
        <f>indirect(address(960,11))+indirect(address(958,12))-indirect(address(959,12))</f>
        <v>0</v>
      </c>
      <c r="M960">
        <f>indirect(address(960,12))+indirect(address(958,13))-indirect(address(959,13))</f>
        <v>0</v>
      </c>
      <c r="N960">
        <f>indirect(address(960,13))+indirect(address(958,14))-indirect(address(959,14))</f>
        <v>0</v>
      </c>
      <c r="O960">
        <f>indirect(address(960,14))+indirect(address(958,15))-indirect(address(959,15))</f>
        <v>0</v>
      </c>
      <c r="P960">
        <f>indirect(address(960,15))+indirect(address(958,16))-indirect(address(959,16))</f>
        <v>0</v>
      </c>
      <c r="Q960">
        <f>indirect(address(960,16))+indirect(address(958,17))-indirect(address(959,17))</f>
        <v>0</v>
      </c>
      <c r="R960">
        <f>indirect(address(960,17))+indirect(address(958,18))-indirect(address(959,18))</f>
        <v>0</v>
      </c>
      <c r="S960">
        <f>indirect(address(960,18))+indirect(address(958,19))-indirect(address(959,19))</f>
        <v>0</v>
      </c>
      <c r="T960">
        <f>indirect(address(960,19))+indirect(address(958,20))-indirect(address(959,20))</f>
        <v>0</v>
      </c>
      <c r="U960">
        <f>indirect(address(960,20))+indirect(address(958,21))-indirect(address(959,21))</f>
        <v>0</v>
      </c>
      <c r="V960">
        <f>indirect(address(960,21))+indirect(address(958,22))-indirect(address(959,22))</f>
        <v>0</v>
      </c>
      <c r="W960">
        <f>indirect(address(960,22))+indirect(address(958,23))-indirect(address(959,23))</f>
        <v>0</v>
      </c>
      <c r="X960">
        <f>indirect(address(960,23))+indirect(address(958,24))-indirect(address(959,24))</f>
        <v>0</v>
      </c>
      <c r="Y960">
        <f>indirect(address(960,24))+indirect(address(958,25))-indirect(address(959,25))</f>
        <v>0</v>
      </c>
      <c r="Z960">
        <f>indirect(address(960,25))+indirect(address(958,26))-indirect(address(959,26))</f>
        <v>0</v>
      </c>
      <c r="AA960">
        <f>indirect(address(960,26))+indirect(address(958,27))-indirect(address(959,27))</f>
        <v>0</v>
      </c>
      <c r="AB960">
        <f>indirect(address(960,27))+indirect(address(958,28))-indirect(address(959,28))</f>
        <v>0</v>
      </c>
      <c r="AC960">
        <f>indirect(address(960,28))+indirect(address(958,29))-indirect(address(959,29))</f>
        <v>0</v>
      </c>
      <c r="AD960">
        <f>indirect(address(960,29))+indirect(address(958,30))-indirect(address(959,30))</f>
        <v>0</v>
      </c>
      <c r="AE960">
        <f>indirect(address(960,30))+indirect(address(958,31))-indirect(address(959,31))</f>
        <v>0</v>
      </c>
      <c r="AF960">
        <f>indirect(address(960,31))+indirect(address(958,32))-indirect(address(959,32))</f>
        <v>0</v>
      </c>
      <c r="AG960">
        <f>indirect(address(960,32))+indirect(address(958,33))-indirect(address(959,33))</f>
        <v>0</v>
      </c>
      <c r="AH960">
        <f>indirect(address(960,33))+indirect(address(958,34))-indirect(address(959,34))</f>
        <v>0</v>
      </c>
      <c r="AI960">
        <f>indirect(address(960,34))+indirect(address(958,35))-indirect(address(959,35))</f>
        <v>0</v>
      </c>
      <c r="AJ960">
        <f>indirect(address(960,35))+indirect(address(958,36))-indirect(address(959,36))</f>
        <v>0</v>
      </c>
      <c r="AK960">
        <f>indirect(address(960,36))+indirect(address(958,37))-indirect(address(959,37))</f>
        <v>0</v>
      </c>
      <c r="AL960">
        <f>indirect(address(960,37))+indirect(address(958,38))-indirect(address(959,38))</f>
        <v>0</v>
      </c>
      <c r="AM960">
        <f>indirect(address(960,38))+indirect(address(958,39))-indirect(address(959,39))</f>
        <v>0</v>
      </c>
      <c r="AN960">
        <f>indirect(address(960,39))+indirect(address(958,40))-indirect(address(959,40))</f>
        <v>0</v>
      </c>
      <c r="AO960">
        <f>indirect(address(960,40))+indirect(address(958,41))-indirect(address(959,41))</f>
        <v>0</v>
      </c>
    </row>
    <row r="961" spans="1:41">
      <c r="I961" t="s">
        <v>14</v>
      </c>
      <c r="AO961">
        <f>sum(j961:an961)</f>
        <v>0</v>
      </c>
    </row>
    <row r="962" spans="1:41">
      <c r="I962" t="s">
        <v>15</v>
      </c>
      <c r="J962">
        <f>sumif(Plan!B:B,"261-000000-013",Plan!j:j)</f>
        <v>0</v>
      </c>
      <c r="K962">
        <f>sumif(Plan!B:B,"261-000000-013",Plan!k:k)</f>
        <v>0</v>
      </c>
      <c r="L962">
        <f>sumif(Plan!B:B,"261-000000-013",Plan!l:l)</f>
        <v>0</v>
      </c>
      <c r="M962">
        <f>sumif(Plan!B:B,"261-000000-013",Plan!m:m)</f>
        <v>0</v>
      </c>
      <c r="N962">
        <f>sumif(Plan!B:B,"261-000000-013",Plan!n:n)</f>
        <v>0</v>
      </c>
      <c r="O962">
        <f>sumif(Plan!B:B,"261-000000-013",Plan!o:o)</f>
        <v>0</v>
      </c>
      <c r="P962">
        <f>sumif(Plan!B:B,"261-000000-013",Plan!p:p)</f>
        <v>0</v>
      </c>
      <c r="Q962">
        <f>sumif(Plan!B:B,"261-000000-013",Plan!q:q)</f>
        <v>0</v>
      </c>
      <c r="R962">
        <f>sumif(Plan!B:B,"261-000000-013",Plan!r:r)</f>
        <v>0</v>
      </c>
      <c r="S962">
        <f>sumif(Plan!B:B,"261-000000-013",Plan!s:s)</f>
        <v>0</v>
      </c>
      <c r="T962">
        <f>sumif(Plan!B:B,"261-000000-013",Plan!t:t)</f>
        <v>0</v>
      </c>
      <c r="U962">
        <f>sumif(Plan!B:B,"261-000000-013",Plan!u:u)</f>
        <v>0</v>
      </c>
      <c r="V962">
        <f>sumif(Plan!B:B,"261-000000-013",Plan!v:v)</f>
        <v>0</v>
      </c>
      <c r="W962">
        <f>sumif(Plan!B:B,"261-000000-013",Plan!w:w)</f>
        <v>0</v>
      </c>
      <c r="X962">
        <f>sumif(Plan!B:B,"261-000000-013",Plan!x:x)</f>
        <v>0</v>
      </c>
      <c r="Y962">
        <f>sumif(Plan!B:B,"261-000000-013",Plan!y:y)</f>
        <v>0</v>
      </c>
      <c r="Z962">
        <f>sumif(Plan!B:B,"261-000000-013",Plan!z:z)</f>
        <v>0</v>
      </c>
      <c r="AA962">
        <f>sumif(Plan!B:B,"261-000000-013",Plan!aa:aa)</f>
        <v>0</v>
      </c>
      <c r="AB962">
        <f>sumif(Plan!B:B,"261-000000-013",Plan!ab:ab)</f>
        <v>0</v>
      </c>
      <c r="AC962">
        <f>sumif(Plan!B:B,"261-000000-013",Plan!ac:ac)</f>
        <v>0</v>
      </c>
      <c r="AD962">
        <f>sumif(Plan!B:B,"261-000000-013",Plan!ad:ad)</f>
        <v>0</v>
      </c>
      <c r="AE962">
        <f>sumif(Plan!B:B,"261-000000-013",Plan!ae:ae)</f>
        <v>0</v>
      </c>
      <c r="AF962">
        <f>sumif(Plan!B:B,"261-000000-013",Plan!af:af)</f>
        <v>0</v>
      </c>
      <c r="AG962">
        <f>sumif(Plan!B:B,"261-000000-013",Plan!ag:ag)</f>
        <v>0</v>
      </c>
      <c r="AH962">
        <f>sumif(Plan!B:B,"261-000000-013",Plan!ah:ah)</f>
        <v>0</v>
      </c>
      <c r="AI962">
        <f>sumif(Plan!B:B,"261-000000-013",Plan!ai:ai)</f>
        <v>0</v>
      </c>
      <c r="AJ962">
        <f>sumif(Plan!B:B,"261-000000-013",Plan!aj:aj)</f>
        <v>0</v>
      </c>
      <c r="AK962">
        <f>sumif(Plan!B:B,"261-000000-013",Plan!ak:ak)</f>
        <v>0</v>
      </c>
      <c r="AL962">
        <f>sumif(Plan!B:B,"261-000000-013",Plan!al:al)</f>
        <v>0</v>
      </c>
      <c r="AM962">
        <f>sumif(Plan!B:B,"261-000000-013",Plan!am:am)</f>
        <v>0</v>
      </c>
      <c r="AN962">
        <f>sumif(Plan!B:B,"261-000000-013",Plan!an:an)</f>
        <v>0</v>
      </c>
      <c r="AO962">
        <f>sumif(Plan!B:B,"261-000000-013",Plan!ao:ao)</f>
        <v>0</v>
      </c>
    </row>
    <row r="963" spans="1:41">
      <c r="A963" t="s">
        <v>22</v>
      </c>
      <c r="B963" t="s">
        <v>641</v>
      </c>
      <c r="C963" t="s">
        <v>642</v>
      </c>
      <c r="E963">
        <v>1</v>
      </c>
      <c r="F963" t="s">
        <v>13</v>
      </c>
      <c r="H963" t="s">
        <v>16</v>
      </c>
      <c r="J963">
        <f>indirect(address(963,9))+indirect(address(961,10))-indirect(address(962,10))</f>
        <v>0</v>
      </c>
      <c r="K963">
        <f>indirect(address(963,10))+indirect(address(961,11))-indirect(address(962,11))</f>
        <v>0</v>
      </c>
      <c r="L963">
        <f>indirect(address(963,11))+indirect(address(961,12))-indirect(address(962,12))</f>
        <v>0</v>
      </c>
      <c r="M963">
        <f>indirect(address(963,12))+indirect(address(961,13))-indirect(address(962,13))</f>
        <v>0</v>
      </c>
      <c r="N963">
        <f>indirect(address(963,13))+indirect(address(961,14))-indirect(address(962,14))</f>
        <v>0</v>
      </c>
      <c r="O963">
        <f>indirect(address(963,14))+indirect(address(961,15))-indirect(address(962,15))</f>
        <v>0</v>
      </c>
      <c r="P963">
        <f>indirect(address(963,15))+indirect(address(961,16))-indirect(address(962,16))</f>
        <v>0</v>
      </c>
      <c r="Q963">
        <f>indirect(address(963,16))+indirect(address(961,17))-indirect(address(962,17))</f>
        <v>0</v>
      </c>
      <c r="R963">
        <f>indirect(address(963,17))+indirect(address(961,18))-indirect(address(962,18))</f>
        <v>0</v>
      </c>
      <c r="S963">
        <f>indirect(address(963,18))+indirect(address(961,19))-indirect(address(962,19))</f>
        <v>0</v>
      </c>
      <c r="T963">
        <f>indirect(address(963,19))+indirect(address(961,20))-indirect(address(962,20))</f>
        <v>0</v>
      </c>
      <c r="U963">
        <f>indirect(address(963,20))+indirect(address(961,21))-indirect(address(962,21))</f>
        <v>0</v>
      </c>
      <c r="V963">
        <f>indirect(address(963,21))+indirect(address(961,22))-indirect(address(962,22))</f>
        <v>0</v>
      </c>
      <c r="W963">
        <f>indirect(address(963,22))+indirect(address(961,23))-indirect(address(962,23))</f>
        <v>0</v>
      </c>
      <c r="X963">
        <f>indirect(address(963,23))+indirect(address(961,24))-indirect(address(962,24))</f>
        <v>0</v>
      </c>
      <c r="Y963">
        <f>indirect(address(963,24))+indirect(address(961,25))-indirect(address(962,25))</f>
        <v>0</v>
      </c>
      <c r="Z963">
        <f>indirect(address(963,25))+indirect(address(961,26))-indirect(address(962,26))</f>
        <v>0</v>
      </c>
      <c r="AA963">
        <f>indirect(address(963,26))+indirect(address(961,27))-indirect(address(962,27))</f>
        <v>0</v>
      </c>
      <c r="AB963">
        <f>indirect(address(963,27))+indirect(address(961,28))-indirect(address(962,28))</f>
        <v>0</v>
      </c>
      <c r="AC963">
        <f>indirect(address(963,28))+indirect(address(961,29))-indirect(address(962,29))</f>
        <v>0</v>
      </c>
      <c r="AD963">
        <f>indirect(address(963,29))+indirect(address(961,30))-indirect(address(962,30))</f>
        <v>0</v>
      </c>
      <c r="AE963">
        <f>indirect(address(963,30))+indirect(address(961,31))-indirect(address(962,31))</f>
        <v>0</v>
      </c>
      <c r="AF963">
        <f>indirect(address(963,31))+indirect(address(961,32))-indirect(address(962,32))</f>
        <v>0</v>
      </c>
      <c r="AG963">
        <f>indirect(address(963,32))+indirect(address(961,33))-indirect(address(962,33))</f>
        <v>0</v>
      </c>
      <c r="AH963">
        <f>indirect(address(963,33))+indirect(address(961,34))-indirect(address(962,34))</f>
        <v>0</v>
      </c>
      <c r="AI963">
        <f>indirect(address(963,34))+indirect(address(961,35))-indirect(address(962,35))</f>
        <v>0</v>
      </c>
      <c r="AJ963">
        <f>indirect(address(963,35))+indirect(address(961,36))-indirect(address(962,36))</f>
        <v>0</v>
      </c>
      <c r="AK963">
        <f>indirect(address(963,36))+indirect(address(961,37))-indirect(address(962,37))</f>
        <v>0</v>
      </c>
      <c r="AL963">
        <f>indirect(address(963,37))+indirect(address(961,38))-indirect(address(962,38))</f>
        <v>0</v>
      </c>
      <c r="AM963">
        <f>indirect(address(963,38))+indirect(address(961,39))-indirect(address(962,39))</f>
        <v>0</v>
      </c>
      <c r="AN963">
        <f>indirect(address(963,39))+indirect(address(961,40))-indirect(address(962,40))</f>
        <v>0</v>
      </c>
      <c r="AO963">
        <f>indirect(address(963,40))+indirect(address(961,41))-indirect(address(962,41))</f>
        <v>0</v>
      </c>
    </row>
    <row r="964" spans="1:41">
      <c r="I964" t="s">
        <v>14</v>
      </c>
      <c r="AO964">
        <f>sum(j964:an964)</f>
        <v>0</v>
      </c>
    </row>
    <row r="965" spans="1:41">
      <c r="I965" t="s">
        <v>15</v>
      </c>
      <c r="J965">
        <f>sumif(Plan!B:B,"261-000000-014",Plan!j:j)</f>
        <v>0</v>
      </c>
      <c r="K965">
        <f>sumif(Plan!B:B,"261-000000-014",Plan!k:k)</f>
        <v>0</v>
      </c>
      <c r="L965">
        <f>sumif(Plan!B:B,"261-000000-014",Plan!l:l)</f>
        <v>0</v>
      </c>
      <c r="M965">
        <f>sumif(Plan!B:B,"261-000000-014",Plan!m:m)</f>
        <v>0</v>
      </c>
      <c r="N965">
        <f>sumif(Plan!B:B,"261-000000-014",Plan!n:n)</f>
        <v>0</v>
      </c>
      <c r="O965">
        <f>sumif(Plan!B:B,"261-000000-014",Plan!o:o)</f>
        <v>0</v>
      </c>
      <c r="P965">
        <f>sumif(Plan!B:B,"261-000000-014",Plan!p:p)</f>
        <v>0</v>
      </c>
      <c r="Q965">
        <f>sumif(Plan!B:B,"261-000000-014",Plan!q:q)</f>
        <v>0</v>
      </c>
      <c r="R965">
        <f>sumif(Plan!B:B,"261-000000-014",Plan!r:r)</f>
        <v>0</v>
      </c>
      <c r="S965">
        <f>sumif(Plan!B:B,"261-000000-014",Plan!s:s)</f>
        <v>0</v>
      </c>
      <c r="T965">
        <f>sumif(Plan!B:B,"261-000000-014",Plan!t:t)</f>
        <v>0</v>
      </c>
      <c r="U965">
        <f>sumif(Plan!B:B,"261-000000-014",Plan!u:u)</f>
        <v>0</v>
      </c>
      <c r="V965">
        <f>sumif(Plan!B:B,"261-000000-014",Plan!v:v)</f>
        <v>0</v>
      </c>
      <c r="W965">
        <f>sumif(Plan!B:B,"261-000000-014",Plan!w:w)</f>
        <v>0</v>
      </c>
      <c r="X965">
        <f>sumif(Plan!B:B,"261-000000-014",Plan!x:x)</f>
        <v>0</v>
      </c>
      <c r="Y965">
        <f>sumif(Plan!B:B,"261-000000-014",Plan!y:y)</f>
        <v>0</v>
      </c>
      <c r="Z965">
        <f>sumif(Plan!B:B,"261-000000-014",Plan!z:z)</f>
        <v>0</v>
      </c>
      <c r="AA965">
        <f>sumif(Plan!B:B,"261-000000-014",Plan!aa:aa)</f>
        <v>0</v>
      </c>
      <c r="AB965">
        <f>sumif(Plan!B:B,"261-000000-014",Plan!ab:ab)</f>
        <v>0</v>
      </c>
      <c r="AC965">
        <f>sumif(Plan!B:B,"261-000000-014",Plan!ac:ac)</f>
        <v>0</v>
      </c>
      <c r="AD965">
        <f>sumif(Plan!B:B,"261-000000-014",Plan!ad:ad)</f>
        <v>0</v>
      </c>
      <c r="AE965">
        <f>sumif(Plan!B:B,"261-000000-014",Plan!ae:ae)</f>
        <v>0</v>
      </c>
      <c r="AF965">
        <f>sumif(Plan!B:B,"261-000000-014",Plan!af:af)</f>
        <v>0</v>
      </c>
      <c r="AG965">
        <f>sumif(Plan!B:B,"261-000000-014",Plan!ag:ag)</f>
        <v>0</v>
      </c>
      <c r="AH965">
        <f>sumif(Plan!B:B,"261-000000-014",Plan!ah:ah)</f>
        <v>0</v>
      </c>
      <c r="AI965">
        <f>sumif(Plan!B:B,"261-000000-014",Plan!ai:ai)</f>
        <v>0</v>
      </c>
      <c r="AJ965">
        <f>sumif(Plan!B:B,"261-000000-014",Plan!aj:aj)</f>
        <v>0</v>
      </c>
      <c r="AK965">
        <f>sumif(Plan!B:B,"261-000000-014",Plan!ak:ak)</f>
        <v>0</v>
      </c>
      <c r="AL965">
        <f>sumif(Plan!B:B,"261-000000-014",Plan!al:al)</f>
        <v>0</v>
      </c>
      <c r="AM965">
        <f>sumif(Plan!B:B,"261-000000-014",Plan!am:am)</f>
        <v>0</v>
      </c>
      <c r="AN965">
        <f>sumif(Plan!B:B,"261-000000-014",Plan!an:an)</f>
        <v>0</v>
      </c>
      <c r="AO965">
        <f>sumif(Plan!B:B,"261-000000-014",Plan!ao:ao)</f>
        <v>0</v>
      </c>
    </row>
    <row r="966" spans="1:41">
      <c r="A966" t="s">
        <v>22</v>
      </c>
      <c r="B966" t="s">
        <v>643</v>
      </c>
      <c r="C966" t="s">
        <v>644</v>
      </c>
      <c r="E966">
        <v>1</v>
      </c>
      <c r="F966" t="s">
        <v>13</v>
      </c>
      <c r="H966" t="s">
        <v>16</v>
      </c>
      <c r="J966">
        <f>indirect(address(966,9))+indirect(address(964,10))-indirect(address(965,10))</f>
        <v>0</v>
      </c>
      <c r="K966">
        <f>indirect(address(966,10))+indirect(address(964,11))-indirect(address(965,11))</f>
        <v>0</v>
      </c>
      <c r="L966">
        <f>indirect(address(966,11))+indirect(address(964,12))-indirect(address(965,12))</f>
        <v>0</v>
      </c>
      <c r="M966">
        <f>indirect(address(966,12))+indirect(address(964,13))-indirect(address(965,13))</f>
        <v>0</v>
      </c>
      <c r="N966">
        <f>indirect(address(966,13))+indirect(address(964,14))-indirect(address(965,14))</f>
        <v>0</v>
      </c>
      <c r="O966">
        <f>indirect(address(966,14))+indirect(address(964,15))-indirect(address(965,15))</f>
        <v>0</v>
      </c>
      <c r="P966">
        <f>indirect(address(966,15))+indirect(address(964,16))-indirect(address(965,16))</f>
        <v>0</v>
      </c>
      <c r="Q966">
        <f>indirect(address(966,16))+indirect(address(964,17))-indirect(address(965,17))</f>
        <v>0</v>
      </c>
      <c r="R966">
        <f>indirect(address(966,17))+indirect(address(964,18))-indirect(address(965,18))</f>
        <v>0</v>
      </c>
      <c r="S966">
        <f>indirect(address(966,18))+indirect(address(964,19))-indirect(address(965,19))</f>
        <v>0</v>
      </c>
      <c r="T966">
        <f>indirect(address(966,19))+indirect(address(964,20))-indirect(address(965,20))</f>
        <v>0</v>
      </c>
      <c r="U966">
        <f>indirect(address(966,20))+indirect(address(964,21))-indirect(address(965,21))</f>
        <v>0</v>
      </c>
      <c r="V966">
        <f>indirect(address(966,21))+indirect(address(964,22))-indirect(address(965,22))</f>
        <v>0</v>
      </c>
      <c r="W966">
        <f>indirect(address(966,22))+indirect(address(964,23))-indirect(address(965,23))</f>
        <v>0</v>
      </c>
      <c r="X966">
        <f>indirect(address(966,23))+indirect(address(964,24))-indirect(address(965,24))</f>
        <v>0</v>
      </c>
      <c r="Y966">
        <f>indirect(address(966,24))+indirect(address(964,25))-indirect(address(965,25))</f>
        <v>0</v>
      </c>
      <c r="Z966">
        <f>indirect(address(966,25))+indirect(address(964,26))-indirect(address(965,26))</f>
        <v>0</v>
      </c>
      <c r="AA966">
        <f>indirect(address(966,26))+indirect(address(964,27))-indirect(address(965,27))</f>
        <v>0</v>
      </c>
      <c r="AB966">
        <f>indirect(address(966,27))+indirect(address(964,28))-indirect(address(965,28))</f>
        <v>0</v>
      </c>
      <c r="AC966">
        <f>indirect(address(966,28))+indirect(address(964,29))-indirect(address(965,29))</f>
        <v>0</v>
      </c>
      <c r="AD966">
        <f>indirect(address(966,29))+indirect(address(964,30))-indirect(address(965,30))</f>
        <v>0</v>
      </c>
      <c r="AE966">
        <f>indirect(address(966,30))+indirect(address(964,31))-indirect(address(965,31))</f>
        <v>0</v>
      </c>
      <c r="AF966">
        <f>indirect(address(966,31))+indirect(address(964,32))-indirect(address(965,32))</f>
        <v>0</v>
      </c>
      <c r="AG966">
        <f>indirect(address(966,32))+indirect(address(964,33))-indirect(address(965,33))</f>
        <v>0</v>
      </c>
      <c r="AH966">
        <f>indirect(address(966,33))+indirect(address(964,34))-indirect(address(965,34))</f>
        <v>0</v>
      </c>
      <c r="AI966">
        <f>indirect(address(966,34))+indirect(address(964,35))-indirect(address(965,35))</f>
        <v>0</v>
      </c>
      <c r="AJ966">
        <f>indirect(address(966,35))+indirect(address(964,36))-indirect(address(965,36))</f>
        <v>0</v>
      </c>
      <c r="AK966">
        <f>indirect(address(966,36))+indirect(address(964,37))-indirect(address(965,37))</f>
        <v>0</v>
      </c>
      <c r="AL966">
        <f>indirect(address(966,37))+indirect(address(964,38))-indirect(address(965,38))</f>
        <v>0</v>
      </c>
      <c r="AM966">
        <f>indirect(address(966,38))+indirect(address(964,39))-indirect(address(965,39))</f>
        <v>0</v>
      </c>
      <c r="AN966">
        <f>indirect(address(966,39))+indirect(address(964,40))-indirect(address(965,40))</f>
        <v>0</v>
      </c>
      <c r="AO966">
        <f>indirect(address(966,40))+indirect(address(964,41))-indirect(address(965,41))</f>
        <v>0</v>
      </c>
    </row>
    <row r="967" spans="1:41">
      <c r="I967" t="s">
        <v>14</v>
      </c>
      <c r="AO967">
        <f>sum(j967:an967)</f>
        <v>0</v>
      </c>
    </row>
    <row r="968" spans="1:41">
      <c r="I968" t="s">
        <v>15</v>
      </c>
      <c r="J968">
        <f>sumif(Plan!B:B,"261-000000-015",Plan!j:j)</f>
        <v>0</v>
      </c>
      <c r="K968">
        <f>sumif(Plan!B:B,"261-000000-015",Plan!k:k)</f>
        <v>0</v>
      </c>
      <c r="L968">
        <f>sumif(Plan!B:B,"261-000000-015",Plan!l:l)</f>
        <v>0</v>
      </c>
      <c r="M968">
        <f>sumif(Plan!B:B,"261-000000-015",Plan!m:m)</f>
        <v>0</v>
      </c>
      <c r="N968">
        <f>sumif(Plan!B:B,"261-000000-015",Plan!n:n)</f>
        <v>0</v>
      </c>
      <c r="O968">
        <f>sumif(Plan!B:B,"261-000000-015",Plan!o:o)</f>
        <v>0</v>
      </c>
      <c r="P968">
        <f>sumif(Plan!B:B,"261-000000-015",Plan!p:p)</f>
        <v>0</v>
      </c>
      <c r="Q968">
        <f>sumif(Plan!B:B,"261-000000-015",Plan!q:q)</f>
        <v>0</v>
      </c>
      <c r="R968">
        <f>sumif(Plan!B:B,"261-000000-015",Plan!r:r)</f>
        <v>0</v>
      </c>
      <c r="S968">
        <f>sumif(Plan!B:B,"261-000000-015",Plan!s:s)</f>
        <v>0</v>
      </c>
      <c r="T968">
        <f>sumif(Plan!B:B,"261-000000-015",Plan!t:t)</f>
        <v>0</v>
      </c>
      <c r="U968">
        <f>sumif(Plan!B:B,"261-000000-015",Plan!u:u)</f>
        <v>0</v>
      </c>
      <c r="V968">
        <f>sumif(Plan!B:B,"261-000000-015",Plan!v:v)</f>
        <v>0</v>
      </c>
      <c r="W968">
        <f>sumif(Plan!B:B,"261-000000-015",Plan!w:w)</f>
        <v>0</v>
      </c>
      <c r="X968">
        <f>sumif(Plan!B:B,"261-000000-015",Plan!x:x)</f>
        <v>0</v>
      </c>
      <c r="Y968">
        <f>sumif(Plan!B:B,"261-000000-015",Plan!y:y)</f>
        <v>0</v>
      </c>
      <c r="Z968">
        <f>sumif(Plan!B:B,"261-000000-015",Plan!z:z)</f>
        <v>0</v>
      </c>
      <c r="AA968">
        <f>sumif(Plan!B:B,"261-000000-015",Plan!aa:aa)</f>
        <v>0</v>
      </c>
      <c r="AB968">
        <f>sumif(Plan!B:B,"261-000000-015",Plan!ab:ab)</f>
        <v>0</v>
      </c>
      <c r="AC968">
        <f>sumif(Plan!B:B,"261-000000-015",Plan!ac:ac)</f>
        <v>0</v>
      </c>
      <c r="AD968">
        <f>sumif(Plan!B:B,"261-000000-015",Plan!ad:ad)</f>
        <v>0</v>
      </c>
      <c r="AE968">
        <f>sumif(Plan!B:B,"261-000000-015",Plan!ae:ae)</f>
        <v>0</v>
      </c>
      <c r="AF968">
        <f>sumif(Plan!B:B,"261-000000-015",Plan!af:af)</f>
        <v>0</v>
      </c>
      <c r="AG968">
        <f>sumif(Plan!B:B,"261-000000-015",Plan!ag:ag)</f>
        <v>0</v>
      </c>
      <c r="AH968">
        <f>sumif(Plan!B:B,"261-000000-015",Plan!ah:ah)</f>
        <v>0</v>
      </c>
      <c r="AI968">
        <f>sumif(Plan!B:B,"261-000000-015",Plan!ai:ai)</f>
        <v>0</v>
      </c>
      <c r="AJ968">
        <f>sumif(Plan!B:B,"261-000000-015",Plan!aj:aj)</f>
        <v>0</v>
      </c>
      <c r="AK968">
        <f>sumif(Plan!B:B,"261-000000-015",Plan!ak:ak)</f>
        <v>0</v>
      </c>
      <c r="AL968">
        <f>sumif(Plan!B:B,"261-000000-015",Plan!al:al)</f>
        <v>0</v>
      </c>
      <c r="AM968">
        <f>sumif(Plan!B:B,"261-000000-015",Plan!am:am)</f>
        <v>0</v>
      </c>
      <c r="AN968">
        <f>sumif(Plan!B:B,"261-000000-015",Plan!an:an)</f>
        <v>0</v>
      </c>
      <c r="AO968">
        <f>sumif(Plan!B:B,"261-000000-015",Plan!ao:ao)</f>
        <v>0</v>
      </c>
    </row>
    <row r="969" spans="1:41">
      <c r="A969" t="s">
        <v>22</v>
      </c>
      <c r="B969" t="s">
        <v>645</v>
      </c>
      <c r="C969" t="s">
        <v>646</v>
      </c>
      <c r="E969">
        <v>1</v>
      </c>
      <c r="F969" t="s">
        <v>13</v>
      </c>
      <c r="H969" t="s">
        <v>16</v>
      </c>
      <c r="J969">
        <f>indirect(address(969,9))+indirect(address(967,10))-indirect(address(968,10))</f>
        <v>0</v>
      </c>
      <c r="K969">
        <f>indirect(address(969,10))+indirect(address(967,11))-indirect(address(968,11))</f>
        <v>0</v>
      </c>
      <c r="L969">
        <f>indirect(address(969,11))+indirect(address(967,12))-indirect(address(968,12))</f>
        <v>0</v>
      </c>
      <c r="M969">
        <f>indirect(address(969,12))+indirect(address(967,13))-indirect(address(968,13))</f>
        <v>0</v>
      </c>
      <c r="N969">
        <f>indirect(address(969,13))+indirect(address(967,14))-indirect(address(968,14))</f>
        <v>0</v>
      </c>
      <c r="O969">
        <f>indirect(address(969,14))+indirect(address(967,15))-indirect(address(968,15))</f>
        <v>0</v>
      </c>
      <c r="P969">
        <f>indirect(address(969,15))+indirect(address(967,16))-indirect(address(968,16))</f>
        <v>0</v>
      </c>
      <c r="Q969">
        <f>indirect(address(969,16))+indirect(address(967,17))-indirect(address(968,17))</f>
        <v>0</v>
      </c>
      <c r="R969">
        <f>indirect(address(969,17))+indirect(address(967,18))-indirect(address(968,18))</f>
        <v>0</v>
      </c>
      <c r="S969">
        <f>indirect(address(969,18))+indirect(address(967,19))-indirect(address(968,19))</f>
        <v>0</v>
      </c>
      <c r="T969">
        <f>indirect(address(969,19))+indirect(address(967,20))-indirect(address(968,20))</f>
        <v>0</v>
      </c>
      <c r="U969">
        <f>indirect(address(969,20))+indirect(address(967,21))-indirect(address(968,21))</f>
        <v>0</v>
      </c>
      <c r="V969">
        <f>indirect(address(969,21))+indirect(address(967,22))-indirect(address(968,22))</f>
        <v>0</v>
      </c>
      <c r="W969">
        <f>indirect(address(969,22))+indirect(address(967,23))-indirect(address(968,23))</f>
        <v>0</v>
      </c>
      <c r="X969">
        <f>indirect(address(969,23))+indirect(address(967,24))-indirect(address(968,24))</f>
        <v>0</v>
      </c>
      <c r="Y969">
        <f>indirect(address(969,24))+indirect(address(967,25))-indirect(address(968,25))</f>
        <v>0</v>
      </c>
      <c r="Z969">
        <f>indirect(address(969,25))+indirect(address(967,26))-indirect(address(968,26))</f>
        <v>0</v>
      </c>
      <c r="AA969">
        <f>indirect(address(969,26))+indirect(address(967,27))-indirect(address(968,27))</f>
        <v>0</v>
      </c>
      <c r="AB969">
        <f>indirect(address(969,27))+indirect(address(967,28))-indirect(address(968,28))</f>
        <v>0</v>
      </c>
      <c r="AC969">
        <f>indirect(address(969,28))+indirect(address(967,29))-indirect(address(968,29))</f>
        <v>0</v>
      </c>
      <c r="AD969">
        <f>indirect(address(969,29))+indirect(address(967,30))-indirect(address(968,30))</f>
        <v>0</v>
      </c>
      <c r="AE969">
        <f>indirect(address(969,30))+indirect(address(967,31))-indirect(address(968,31))</f>
        <v>0</v>
      </c>
      <c r="AF969">
        <f>indirect(address(969,31))+indirect(address(967,32))-indirect(address(968,32))</f>
        <v>0</v>
      </c>
      <c r="AG969">
        <f>indirect(address(969,32))+indirect(address(967,33))-indirect(address(968,33))</f>
        <v>0</v>
      </c>
      <c r="AH969">
        <f>indirect(address(969,33))+indirect(address(967,34))-indirect(address(968,34))</f>
        <v>0</v>
      </c>
      <c r="AI969">
        <f>indirect(address(969,34))+indirect(address(967,35))-indirect(address(968,35))</f>
        <v>0</v>
      </c>
      <c r="AJ969">
        <f>indirect(address(969,35))+indirect(address(967,36))-indirect(address(968,36))</f>
        <v>0</v>
      </c>
      <c r="AK969">
        <f>indirect(address(969,36))+indirect(address(967,37))-indirect(address(968,37))</f>
        <v>0</v>
      </c>
      <c r="AL969">
        <f>indirect(address(969,37))+indirect(address(967,38))-indirect(address(968,38))</f>
        <v>0</v>
      </c>
      <c r="AM969">
        <f>indirect(address(969,38))+indirect(address(967,39))-indirect(address(968,39))</f>
        <v>0</v>
      </c>
      <c r="AN969">
        <f>indirect(address(969,39))+indirect(address(967,40))-indirect(address(968,40))</f>
        <v>0</v>
      </c>
      <c r="AO969">
        <f>indirect(address(969,40))+indirect(address(967,41))-indirect(address(968,41))</f>
        <v>0</v>
      </c>
    </row>
    <row r="970" spans="1:41">
      <c r="I970" t="s">
        <v>14</v>
      </c>
      <c r="AO970">
        <f>sum(j970:an970)</f>
        <v>0</v>
      </c>
    </row>
    <row r="971" spans="1:41">
      <c r="I971" t="s">
        <v>15</v>
      </c>
      <c r="J971">
        <f>sumif(Plan!B:B,"241-000300-000",Plan!j:j)</f>
        <v>0</v>
      </c>
      <c r="K971">
        <f>sumif(Plan!B:B,"241-000300-000",Plan!k:k)</f>
        <v>0</v>
      </c>
      <c r="L971">
        <f>sumif(Plan!B:B,"241-000300-000",Plan!l:l)</f>
        <v>0</v>
      </c>
      <c r="M971">
        <f>sumif(Plan!B:B,"241-000300-000",Plan!m:m)</f>
        <v>0</v>
      </c>
      <c r="N971">
        <f>sumif(Plan!B:B,"241-000300-000",Plan!n:n)</f>
        <v>0</v>
      </c>
      <c r="O971">
        <f>sumif(Plan!B:B,"241-000300-000",Plan!o:o)</f>
        <v>0</v>
      </c>
      <c r="P971">
        <f>sumif(Plan!B:B,"241-000300-000",Plan!p:p)</f>
        <v>0</v>
      </c>
      <c r="Q971">
        <f>sumif(Plan!B:B,"241-000300-000",Plan!q:q)</f>
        <v>0</v>
      </c>
      <c r="R971">
        <f>sumif(Plan!B:B,"241-000300-000",Plan!r:r)</f>
        <v>0</v>
      </c>
      <c r="S971">
        <f>sumif(Plan!B:B,"241-000300-000",Plan!s:s)</f>
        <v>0</v>
      </c>
      <c r="T971">
        <f>sumif(Plan!B:B,"241-000300-000",Plan!t:t)</f>
        <v>0</v>
      </c>
      <c r="U971">
        <f>sumif(Plan!B:B,"241-000300-000",Plan!u:u)</f>
        <v>0</v>
      </c>
      <c r="V971">
        <f>sumif(Plan!B:B,"241-000300-000",Plan!v:v)</f>
        <v>0</v>
      </c>
      <c r="W971">
        <f>sumif(Plan!B:B,"241-000300-000",Plan!w:w)</f>
        <v>0</v>
      </c>
      <c r="X971">
        <f>sumif(Plan!B:B,"241-000300-000",Plan!x:x)</f>
        <v>0</v>
      </c>
      <c r="Y971">
        <f>sumif(Plan!B:B,"241-000300-000",Plan!y:y)</f>
        <v>0</v>
      </c>
      <c r="Z971">
        <f>sumif(Plan!B:B,"241-000300-000",Plan!z:z)</f>
        <v>0</v>
      </c>
      <c r="AA971">
        <f>sumif(Plan!B:B,"241-000300-000",Plan!aa:aa)</f>
        <v>0</v>
      </c>
      <c r="AB971">
        <f>sumif(Plan!B:B,"241-000300-000",Plan!ab:ab)</f>
        <v>0</v>
      </c>
      <c r="AC971">
        <f>sumif(Plan!B:B,"241-000300-000",Plan!ac:ac)</f>
        <v>0</v>
      </c>
      <c r="AD971">
        <f>sumif(Plan!B:B,"241-000300-000",Plan!ad:ad)</f>
        <v>0</v>
      </c>
      <c r="AE971">
        <f>sumif(Plan!B:B,"241-000300-000",Plan!ae:ae)</f>
        <v>0</v>
      </c>
      <c r="AF971">
        <f>sumif(Plan!B:B,"241-000300-000",Plan!af:af)</f>
        <v>0</v>
      </c>
      <c r="AG971">
        <f>sumif(Plan!B:B,"241-000300-000",Plan!ag:ag)</f>
        <v>0</v>
      </c>
      <c r="AH971">
        <f>sumif(Plan!B:B,"241-000300-000",Plan!ah:ah)</f>
        <v>0</v>
      </c>
      <c r="AI971">
        <f>sumif(Plan!B:B,"241-000300-000",Plan!ai:ai)</f>
        <v>0</v>
      </c>
      <c r="AJ971">
        <f>sumif(Plan!B:B,"241-000300-000",Plan!aj:aj)</f>
        <v>0</v>
      </c>
      <c r="AK971">
        <f>sumif(Plan!B:B,"241-000300-000",Plan!ak:ak)</f>
        <v>0</v>
      </c>
      <c r="AL971">
        <f>sumif(Plan!B:B,"241-000300-000",Plan!al:al)</f>
        <v>0</v>
      </c>
      <c r="AM971">
        <f>sumif(Plan!B:B,"241-000300-000",Plan!am:am)</f>
        <v>0</v>
      </c>
      <c r="AN971">
        <f>sumif(Plan!B:B,"241-000300-000",Plan!an:an)</f>
        <v>0</v>
      </c>
      <c r="AO971">
        <f>sumif(Plan!B:B,"241-000300-000",Plan!ao:ao)</f>
        <v>0</v>
      </c>
    </row>
    <row r="972" spans="1:41">
      <c r="A972" t="s">
        <v>22</v>
      </c>
      <c r="B972" t="s">
        <v>647</v>
      </c>
      <c r="C972" t="s">
        <v>648</v>
      </c>
      <c r="E972">
        <v>0.18</v>
      </c>
      <c r="F972" t="s">
        <v>13</v>
      </c>
      <c r="H972" t="s">
        <v>16</v>
      </c>
      <c r="J972">
        <f>indirect(address(972,9))+indirect(address(970,10))-indirect(address(971,10))</f>
        <v>0</v>
      </c>
      <c r="K972">
        <f>indirect(address(972,10))+indirect(address(970,11))-indirect(address(971,11))</f>
        <v>0</v>
      </c>
      <c r="L972">
        <f>indirect(address(972,11))+indirect(address(970,12))-indirect(address(971,12))</f>
        <v>0</v>
      </c>
      <c r="M972">
        <f>indirect(address(972,12))+indirect(address(970,13))-indirect(address(971,13))</f>
        <v>0</v>
      </c>
      <c r="N972">
        <f>indirect(address(972,13))+indirect(address(970,14))-indirect(address(971,14))</f>
        <v>0</v>
      </c>
      <c r="O972">
        <f>indirect(address(972,14))+indirect(address(970,15))-indirect(address(971,15))</f>
        <v>0</v>
      </c>
      <c r="P972">
        <f>indirect(address(972,15))+indirect(address(970,16))-indirect(address(971,16))</f>
        <v>0</v>
      </c>
      <c r="Q972">
        <f>indirect(address(972,16))+indirect(address(970,17))-indirect(address(971,17))</f>
        <v>0</v>
      </c>
      <c r="R972">
        <f>indirect(address(972,17))+indirect(address(970,18))-indirect(address(971,18))</f>
        <v>0</v>
      </c>
      <c r="S972">
        <f>indirect(address(972,18))+indirect(address(970,19))-indirect(address(971,19))</f>
        <v>0</v>
      </c>
      <c r="T972">
        <f>indirect(address(972,19))+indirect(address(970,20))-indirect(address(971,20))</f>
        <v>0</v>
      </c>
      <c r="U972">
        <f>indirect(address(972,20))+indirect(address(970,21))-indirect(address(971,21))</f>
        <v>0</v>
      </c>
      <c r="V972">
        <f>indirect(address(972,21))+indirect(address(970,22))-indirect(address(971,22))</f>
        <v>0</v>
      </c>
      <c r="W972">
        <f>indirect(address(972,22))+indirect(address(970,23))-indirect(address(971,23))</f>
        <v>0</v>
      </c>
      <c r="X972">
        <f>indirect(address(972,23))+indirect(address(970,24))-indirect(address(971,24))</f>
        <v>0</v>
      </c>
      <c r="Y972">
        <f>indirect(address(972,24))+indirect(address(970,25))-indirect(address(971,25))</f>
        <v>0</v>
      </c>
      <c r="Z972">
        <f>indirect(address(972,25))+indirect(address(970,26))-indirect(address(971,26))</f>
        <v>0</v>
      </c>
      <c r="AA972">
        <f>indirect(address(972,26))+indirect(address(970,27))-indirect(address(971,27))</f>
        <v>0</v>
      </c>
      <c r="AB972">
        <f>indirect(address(972,27))+indirect(address(970,28))-indirect(address(971,28))</f>
        <v>0</v>
      </c>
      <c r="AC972">
        <f>indirect(address(972,28))+indirect(address(970,29))-indirect(address(971,29))</f>
        <v>0</v>
      </c>
      <c r="AD972">
        <f>indirect(address(972,29))+indirect(address(970,30))-indirect(address(971,30))</f>
        <v>0</v>
      </c>
      <c r="AE972">
        <f>indirect(address(972,30))+indirect(address(970,31))-indirect(address(971,31))</f>
        <v>0</v>
      </c>
      <c r="AF972">
        <f>indirect(address(972,31))+indirect(address(970,32))-indirect(address(971,32))</f>
        <v>0</v>
      </c>
      <c r="AG972">
        <f>indirect(address(972,32))+indirect(address(970,33))-indirect(address(971,33))</f>
        <v>0</v>
      </c>
      <c r="AH972">
        <f>indirect(address(972,33))+indirect(address(970,34))-indirect(address(971,34))</f>
        <v>0</v>
      </c>
      <c r="AI972">
        <f>indirect(address(972,34))+indirect(address(970,35))-indirect(address(971,35))</f>
        <v>0</v>
      </c>
      <c r="AJ972">
        <f>indirect(address(972,35))+indirect(address(970,36))-indirect(address(971,36))</f>
        <v>0</v>
      </c>
      <c r="AK972">
        <f>indirect(address(972,36))+indirect(address(970,37))-indirect(address(971,37))</f>
        <v>0</v>
      </c>
      <c r="AL972">
        <f>indirect(address(972,37))+indirect(address(970,38))-indirect(address(971,38))</f>
        <v>0</v>
      </c>
      <c r="AM972">
        <f>indirect(address(972,38))+indirect(address(970,39))-indirect(address(971,39))</f>
        <v>0</v>
      </c>
      <c r="AN972">
        <f>indirect(address(972,39))+indirect(address(970,40))-indirect(address(971,40))</f>
        <v>0</v>
      </c>
      <c r="AO972">
        <f>indirect(address(972,40))+indirect(address(970,41))-indirect(address(971,41))</f>
        <v>0</v>
      </c>
    </row>
    <row r="973" spans="1:41">
      <c r="I973" t="s">
        <v>14</v>
      </c>
      <c r="AO973">
        <f>sum(j973:an973)</f>
        <v>0</v>
      </c>
    </row>
    <row r="974" spans="1:41">
      <c r="I974" t="s">
        <v>15</v>
      </c>
      <c r="J974">
        <f>sumif(Plan!B:B,"241-000300-102",Plan!j:j)</f>
        <v>0</v>
      </c>
      <c r="K974">
        <f>sumif(Plan!B:B,"241-000300-102",Plan!k:k)</f>
        <v>0</v>
      </c>
      <c r="L974">
        <f>sumif(Plan!B:B,"241-000300-102",Plan!l:l)</f>
        <v>0</v>
      </c>
      <c r="M974">
        <f>sumif(Plan!B:B,"241-000300-102",Plan!m:m)</f>
        <v>0</v>
      </c>
      <c r="N974">
        <f>sumif(Plan!B:B,"241-000300-102",Plan!n:n)</f>
        <v>0</v>
      </c>
      <c r="O974">
        <f>sumif(Plan!B:B,"241-000300-102",Plan!o:o)</f>
        <v>0</v>
      </c>
      <c r="P974">
        <f>sumif(Plan!B:B,"241-000300-102",Plan!p:p)</f>
        <v>0</v>
      </c>
      <c r="Q974">
        <f>sumif(Plan!B:B,"241-000300-102",Plan!q:q)</f>
        <v>0</v>
      </c>
      <c r="R974">
        <f>sumif(Plan!B:B,"241-000300-102",Plan!r:r)</f>
        <v>0</v>
      </c>
      <c r="S974">
        <f>sumif(Plan!B:B,"241-000300-102",Plan!s:s)</f>
        <v>0</v>
      </c>
      <c r="T974">
        <f>sumif(Plan!B:B,"241-000300-102",Plan!t:t)</f>
        <v>0</v>
      </c>
      <c r="U974">
        <f>sumif(Plan!B:B,"241-000300-102",Plan!u:u)</f>
        <v>0</v>
      </c>
      <c r="V974">
        <f>sumif(Plan!B:B,"241-000300-102",Plan!v:v)</f>
        <v>0</v>
      </c>
      <c r="W974">
        <f>sumif(Plan!B:B,"241-000300-102",Plan!w:w)</f>
        <v>0</v>
      </c>
      <c r="X974">
        <f>sumif(Plan!B:B,"241-000300-102",Plan!x:x)</f>
        <v>0</v>
      </c>
      <c r="Y974">
        <f>sumif(Plan!B:B,"241-000300-102",Plan!y:y)</f>
        <v>0</v>
      </c>
      <c r="Z974">
        <f>sumif(Plan!B:B,"241-000300-102",Plan!z:z)</f>
        <v>0</v>
      </c>
      <c r="AA974">
        <f>sumif(Plan!B:B,"241-000300-102",Plan!aa:aa)</f>
        <v>0</v>
      </c>
      <c r="AB974">
        <f>sumif(Plan!B:B,"241-000300-102",Plan!ab:ab)</f>
        <v>0</v>
      </c>
      <c r="AC974">
        <f>sumif(Plan!B:B,"241-000300-102",Plan!ac:ac)</f>
        <v>0</v>
      </c>
      <c r="AD974">
        <f>sumif(Plan!B:B,"241-000300-102",Plan!ad:ad)</f>
        <v>0</v>
      </c>
      <c r="AE974">
        <f>sumif(Plan!B:B,"241-000300-102",Plan!ae:ae)</f>
        <v>0</v>
      </c>
      <c r="AF974">
        <f>sumif(Plan!B:B,"241-000300-102",Plan!af:af)</f>
        <v>0</v>
      </c>
      <c r="AG974">
        <f>sumif(Plan!B:B,"241-000300-102",Plan!ag:ag)</f>
        <v>0</v>
      </c>
      <c r="AH974">
        <f>sumif(Plan!B:B,"241-000300-102",Plan!ah:ah)</f>
        <v>0</v>
      </c>
      <c r="AI974">
        <f>sumif(Plan!B:B,"241-000300-102",Plan!ai:ai)</f>
        <v>0</v>
      </c>
      <c r="AJ974">
        <f>sumif(Plan!B:B,"241-000300-102",Plan!aj:aj)</f>
        <v>0</v>
      </c>
      <c r="AK974">
        <f>sumif(Plan!B:B,"241-000300-102",Plan!ak:ak)</f>
        <v>0</v>
      </c>
      <c r="AL974">
        <f>sumif(Plan!B:B,"241-000300-102",Plan!al:al)</f>
        <v>0</v>
      </c>
      <c r="AM974">
        <f>sumif(Plan!B:B,"241-000300-102",Plan!am:am)</f>
        <v>0</v>
      </c>
      <c r="AN974">
        <f>sumif(Plan!B:B,"241-000300-102",Plan!an:an)</f>
        <v>0</v>
      </c>
      <c r="AO974">
        <f>sumif(Plan!B:B,"241-000300-102",Plan!ao:ao)</f>
        <v>0</v>
      </c>
    </row>
    <row r="975" spans="1:41">
      <c r="A975" t="s">
        <v>22</v>
      </c>
      <c r="B975" t="s">
        <v>649</v>
      </c>
      <c r="C975" t="s">
        <v>650</v>
      </c>
      <c r="E975">
        <v>0.05</v>
      </c>
      <c r="F975" t="s">
        <v>13</v>
      </c>
      <c r="H975" t="s">
        <v>16</v>
      </c>
      <c r="J975">
        <f>indirect(address(975,9))+indirect(address(973,10))-indirect(address(974,10))</f>
        <v>0</v>
      </c>
      <c r="K975">
        <f>indirect(address(975,10))+indirect(address(973,11))-indirect(address(974,11))</f>
        <v>0</v>
      </c>
      <c r="L975">
        <f>indirect(address(975,11))+indirect(address(973,12))-indirect(address(974,12))</f>
        <v>0</v>
      </c>
      <c r="M975">
        <f>indirect(address(975,12))+indirect(address(973,13))-indirect(address(974,13))</f>
        <v>0</v>
      </c>
      <c r="N975">
        <f>indirect(address(975,13))+indirect(address(973,14))-indirect(address(974,14))</f>
        <v>0</v>
      </c>
      <c r="O975">
        <f>indirect(address(975,14))+indirect(address(973,15))-indirect(address(974,15))</f>
        <v>0</v>
      </c>
      <c r="P975">
        <f>indirect(address(975,15))+indirect(address(973,16))-indirect(address(974,16))</f>
        <v>0</v>
      </c>
      <c r="Q975">
        <f>indirect(address(975,16))+indirect(address(973,17))-indirect(address(974,17))</f>
        <v>0</v>
      </c>
      <c r="R975">
        <f>indirect(address(975,17))+indirect(address(973,18))-indirect(address(974,18))</f>
        <v>0</v>
      </c>
      <c r="S975">
        <f>indirect(address(975,18))+indirect(address(973,19))-indirect(address(974,19))</f>
        <v>0</v>
      </c>
      <c r="T975">
        <f>indirect(address(975,19))+indirect(address(973,20))-indirect(address(974,20))</f>
        <v>0</v>
      </c>
      <c r="U975">
        <f>indirect(address(975,20))+indirect(address(973,21))-indirect(address(974,21))</f>
        <v>0</v>
      </c>
      <c r="V975">
        <f>indirect(address(975,21))+indirect(address(973,22))-indirect(address(974,22))</f>
        <v>0</v>
      </c>
      <c r="W975">
        <f>indirect(address(975,22))+indirect(address(973,23))-indirect(address(974,23))</f>
        <v>0</v>
      </c>
      <c r="X975">
        <f>indirect(address(975,23))+indirect(address(973,24))-indirect(address(974,24))</f>
        <v>0</v>
      </c>
      <c r="Y975">
        <f>indirect(address(975,24))+indirect(address(973,25))-indirect(address(974,25))</f>
        <v>0</v>
      </c>
      <c r="Z975">
        <f>indirect(address(975,25))+indirect(address(973,26))-indirect(address(974,26))</f>
        <v>0</v>
      </c>
      <c r="AA975">
        <f>indirect(address(975,26))+indirect(address(973,27))-indirect(address(974,27))</f>
        <v>0</v>
      </c>
      <c r="AB975">
        <f>indirect(address(975,27))+indirect(address(973,28))-indirect(address(974,28))</f>
        <v>0</v>
      </c>
      <c r="AC975">
        <f>indirect(address(975,28))+indirect(address(973,29))-indirect(address(974,29))</f>
        <v>0</v>
      </c>
      <c r="AD975">
        <f>indirect(address(975,29))+indirect(address(973,30))-indirect(address(974,30))</f>
        <v>0</v>
      </c>
      <c r="AE975">
        <f>indirect(address(975,30))+indirect(address(973,31))-indirect(address(974,31))</f>
        <v>0</v>
      </c>
      <c r="AF975">
        <f>indirect(address(975,31))+indirect(address(973,32))-indirect(address(974,32))</f>
        <v>0</v>
      </c>
      <c r="AG975">
        <f>indirect(address(975,32))+indirect(address(973,33))-indirect(address(974,33))</f>
        <v>0</v>
      </c>
      <c r="AH975">
        <f>indirect(address(975,33))+indirect(address(973,34))-indirect(address(974,34))</f>
        <v>0</v>
      </c>
      <c r="AI975">
        <f>indirect(address(975,34))+indirect(address(973,35))-indirect(address(974,35))</f>
        <v>0</v>
      </c>
      <c r="AJ975">
        <f>indirect(address(975,35))+indirect(address(973,36))-indirect(address(974,36))</f>
        <v>0</v>
      </c>
      <c r="AK975">
        <f>indirect(address(975,36))+indirect(address(973,37))-indirect(address(974,37))</f>
        <v>0</v>
      </c>
      <c r="AL975">
        <f>indirect(address(975,37))+indirect(address(973,38))-indirect(address(974,38))</f>
        <v>0</v>
      </c>
      <c r="AM975">
        <f>indirect(address(975,38))+indirect(address(973,39))-indirect(address(974,39))</f>
        <v>0</v>
      </c>
      <c r="AN975">
        <f>indirect(address(975,39))+indirect(address(973,40))-indirect(address(974,40))</f>
        <v>0</v>
      </c>
      <c r="AO975">
        <f>indirect(address(975,40))+indirect(address(973,41))-indirect(address(974,41))</f>
        <v>0</v>
      </c>
    </row>
    <row r="976" spans="1:41">
      <c r="I976" t="s">
        <v>14</v>
      </c>
      <c r="AO976">
        <f>sum(j976:an976)</f>
        <v>0</v>
      </c>
    </row>
    <row r="977" spans="1:41">
      <c r="I977" t="s">
        <v>15</v>
      </c>
      <c r="J977">
        <f>sumif(Plan!B:B,"261-002500-255",Plan!j:j)</f>
        <v>0</v>
      </c>
      <c r="K977">
        <f>sumif(Plan!B:B,"261-002500-255",Plan!k:k)</f>
        <v>0</v>
      </c>
      <c r="L977">
        <f>sumif(Plan!B:B,"261-002500-255",Plan!l:l)</f>
        <v>0</v>
      </c>
      <c r="M977">
        <f>sumif(Plan!B:B,"261-002500-255",Plan!m:m)</f>
        <v>0</v>
      </c>
      <c r="N977">
        <f>sumif(Plan!B:B,"261-002500-255",Plan!n:n)</f>
        <v>0</v>
      </c>
      <c r="O977">
        <f>sumif(Plan!B:B,"261-002500-255",Plan!o:o)</f>
        <v>0</v>
      </c>
      <c r="P977">
        <f>sumif(Plan!B:B,"261-002500-255",Plan!p:p)</f>
        <v>0</v>
      </c>
      <c r="Q977">
        <f>sumif(Plan!B:B,"261-002500-255",Plan!q:q)</f>
        <v>0</v>
      </c>
      <c r="R977">
        <f>sumif(Plan!B:B,"261-002500-255",Plan!r:r)</f>
        <v>0</v>
      </c>
      <c r="S977">
        <f>sumif(Plan!B:B,"261-002500-255",Plan!s:s)</f>
        <v>0</v>
      </c>
      <c r="T977">
        <f>sumif(Plan!B:B,"261-002500-255",Plan!t:t)</f>
        <v>0</v>
      </c>
      <c r="U977">
        <f>sumif(Plan!B:B,"261-002500-255",Plan!u:u)</f>
        <v>0</v>
      </c>
      <c r="V977">
        <f>sumif(Plan!B:B,"261-002500-255",Plan!v:v)</f>
        <v>0</v>
      </c>
      <c r="W977">
        <f>sumif(Plan!B:B,"261-002500-255",Plan!w:w)</f>
        <v>0</v>
      </c>
      <c r="X977">
        <f>sumif(Plan!B:B,"261-002500-255",Plan!x:x)</f>
        <v>0</v>
      </c>
      <c r="Y977">
        <f>sumif(Plan!B:B,"261-002500-255",Plan!y:y)</f>
        <v>0</v>
      </c>
      <c r="Z977">
        <f>sumif(Plan!B:B,"261-002500-255",Plan!z:z)</f>
        <v>0</v>
      </c>
      <c r="AA977">
        <f>sumif(Plan!B:B,"261-002500-255",Plan!aa:aa)</f>
        <v>0</v>
      </c>
      <c r="AB977">
        <f>sumif(Plan!B:B,"261-002500-255",Plan!ab:ab)</f>
        <v>0</v>
      </c>
      <c r="AC977">
        <f>sumif(Plan!B:B,"261-002500-255",Plan!ac:ac)</f>
        <v>0</v>
      </c>
      <c r="AD977">
        <f>sumif(Plan!B:B,"261-002500-255",Plan!ad:ad)</f>
        <v>0</v>
      </c>
      <c r="AE977">
        <f>sumif(Plan!B:B,"261-002500-255",Plan!ae:ae)</f>
        <v>0</v>
      </c>
      <c r="AF977">
        <f>sumif(Plan!B:B,"261-002500-255",Plan!af:af)</f>
        <v>0</v>
      </c>
      <c r="AG977">
        <f>sumif(Plan!B:B,"261-002500-255",Plan!ag:ag)</f>
        <v>0</v>
      </c>
      <c r="AH977">
        <f>sumif(Plan!B:B,"261-002500-255",Plan!ah:ah)</f>
        <v>0</v>
      </c>
      <c r="AI977">
        <f>sumif(Plan!B:B,"261-002500-255",Plan!ai:ai)</f>
        <v>0</v>
      </c>
      <c r="AJ977">
        <f>sumif(Plan!B:B,"261-002500-255",Plan!aj:aj)</f>
        <v>0</v>
      </c>
      <c r="AK977">
        <f>sumif(Plan!B:B,"261-002500-255",Plan!ak:ak)</f>
        <v>0</v>
      </c>
      <c r="AL977">
        <f>sumif(Plan!B:B,"261-002500-255",Plan!al:al)</f>
        <v>0</v>
      </c>
      <c r="AM977">
        <f>sumif(Plan!B:B,"261-002500-255",Plan!am:am)</f>
        <v>0</v>
      </c>
      <c r="AN977">
        <f>sumif(Plan!B:B,"261-002500-255",Plan!an:an)</f>
        <v>0</v>
      </c>
      <c r="AO977">
        <f>sumif(Plan!B:B,"261-002500-255",Plan!ao:ao)</f>
        <v>0</v>
      </c>
    </row>
    <row r="978" spans="1:41">
      <c r="A978" t="s">
        <v>22</v>
      </c>
      <c r="B978" t="s">
        <v>512</v>
      </c>
      <c r="C978" t="s">
        <v>651</v>
      </c>
      <c r="E978">
        <v>1</v>
      </c>
      <c r="F978" t="s">
        <v>13</v>
      </c>
      <c r="H978" t="s">
        <v>16</v>
      </c>
      <c r="J978">
        <f>indirect(address(978,9))+indirect(address(976,10))-indirect(address(977,10))</f>
        <v>0</v>
      </c>
      <c r="K978">
        <f>indirect(address(978,10))+indirect(address(976,11))-indirect(address(977,11))</f>
        <v>0</v>
      </c>
      <c r="L978">
        <f>indirect(address(978,11))+indirect(address(976,12))-indirect(address(977,12))</f>
        <v>0</v>
      </c>
      <c r="M978">
        <f>indirect(address(978,12))+indirect(address(976,13))-indirect(address(977,13))</f>
        <v>0</v>
      </c>
      <c r="N978">
        <f>indirect(address(978,13))+indirect(address(976,14))-indirect(address(977,14))</f>
        <v>0</v>
      </c>
      <c r="O978">
        <f>indirect(address(978,14))+indirect(address(976,15))-indirect(address(977,15))</f>
        <v>0</v>
      </c>
      <c r="P978">
        <f>indirect(address(978,15))+indirect(address(976,16))-indirect(address(977,16))</f>
        <v>0</v>
      </c>
      <c r="Q978">
        <f>indirect(address(978,16))+indirect(address(976,17))-indirect(address(977,17))</f>
        <v>0</v>
      </c>
      <c r="R978">
        <f>indirect(address(978,17))+indirect(address(976,18))-indirect(address(977,18))</f>
        <v>0</v>
      </c>
      <c r="S978">
        <f>indirect(address(978,18))+indirect(address(976,19))-indirect(address(977,19))</f>
        <v>0</v>
      </c>
      <c r="T978">
        <f>indirect(address(978,19))+indirect(address(976,20))-indirect(address(977,20))</f>
        <v>0</v>
      </c>
      <c r="U978">
        <f>indirect(address(978,20))+indirect(address(976,21))-indirect(address(977,21))</f>
        <v>0</v>
      </c>
      <c r="V978">
        <f>indirect(address(978,21))+indirect(address(976,22))-indirect(address(977,22))</f>
        <v>0</v>
      </c>
      <c r="W978">
        <f>indirect(address(978,22))+indirect(address(976,23))-indirect(address(977,23))</f>
        <v>0</v>
      </c>
      <c r="X978">
        <f>indirect(address(978,23))+indirect(address(976,24))-indirect(address(977,24))</f>
        <v>0</v>
      </c>
      <c r="Y978">
        <f>indirect(address(978,24))+indirect(address(976,25))-indirect(address(977,25))</f>
        <v>0</v>
      </c>
      <c r="Z978">
        <f>indirect(address(978,25))+indirect(address(976,26))-indirect(address(977,26))</f>
        <v>0</v>
      </c>
      <c r="AA978">
        <f>indirect(address(978,26))+indirect(address(976,27))-indirect(address(977,27))</f>
        <v>0</v>
      </c>
      <c r="AB978">
        <f>indirect(address(978,27))+indirect(address(976,28))-indirect(address(977,28))</f>
        <v>0</v>
      </c>
      <c r="AC978">
        <f>indirect(address(978,28))+indirect(address(976,29))-indirect(address(977,29))</f>
        <v>0</v>
      </c>
      <c r="AD978">
        <f>indirect(address(978,29))+indirect(address(976,30))-indirect(address(977,30))</f>
        <v>0</v>
      </c>
      <c r="AE978">
        <f>indirect(address(978,30))+indirect(address(976,31))-indirect(address(977,31))</f>
        <v>0</v>
      </c>
      <c r="AF978">
        <f>indirect(address(978,31))+indirect(address(976,32))-indirect(address(977,32))</f>
        <v>0</v>
      </c>
      <c r="AG978">
        <f>indirect(address(978,32))+indirect(address(976,33))-indirect(address(977,33))</f>
        <v>0</v>
      </c>
      <c r="AH978">
        <f>indirect(address(978,33))+indirect(address(976,34))-indirect(address(977,34))</f>
        <v>0</v>
      </c>
      <c r="AI978">
        <f>indirect(address(978,34))+indirect(address(976,35))-indirect(address(977,35))</f>
        <v>0</v>
      </c>
      <c r="AJ978">
        <f>indirect(address(978,35))+indirect(address(976,36))-indirect(address(977,36))</f>
        <v>0</v>
      </c>
      <c r="AK978">
        <f>indirect(address(978,36))+indirect(address(976,37))-indirect(address(977,37))</f>
        <v>0</v>
      </c>
      <c r="AL978">
        <f>indirect(address(978,37))+indirect(address(976,38))-indirect(address(977,38))</f>
        <v>0</v>
      </c>
      <c r="AM978">
        <f>indirect(address(978,38))+indirect(address(976,39))-indirect(address(977,39))</f>
        <v>0</v>
      </c>
      <c r="AN978">
        <f>indirect(address(978,39))+indirect(address(976,40))-indirect(address(977,40))</f>
        <v>0</v>
      </c>
      <c r="AO978">
        <f>indirect(address(978,40))+indirect(address(976,41))-indirect(address(977,41))</f>
        <v>0</v>
      </c>
    </row>
    <row r="979" spans="1:41">
      <c r="I979" t="s">
        <v>14</v>
      </c>
      <c r="AO979">
        <f>sum(j979:an979)</f>
        <v>0</v>
      </c>
    </row>
    <row r="980" spans="1:41">
      <c r="I980" t="s">
        <v>15</v>
      </c>
      <c r="J980">
        <f>sumif(Plan!B:B,"261-173000-103",Plan!j:j)</f>
        <v>0</v>
      </c>
      <c r="K980">
        <f>sumif(Plan!B:B,"261-173000-103",Plan!k:k)</f>
        <v>0</v>
      </c>
      <c r="L980">
        <f>sumif(Plan!B:B,"261-173000-103",Plan!l:l)</f>
        <v>0</v>
      </c>
      <c r="M980">
        <f>sumif(Plan!B:B,"261-173000-103",Plan!m:m)</f>
        <v>0</v>
      </c>
      <c r="N980">
        <f>sumif(Plan!B:B,"261-173000-103",Plan!n:n)</f>
        <v>0</v>
      </c>
      <c r="O980">
        <f>sumif(Plan!B:B,"261-173000-103",Plan!o:o)</f>
        <v>0</v>
      </c>
      <c r="P980">
        <f>sumif(Plan!B:B,"261-173000-103",Plan!p:p)</f>
        <v>0</v>
      </c>
      <c r="Q980">
        <f>sumif(Plan!B:B,"261-173000-103",Plan!q:q)</f>
        <v>0</v>
      </c>
      <c r="R980">
        <f>sumif(Plan!B:B,"261-173000-103",Plan!r:r)</f>
        <v>0</v>
      </c>
      <c r="S980">
        <f>sumif(Plan!B:B,"261-173000-103",Plan!s:s)</f>
        <v>0</v>
      </c>
      <c r="T980">
        <f>sumif(Plan!B:B,"261-173000-103",Plan!t:t)</f>
        <v>0</v>
      </c>
      <c r="U980">
        <f>sumif(Plan!B:B,"261-173000-103",Plan!u:u)</f>
        <v>0</v>
      </c>
      <c r="V980">
        <f>sumif(Plan!B:B,"261-173000-103",Plan!v:v)</f>
        <v>0</v>
      </c>
      <c r="W980">
        <f>sumif(Plan!B:B,"261-173000-103",Plan!w:w)</f>
        <v>0</v>
      </c>
      <c r="X980">
        <f>sumif(Plan!B:B,"261-173000-103",Plan!x:x)</f>
        <v>0</v>
      </c>
      <c r="Y980">
        <f>sumif(Plan!B:B,"261-173000-103",Plan!y:y)</f>
        <v>0</v>
      </c>
      <c r="Z980">
        <f>sumif(Plan!B:B,"261-173000-103",Plan!z:z)</f>
        <v>0</v>
      </c>
      <c r="AA980">
        <f>sumif(Plan!B:B,"261-173000-103",Plan!aa:aa)</f>
        <v>0</v>
      </c>
      <c r="AB980">
        <f>sumif(Plan!B:B,"261-173000-103",Plan!ab:ab)</f>
        <v>0</v>
      </c>
      <c r="AC980">
        <f>sumif(Plan!B:B,"261-173000-103",Plan!ac:ac)</f>
        <v>0</v>
      </c>
      <c r="AD980">
        <f>sumif(Plan!B:B,"261-173000-103",Plan!ad:ad)</f>
        <v>0</v>
      </c>
      <c r="AE980">
        <f>sumif(Plan!B:B,"261-173000-103",Plan!ae:ae)</f>
        <v>0</v>
      </c>
      <c r="AF980">
        <f>sumif(Plan!B:B,"261-173000-103",Plan!af:af)</f>
        <v>0</v>
      </c>
      <c r="AG980">
        <f>sumif(Plan!B:B,"261-173000-103",Plan!ag:ag)</f>
        <v>0</v>
      </c>
      <c r="AH980">
        <f>sumif(Plan!B:B,"261-173000-103",Plan!ah:ah)</f>
        <v>0</v>
      </c>
      <c r="AI980">
        <f>sumif(Plan!B:B,"261-173000-103",Plan!ai:ai)</f>
        <v>0</v>
      </c>
      <c r="AJ980">
        <f>sumif(Plan!B:B,"261-173000-103",Plan!aj:aj)</f>
        <v>0</v>
      </c>
      <c r="AK980">
        <f>sumif(Plan!B:B,"261-173000-103",Plan!ak:ak)</f>
        <v>0</v>
      </c>
      <c r="AL980">
        <f>sumif(Plan!B:B,"261-173000-103",Plan!al:al)</f>
        <v>0</v>
      </c>
      <c r="AM980">
        <f>sumif(Plan!B:B,"261-173000-103",Plan!am:am)</f>
        <v>0</v>
      </c>
      <c r="AN980">
        <f>sumif(Plan!B:B,"261-173000-103",Plan!an:an)</f>
        <v>0</v>
      </c>
      <c r="AO980">
        <f>sumif(Plan!B:B,"261-173000-103",Plan!ao:ao)</f>
        <v>0</v>
      </c>
    </row>
    <row r="981" spans="1:41">
      <c r="A981" t="s">
        <v>22</v>
      </c>
      <c r="B981" t="s">
        <v>620</v>
      </c>
      <c r="C981" t="s">
        <v>652</v>
      </c>
      <c r="E981">
        <v>1</v>
      </c>
      <c r="F981" t="s">
        <v>13</v>
      </c>
      <c r="H981" t="s">
        <v>16</v>
      </c>
      <c r="J981">
        <f>indirect(address(981,9))+indirect(address(979,10))-indirect(address(980,10))</f>
        <v>0</v>
      </c>
      <c r="K981">
        <f>indirect(address(981,10))+indirect(address(979,11))-indirect(address(980,11))</f>
        <v>0</v>
      </c>
      <c r="L981">
        <f>indirect(address(981,11))+indirect(address(979,12))-indirect(address(980,12))</f>
        <v>0</v>
      </c>
      <c r="M981">
        <f>indirect(address(981,12))+indirect(address(979,13))-indirect(address(980,13))</f>
        <v>0</v>
      </c>
      <c r="N981">
        <f>indirect(address(981,13))+indirect(address(979,14))-indirect(address(980,14))</f>
        <v>0</v>
      </c>
      <c r="O981">
        <f>indirect(address(981,14))+indirect(address(979,15))-indirect(address(980,15))</f>
        <v>0</v>
      </c>
      <c r="P981">
        <f>indirect(address(981,15))+indirect(address(979,16))-indirect(address(980,16))</f>
        <v>0</v>
      </c>
      <c r="Q981">
        <f>indirect(address(981,16))+indirect(address(979,17))-indirect(address(980,17))</f>
        <v>0</v>
      </c>
      <c r="R981">
        <f>indirect(address(981,17))+indirect(address(979,18))-indirect(address(980,18))</f>
        <v>0</v>
      </c>
      <c r="S981">
        <f>indirect(address(981,18))+indirect(address(979,19))-indirect(address(980,19))</f>
        <v>0</v>
      </c>
      <c r="T981">
        <f>indirect(address(981,19))+indirect(address(979,20))-indirect(address(980,20))</f>
        <v>0</v>
      </c>
      <c r="U981">
        <f>indirect(address(981,20))+indirect(address(979,21))-indirect(address(980,21))</f>
        <v>0</v>
      </c>
      <c r="V981">
        <f>indirect(address(981,21))+indirect(address(979,22))-indirect(address(980,22))</f>
        <v>0</v>
      </c>
      <c r="W981">
        <f>indirect(address(981,22))+indirect(address(979,23))-indirect(address(980,23))</f>
        <v>0</v>
      </c>
      <c r="X981">
        <f>indirect(address(981,23))+indirect(address(979,24))-indirect(address(980,24))</f>
        <v>0</v>
      </c>
      <c r="Y981">
        <f>indirect(address(981,24))+indirect(address(979,25))-indirect(address(980,25))</f>
        <v>0</v>
      </c>
      <c r="Z981">
        <f>indirect(address(981,25))+indirect(address(979,26))-indirect(address(980,26))</f>
        <v>0</v>
      </c>
      <c r="AA981">
        <f>indirect(address(981,26))+indirect(address(979,27))-indirect(address(980,27))</f>
        <v>0</v>
      </c>
      <c r="AB981">
        <f>indirect(address(981,27))+indirect(address(979,28))-indirect(address(980,28))</f>
        <v>0</v>
      </c>
      <c r="AC981">
        <f>indirect(address(981,28))+indirect(address(979,29))-indirect(address(980,29))</f>
        <v>0</v>
      </c>
      <c r="AD981">
        <f>indirect(address(981,29))+indirect(address(979,30))-indirect(address(980,30))</f>
        <v>0</v>
      </c>
      <c r="AE981">
        <f>indirect(address(981,30))+indirect(address(979,31))-indirect(address(980,31))</f>
        <v>0</v>
      </c>
      <c r="AF981">
        <f>indirect(address(981,31))+indirect(address(979,32))-indirect(address(980,32))</f>
        <v>0</v>
      </c>
      <c r="AG981">
        <f>indirect(address(981,32))+indirect(address(979,33))-indirect(address(980,33))</f>
        <v>0</v>
      </c>
      <c r="AH981">
        <f>indirect(address(981,33))+indirect(address(979,34))-indirect(address(980,34))</f>
        <v>0</v>
      </c>
      <c r="AI981">
        <f>indirect(address(981,34))+indirect(address(979,35))-indirect(address(980,35))</f>
        <v>0</v>
      </c>
      <c r="AJ981">
        <f>indirect(address(981,35))+indirect(address(979,36))-indirect(address(980,36))</f>
        <v>0</v>
      </c>
      <c r="AK981">
        <f>indirect(address(981,36))+indirect(address(979,37))-indirect(address(980,37))</f>
        <v>0</v>
      </c>
      <c r="AL981">
        <f>indirect(address(981,37))+indirect(address(979,38))-indirect(address(980,38))</f>
        <v>0</v>
      </c>
      <c r="AM981">
        <f>indirect(address(981,38))+indirect(address(979,39))-indirect(address(980,39))</f>
        <v>0</v>
      </c>
      <c r="AN981">
        <f>indirect(address(981,39))+indirect(address(979,40))-indirect(address(980,40))</f>
        <v>0</v>
      </c>
      <c r="AO981">
        <f>indirect(address(981,40))+indirect(address(979,41))-indirect(address(980,41))</f>
        <v>0</v>
      </c>
    </row>
    <row r="982" spans="1:41">
      <c r="I982" t="s">
        <v>14</v>
      </c>
      <c r="AO982">
        <f>sum(j982:an982)</f>
        <v>0</v>
      </c>
    </row>
    <row r="983" spans="1:41">
      <c r="I983" t="s">
        <v>15</v>
      </c>
      <c r="J983">
        <f>sumif(Plan!B:B,"261-000000-000",Plan!j:j)</f>
        <v>0</v>
      </c>
      <c r="K983">
        <f>sumif(Plan!B:B,"261-000000-000",Plan!k:k)</f>
        <v>0</v>
      </c>
      <c r="L983">
        <f>sumif(Plan!B:B,"261-000000-000",Plan!l:l)</f>
        <v>0</v>
      </c>
      <c r="M983">
        <f>sumif(Plan!B:B,"261-000000-000",Plan!m:m)</f>
        <v>0</v>
      </c>
      <c r="N983">
        <f>sumif(Plan!B:B,"261-000000-000",Plan!n:n)</f>
        <v>0</v>
      </c>
      <c r="O983">
        <f>sumif(Plan!B:B,"261-000000-000",Plan!o:o)</f>
        <v>0</v>
      </c>
      <c r="P983">
        <f>sumif(Plan!B:B,"261-000000-000",Plan!p:p)</f>
        <v>0</v>
      </c>
      <c r="Q983">
        <f>sumif(Plan!B:B,"261-000000-000",Plan!q:q)</f>
        <v>0</v>
      </c>
      <c r="R983">
        <f>sumif(Plan!B:B,"261-000000-000",Plan!r:r)</f>
        <v>0</v>
      </c>
      <c r="S983">
        <f>sumif(Plan!B:B,"261-000000-000",Plan!s:s)</f>
        <v>0</v>
      </c>
      <c r="T983">
        <f>sumif(Plan!B:B,"261-000000-000",Plan!t:t)</f>
        <v>0</v>
      </c>
      <c r="U983">
        <f>sumif(Plan!B:B,"261-000000-000",Plan!u:u)</f>
        <v>0</v>
      </c>
      <c r="V983">
        <f>sumif(Plan!B:B,"261-000000-000",Plan!v:v)</f>
        <v>0</v>
      </c>
      <c r="W983">
        <f>sumif(Plan!B:B,"261-000000-000",Plan!w:w)</f>
        <v>0</v>
      </c>
      <c r="X983">
        <f>sumif(Plan!B:B,"261-000000-000",Plan!x:x)</f>
        <v>0</v>
      </c>
      <c r="Y983">
        <f>sumif(Plan!B:B,"261-000000-000",Plan!y:y)</f>
        <v>0</v>
      </c>
      <c r="Z983">
        <f>sumif(Plan!B:B,"261-000000-000",Plan!z:z)</f>
        <v>0</v>
      </c>
      <c r="AA983">
        <f>sumif(Plan!B:B,"261-000000-000",Plan!aa:aa)</f>
        <v>0</v>
      </c>
      <c r="AB983">
        <f>sumif(Plan!B:B,"261-000000-000",Plan!ab:ab)</f>
        <v>0</v>
      </c>
      <c r="AC983">
        <f>sumif(Plan!B:B,"261-000000-000",Plan!ac:ac)</f>
        <v>0</v>
      </c>
      <c r="AD983">
        <f>sumif(Plan!B:B,"261-000000-000",Plan!ad:ad)</f>
        <v>0</v>
      </c>
      <c r="AE983">
        <f>sumif(Plan!B:B,"261-000000-000",Plan!ae:ae)</f>
        <v>0</v>
      </c>
      <c r="AF983">
        <f>sumif(Plan!B:B,"261-000000-000",Plan!af:af)</f>
        <v>0</v>
      </c>
      <c r="AG983">
        <f>sumif(Plan!B:B,"261-000000-000",Plan!ag:ag)</f>
        <v>0</v>
      </c>
      <c r="AH983">
        <f>sumif(Plan!B:B,"261-000000-000",Plan!ah:ah)</f>
        <v>0</v>
      </c>
      <c r="AI983">
        <f>sumif(Plan!B:B,"261-000000-000",Plan!ai:ai)</f>
        <v>0</v>
      </c>
      <c r="AJ983">
        <f>sumif(Plan!B:B,"261-000000-000",Plan!aj:aj)</f>
        <v>0</v>
      </c>
      <c r="AK983">
        <f>sumif(Plan!B:B,"261-000000-000",Plan!ak:ak)</f>
        <v>0</v>
      </c>
      <c r="AL983">
        <f>sumif(Plan!B:B,"261-000000-000",Plan!al:al)</f>
        <v>0</v>
      </c>
      <c r="AM983">
        <f>sumif(Plan!B:B,"261-000000-000",Plan!am:am)</f>
        <v>0</v>
      </c>
      <c r="AN983">
        <f>sumif(Plan!B:B,"261-000000-000",Plan!an:an)</f>
        <v>0</v>
      </c>
      <c r="AO983">
        <f>sumif(Plan!B:B,"261-000000-000",Plan!ao:ao)</f>
        <v>0</v>
      </c>
    </row>
    <row r="984" spans="1:41">
      <c r="A984" t="s">
        <v>22</v>
      </c>
      <c r="B984" t="s">
        <v>508</v>
      </c>
      <c r="C984" t="s">
        <v>653</v>
      </c>
      <c r="E984">
        <v>2</v>
      </c>
      <c r="F984" t="s">
        <v>13</v>
      </c>
      <c r="H984" t="s">
        <v>16</v>
      </c>
      <c r="J984">
        <f>indirect(address(984,9))+indirect(address(982,10))-indirect(address(983,10))</f>
        <v>0</v>
      </c>
      <c r="K984">
        <f>indirect(address(984,10))+indirect(address(982,11))-indirect(address(983,11))</f>
        <v>0</v>
      </c>
      <c r="L984">
        <f>indirect(address(984,11))+indirect(address(982,12))-indirect(address(983,12))</f>
        <v>0</v>
      </c>
      <c r="M984">
        <f>indirect(address(984,12))+indirect(address(982,13))-indirect(address(983,13))</f>
        <v>0</v>
      </c>
      <c r="N984">
        <f>indirect(address(984,13))+indirect(address(982,14))-indirect(address(983,14))</f>
        <v>0</v>
      </c>
      <c r="O984">
        <f>indirect(address(984,14))+indirect(address(982,15))-indirect(address(983,15))</f>
        <v>0</v>
      </c>
      <c r="P984">
        <f>indirect(address(984,15))+indirect(address(982,16))-indirect(address(983,16))</f>
        <v>0</v>
      </c>
      <c r="Q984">
        <f>indirect(address(984,16))+indirect(address(982,17))-indirect(address(983,17))</f>
        <v>0</v>
      </c>
      <c r="R984">
        <f>indirect(address(984,17))+indirect(address(982,18))-indirect(address(983,18))</f>
        <v>0</v>
      </c>
      <c r="S984">
        <f>indirect(address(984,18))+indirect(address(982,19))-indirect(address(983,19))</f>
        <v>0</v>
      </c>
      <c r="T984">
        <f>indirect(address(984,19))+indirect(address(982,20))-indirect(address(983,20))</f>
        <v>0</v>
      </c>
      <c r="U984">
        <f>indirect(address(984,20))+indirect(address(982,21))-indirect(address(983,21))</f>
        <v>0</v>
      </c>
      <c r="V984">
        <f>indirect(address(984,21))+indirect(address(982,22))-indirect(address(983,22))</f>
        <v>0</v>
      </c>
      <c r="W984">
        <f>indirect(address(984,22))+indirect(address(982,23))-indirect(address(983,23))</f>
        <v>0</v>
      </c>
      <c r="X984">
        <f>indirect(address(984,23))+indirect(address(982,24))-indirect(address(983,24))</f>
        <v>0</v>
      </c>
      <c r="Y984">
        <f>indirect(address(984,24))+indirect(address(982,25))-indirect(address(983,25))</f>
        <v>0</v>
      </c>
      <c r="Z984">
        <f>indirect(address(984,25))+indirect(address(982,26))-indirect(address(983,26))</f>
        <v>0</v>
      </c>
      <c r="AA984">
        <f>indirect(address(984,26))+indirect(address(982,27))-indirect(address(983,27))</f>
        <v>0</v>
      </c>
      <c r="AB984">
        <f>indirect(address(984,27))+indirect(address(982,28))-indirect(address(983,28))</f>
        <v>0</v>
      </c>
      <c r="AC984">
        <f>indirect(address(984,28))+indirect(address(982,29))-indirect(address(983,29))</f>
        <v>0</v>
      </c>
      <c r="AD984">
        <f>indirect(address(984,29))+indirect(address(982,30))-indirect(address(983,30))</f>
        <v>0</v>
      </c>
      <c r="AE984">
        <f>indirect(address(984,30))+indirect(address(982,31))-indirect(address(983,31))</f>
        <v>0</v>
      </c>
      <c r="AF984">
        <f>indirect(address(984,31))+indirect(address(982,32))-indirect(address(983,32))</f>
        <v>0</v>
      </c>
      <c r="AG984">
        <f>indirect(address(984,32))+indirect(address(982,33))-indirect(address(983,33))</f>
        <v>0</v>
      </c>
      <c r="AH984">
        <f>indirect(address(984,33))+indirect(address(982,34))-indirect(address(983,34))</f>
        <v>0</v>
      </c>
      <c r="AI984">
        <f>indirect(address(984,34))+indirect(address(982,35))-indirect(address(983,35))</f>
        <v>0</v>
      </c>
      <c r="AJ984">
        <f>indirect(address(984,35))+indirect(address(982,36))-indirect(address(983,36))</f>
        <v>0</v>
      </c>
      <c r="AK984">
        <f>indirect(address(984,36))+indirect(address(982,37))-indirect(address(983,37))</f>
        <v>0</v>
      </c>
      <c r="AL984">
        <f>indirect(address(984,37))+indirect(address(982,38))-indirect(address(983,38))</f>
        <v>0</v>
      </c>
      <c r="AM984">
        <f>indirect(address(984,38))+indirect(address(982,39))-indirect(address(983,39))</f>
        <v>0</v>
      </c>
      <c r="AN984">
        <f>indirect(address(984,39))+indirect(address(982,40))-indirect(address(983,40))</f>
        <v>0</v>
      </c>
      <c r="AO984">
        <f>indirect(address(984,40))+indirect(address(982,41))-indirect(address(983,41))</f>
        <v>0</v>
      </c>
    </row>
    <row r="985" spans="1:41">
      <c r="I985" t="s">
        <v>14</v>
      </c>
      <c r="AO985">
        <f>sum(j985:an985)</f>
        <v>0</v>
      </c>
    </row>
    <row r="986" spans="1:41">
      <c r="I986" t="s">
        <v>15</v>
      </c>
      <c r="J986">
        <f>sumif(Plan!B:B,"261-000000-168",Plan!j:j)</f>
        <v>0</v>
      </c>
      <c r="K986">
        <f>sumif(Plan!B:B,"261-000000-168",Plan!k:k)</f>
        <v>0</v>
      </c>
      <c r="L986">
        <f>sumif(Plan!B:B,"261-000000-168",Plan!l:l)</f>
        <v>0</v>
      </c>
      <c r="M986">
        <f>sumif(Plan!B:B,"261-000000-168",Plan!m:m)</f>
        <v>0</v>
      </c>
      <c r="N986">
        <f>sumif(Plan!B:B,"261-000000-168",Plan!n:n)</f>
        <v>0</v>
      </c>
      <c r="O986">
        <f>sumif(Plan!B:B,"261-000000-168",Plan!o:o)</f>
        <v>0</v>
      </c>
      <c r="P986">
        <f>sumif(Plan!B:B,"261-000000-168",Plan!p:p)</f>
        <v>0</v>
      </c>
      <c r="Q986">
        <f>sumif(Plan!B:B,"261-000000-168",Plan!q:q)</f>
        <v>0</v>
      </c>
      <c r="R986">
        <f>sumif(Plan!B:B,"261-000000-168",Plan!r:r)</f>
        <v>0</v>
      </c>
      <c r="S986">
        <f>sumif(Plan!B:B,"261-000000-168",Plan!s:s)</f>
        <v>0</v>
      </c>
      <c r="T986">
        <f>sumif(Plan!B:B,"261-000000-168",Plan!t:t)</f>
        <v>0</v>
      </c>
      <c r="U986">
        <f>sumif(Plan!B:B,"261-000000-168",Plan!u:u)</f>
        <v>0</v>
      </c>
      <c r="V986">
        <f>sumif(Plan!B:B,"261-000000-168",Plan!v:v)</f>
        <v>0</v>
      </c>
      <c r="W986">
        <f>sumif(Plan!B:B,"261-000000-168",Plan!w:w)</f>
        <v>0</v>
      </c>
      <c r="X986">
        <f>sumif(Plan!B:B,"261-000000-168",Plan!x:x)</f>
        <v>0</v>
      </c>
      <c r="Y986">
        <f>sumif(Plan!B:B,"261-000000-168",Plan!y:y)</f>
        <v>0</v>
      </c>
      <c r="Z986">
        <f>sumif(Plan!B:B,"261-000000-168",Plan!z:z)</f>
        <v>0</v>
      </c>
      <c r="AA986">
        <f>sumif(Plan!B:B,"261-000000-168",Plan!aa:aa)</f>
        <v>0</v>
      </c>
      <c r="AB986">
        <f>sumif(Plan!B:B,"261-000000-168",Plan!ab:ab)</f>
        <v>0</v>
      </c>
      <c r="AC986">
        <f>sumif(Plan!B:B,"261-000000-168",Plan!ac:ac)</f>
        <v>0</v>
      </c>
      <c r="AD986">
        <f>sumif(Plan!B:B,"261-000000-168",Plan!ad:ad)</f>
        <v>0</v>
      </c>
      <c r="AE986">
        <f>sumif(Plan!B:B,"261-000000-168",Plan!ae:ae)</f>
        <v>0</v>
      </c>
      <c r="AF986">
        <f>sumif(Plan!B:B,"261-000000-168",Plan!af:af)</f>
        <v>0</v>
      </c>
      <c r="AG986">
        <f>sumif(Plan!B:B,"261-000000-168",Plan!ag:ag)</f>
        <v>0</v>
      </c>
      <c r="AH986">
        <f>sumif(Plan!B:B,"261-000000-168",Plan!ah:ah)</f>
        <v>0</v>
      </c>
      <c r="AI986">
        <f>sumif(Plan!B:B,"261-000000-168",Plan!ai:ai)</f>
        <v>0</v>
      </c>
      <c r="AJ986">
        <f>sumif(Plan!B:B,"261-000000-168",Plan!aj:aj)</f>
        <v>0</v>
      </c>
      <c r="AK986">
        <f>sumif(Plan!B:B,"261-000000-168",Plan!ak:ak)</f>
        <v>0</v>
      </c>
      <c r="AL986">
        <f>sumif(Plan!B:B,"261-000000-168",Plan!al:al)</f>
        <v>0</v>
      </c>
      <c r="AM986">
        <f>sumif(Plan!B:B,"261-000000-168",Plan!am:am)</f>
        <v>0</v>
      </c>
      <c r="AN986">
        <f>sumif(Plan!B:B,"261-000000-168",Plan!an:an)</f>
        <v>0</v>
      </c>
      <c r="AO986">
        <f>sumif(Plan!B:B,"261-000000-168",Plan!ao:ao)</f>
        <v>0</v>
      </c>
    </row>
    <row r="987" spans="1:41">
      <c r="A987" t="s">
        <v>22</v>
      </c>
      <c r="B987" t="s">
        <v>654</v>
      </c>
      <c r="C987" t="s">
        <v>655</v>
      </c>
      <c r="E987">
        <v>1</v>
      </c>
      <c r="F987" t="s">
        <v>13</v>
      </c>
      <c r="H987" t="s">
        <v>16</v>
      </c>
      <c r="J987">
        <f>indirect(address(987,9))+indirect(address(985,10))-indirect(address(986,10))</f>
        <v>0</v>
      </c>
      <c r="K987">
        <f>indirect(address(987,10))+indirect(address(985,11))-indirect(address(986,11))</f>
        <v>0</v>
      </c>
      <c r="L987">
        <f>indirect(address(987,11))+indirect(address(985,12))-indirect(address(986,12))</f>
        <v>0</v>
      </c>
      <c r="M987">
        <f>indirect(address(987,12))+indirect(address(985,13))-indirect(address(986,13))</f>
        <v>0</v>
      </c>
      <c r="N987">
        <f>indirect(address(987,13))+indirect(address(985,14))-indirect(address(986,14))</f>
        <v>0</v>
      </c>
      <c r="O987">
        <f>indirect(address(987,14))+indirect(address(985,15))-indirect(address(986,15))</f>
        <v>0</v>
      </c>
      <c r="P987">
        <f>indirect(address(987,15))+indirect(address(985,16))-indirect(address(986,16))</f>
        <v>0</v>
      </c>
      <c r="Q987">
        <f>indirect(address(987,16))+indirect(address(985,17))-indirect(address(986,17))</f>
        <v>0</v>
      </c>
      <c r="R987">
        <f>indirect(address(987,17))+indirect(address(985,18))-indirect(address(986,18))</f>
        <v>0</v>
      </c>
      <c r="S987">
        <f>indirect(address(987,18))+indirect(address(985,19))-indirect(address(986,19))</f>
        <v>0</v>
      </c>
      <c r="T987">
        <f>indirect(address(987,19))+indirect(address(985,20))-indirect(address(986,20))</f>
        <v>0</v>
      </c>
      <c r="U987">
        <f>indirect(address(987,20))+indirect(address(985,21))-indirect(address(986,21))</f>
        <v>0</v>
      </c>
      <c r="V987">
        <f>indirect(address(987,21))+indirect(address(985,22))-indirect(address(986,22))</f>
        <v>0</v>
      </c>
      <c r="W987">
        <f>indirect(address(987,22))+indirect(address(985,23))-indirect(address(986,23))</f>
        <v>0</v>
      </c>
      <c r="X987">
        <f>indirect(address(987,23))+indirect(address(985,24))-indirect(address(986,24))</f>
        <v>0</v>
      </c>
      <c r="Y987">
        <f>indirect(address(987,24))+indirect(address(985,25))-indirect(address(986,25))</f>
        <v>0</v>
      </c>
      <c r="Z987">
        <f>indirect(address(987,25))+indirect(address(985,26))-indirect(address(986,26))</f>
        <v>0</v>
      </c>
      <c r="AA987">
        <f>indirect(address(987,26))+indirect(address(985,27))-indirect(address(986,27))</f>
        <v>0</v>
      </c>
      <c r="AB987">
        <f>indirect(address(987,27))+indirect(address(985,28))-indirect(address(986,28))</f>
        <v>0</v>
      </c>
      <c r="AC987">
        <f>indirect(address(987,28))+indirect(address(985,29))-indirect(address(986,29))</f>
        <v>0</v>
      </c>
      <c r="AD987">
        <f>indirect(address(987,29))+indirect(address(985,30))-indirect(address(986,30))</f>
        <v>0</v>
      </c>
      <c r="AE987">
        <f>indirect(address(987,30))+indirect(address(985,31))-indirect(address(986,31))</f>
        <v>0</v>
      </c>
      <c r="AF987">
        <f>indirect(address(987,31))+indirect(address(985,32))-indirect(address(986,32))</f>
        <v>0</v>
      </c>
      <c r="AG987">
        <f>indirect(address(987,32))+indirect(address(985,33))-indirect(address(986,33))</f>
        <v>0</v>
      </c>
      <c r="AH987">
        <f>indirect(address(987,33))+indirect(address(985,34))-indirect(address(986,34))</f>
        <v>0</v>
      </c>
      <c r="AI987">
        <f>indirect(address(987,34))+indirect(address(985,35))-indirect(address(986,35))</f>
        <v>0</v>
      </c>
      <c r="AJ987">
        <f>indirect(address(987,35))+indirect(address(985,36))-indirect(address(986,36))</f>
        <v>0</v>
      </c>
      <c r="AK987">
        <f>indirect(address(987,36))+indirect(address(985,37))-indirect(address(986,37))</f>
        <v>0</v>
      </c>
      <c r="AL987">
        <f>indirect(address(987,37))+indirect(address(985,38))-indirect(address(986,38))</f>
        <v>0</v>
      </c>
      <c r="AM987">
        <f>indirect(address(987,38))+indirect(address(985,39))-indirect(address(986,39))</f>
        <v>0</v>
      </c>
      <c r="AN987">
        <f>indirect(address(987,39))+indirect(address(985,40))-indirect(address(986,40))</f>
        <v>0</v>
      </c>
      <c r="AO987">
        <f>indirect(address(987,40))+indirect(address(985,41))-indirect(address(986,41))</f>
        <v>0</v>
      </c>
    </row>
    <row r="988" spans="1:41">
      <c r="I988" t="s">
        <v>14</v>
      </c>
      <c r="AO988">
        <f>sum(j988:an988)</f>
        <v>0</v>
      </c>
    </row>
    <row r="989" spans="1:41">
      <c r="I989" t="s">
        <v>15</v>
      </c>
      <c r="J989">
        <f>sumif(Plan!B:B,"261-015000-254",Plan!j:j)</f>
        <v>0</v>
      </c>
      <c r="K989">
        <f>sumif(Plan!B:B,"261-015000-254",Plan!k:k)</f>
        <v>0</v>
      </c>
      <c r="L989">
        <f>sumif(Plan!B:B,"261-015000-254",Plan!l:l)</f>
        <v>0</v>
      </c>
      <c r="M989">
        <f>sumif(Plan!B:B,"261-015000-254",Plan!m:m)</f>
        <v>0</v>
      </c>
      <c r="N989">
        <f>sumif(Plan!B:B,"261-015000-254",Plan!n:n)</f>
        <v>0</v>
      </c>
      <c r="O989">
        <f>sumif(Plan!B:B,"261-015000-254",Plan!o:o)</f>
        <v>0</v>
      </c>
      <c r="P989">
        <f>sumif(Plan!B:B,"261-015000-254",Plan!p:p)</f>
        <v>0</v>
      </c>
      <c r="Q989">
        <f>sumif(Plan!B:B,"261-015000-254",Plan!q:q)</f>
        <v>0</v>
      </c>
      <c r="R989">
        <f>sumif(Plan!B:B,"261-015000-254",Plan!r:r)</f>
        <v>0</v>
      </c>
      <c r="S989">
        <f>sumif(Plan!B:B,"261-015000-254",Plan!s:s)</f>
        <v>0</v>
      </c>
      <c r="T989">
        <f>sumif(Plan!B:B,"261-015000-254",Plan!t:t)</f>
        <v>0</v>
      </c>
      <c r="U989">
        <f>sumif(Plan!B:B,"261-015000-254",Plan!u:u)</f>
        <v>0</v>
      </c>
      <c r="V989">
        <f>sumif(Plan!B:B,"261-015000-254",Plan!v:v)</f>
        <v>0</v>
      </c>
      <c r="W989">
        <f>sumif(Plan!B:B,"261-015000-254",Plan!w:w)</f>
        <v>0</v>
      </c>
      <c r="X989">
        <f>sumif(Plan!B:B,"261-015000-254",Plan!x:x)</f>
        <v>0</v>
      </c>
      <c r="Y989">
        <f>sumif(Plan!B:B,"261-015000-254",Plan!y:y)</f>
        <v>0</v>
      </c>
      <c r="Z989">
        <f>sumif(Plan!B:B,"261-015000-254",Plan!z:z)</f>
        <v>0</v>
      </c>
      <c r="AA989">
        <f>sumif(Plan!B:B,"261-015000-254",Plan!aa:aa)</f>
        <v>0</v>
      </c>
      <c r="AB989">
        <f>sumif(Plan!B:B,"261-015000-254",Plan!ab:ab)</f>
        <v>0</v>
      </c>
      <c r="AC989">
        <f>sumif(Plan!B:B,"261-015000-254",Plan!ac:ac)</f>
        <v>0</v>
      </c>
      <c r="AD989">
        <f>sumif(Plan!B:B,"261-015000-254",Plan!ad:ad)</f>
        <v>0</v>
      </c>
      <c r="AE989">
        <f>sumif(Plan!B:B,"261-015000-254",Plan!ae:ae)</f>
        <v>0</v>
      </c>
      <c r="AF989">
        <f>sumif(Plan!B:B,"261-015000-254",Plan!af:af)</f>
        <v>0</v>
      </c>
      <c r="AG989">
        <f>sumif(Plan!B:B,"261-015000-254",Plan!ag:ag)</f>
        <v>0</v>
      </c>
      <c r="AH989">
        <f>sumif(Plan!B:B,"261-015000-254",Plan!ah:ah)</f>
        <v>0</v>
      </c>
      <c r="AI989">
        <f>sumif(Plan!B:B,"261-015000-254",Plan!ai:ai)</f>
        <v>0</v>
      </c>
      <c r="AJ989">
        <f>sumif(Plan!B:B,"261-015000-254",Plan!aj:aj)</f>
        <v>0</v>
      </c>
      <c r="AK989">
        <f>sumif(Plan!B:B,"261-015000-254",Plan!ak:ak)</f>
        <v>0</v>
      </c>
      <c r="AL989">
        <f>sumif(Plan!B:B,"261-015000-254",Plan!al:al)</f>
        <v>0</v>
      </c>
      <c r="AM989">
        <f>sumif(Plan!B:B,"261-015000-254",Plan!am:am)</f>
        <v>0</v>
      </c>
      <c r="AN989">
        <f>sumif(Plan!B:B,"261-015000-254",Plan!an:an)</f>
        <v>0</v>
      </c>
      <c r="AO989">
        <f>sumif(Plan!B:B,"261-015000-254",Plan!ao:ao)</f>
        <v>0</v>
      </c>
    </row>
    <row r="990" spans="1:41">
      <c r="A990" t="s">
        <v>22</v>
      </c>
      <c r="B990" t="s">
        <v>609</v>
      </c>
      <c r="C990" t="s">
        <v>656</v>
      </c>
      <c r="E990">
        <v>1</v>
      </c>
      <c r="F990" t="s">
        <v>13</v>
      </c>
      <c r="H990" t="s">
        <v>16</v>
      </c>
      <c r="J990">
        <f>indirect(address(990,9))+indirect(address(988,10))-indirect(address(989,10))</f>
        <v>0</v>
      </c>
      <c r="K990">
        <f>indirect(address(990,10))+indirect(address(988,11))-indirect(address(989,11))</f>
        <v>0</v>
      </c>
      <c r="L990">
        <f>indirect(address(990,11))+indirect(address(988,12))-indirect(address(989,12))</f>
        <v>0</v>
      </c>
      <c r="M990">
        <f>indirect(address(990,12))+indirect(address(988,13))-indirect(address(989,13))</f>
        <v>0</v>
      </c>
      <c r="N990">
        <f>indirect(address(990,13))+indirect(address(988,14))-indirect(address(989,14))</f>
        <v>0</v>
      </c>
      <c r="O990">
        <f>indirect(address(990,14))+indirect(address(988,15))-indirect(address(989,15))</f>
        <v>0</v>
      </c>
      <c r="P990">
        <f>indirect(address(990,15))+indirect(address(988,16))-indirect(address(989,16))</f>
        <v>0</v>
      </c>
      <c r="Q990">
        <f>indirect(address(990,16))+indirect(address(988,17))-indirect(address(989,17))</f>
        <v>0</v>
      </c>
      <c r="R990">
        <f>indirect(address(990,17))+indirect(address(988,18))-indirect(address(989,18))</f>
        <v>0</v>
      </c>
      <c r="S990">
        <f>indirect(address(990,18))+indirect(address(988,19))-indirect(address(989,19))</f>
        <v>0</v>
      </c>
      <c r="T990">
        <f>indirect(address(990,19))+indirect(address(988,20))-indirect(address(989,20))</f>
        <v>0</v>
      </c>
      <c r="U990">
        <f>indirect(address(990,20))+indirect(address(988,21))-indirect(address(989,21))</f>
        <v>0</v>
      </c>
      <c r="V990">
        <f>indirect(address(990,21))+indirect(address(988,22))-indirect(address(989,22))</f>
        <v>0</v>
      </c>
      <c r="W990">
        <f>indirect(address(990,22))+indirect(address(988,23))-indirect(address(989,23))</f>
        <v>0</v>
      </c>
      <c r="X990">
        <f>indirect(address(990,23))+indirect(address(988,24))-indirect(address(989,24))</f>
        <v>0</v>
      </c>
      <c r="Y990">
        <f>indirect(address(990,24))+indirect(address(988,25))-indirect(address(989,25))</f>
        <v>0</v>
      </c>
      <c r="Z990">
        <f>indirect(address(990,25))+indirect(address(988,26))-indirect(address(989,26))</f>
        <v>0</v>
      </c>
      <c r="AA990">
        <f>indirect(address(990,26))+indirect(address(988,27))-indirect(address(989,27))</f>
        <v>0</v>
      </c>
      <c r="AB990">
        <f>indirect(address(990,27))+indirect(address(988,28))-indirect(address(989,28))</f>
        <v>0</v>
      </c>
      <c r="AC990">
        <f>indirect(address(990,28))+indirect(address(988,29))-indirect(address(989,29))</f>
        <v>0</v>
      </c>
      <c r="AD990">
        <f>indirect(address(990,29))+indirect(address(988,30))-indirect(address(989,30))</f>
        <v>0</v>
      </c>
      <c r="AE990">
        <f>indirect(address(990,30))+indirect(address(988,31))-indirect(address(989,31))</f>
        <v>0</v>
      </c>
      <c r="AF990">
        <f>indirect(address(990,31))+indirect(address(988,32))-indirect(address(989,32))</f>
        <v>0</v>
      </c>
      <c r="AG990">
        <f>indirect(address(990,32))+indirect(address(988,33))-indirect(address(989,33))</f>
        <v>0</v>
      </c>
      <c r="AH990">
        <f>indirect(address(990,33))+indirect(address(988,34))-indirect(address(989,34))</f>
        <v>0</v>
      </c>
      <c r="AI990">
        <f>indirect(address(990,34))+indirect(address(988,35))-indirect(address(989,35))</f>
        <v>0</v>
      </c>
      <c r="AJ990">
        <f>indirect(address(990,35))+indirect(address(988,36))-indirect(address(989,36))</f>
        <v>0</v>
      </c>
      <c r="AK990">
        <f>indirect(address(990,36))+indirect(address(988,37))-indirect(address(989,37))</f>
        <v>0</v>
      </c>
      <c r="AL990">
        <f>indirect(address(990,37))+indirect(address(988,38))-indirect(address(989,38))</f>
        <v>0</v>
      </c>
      <c r="AM990">
        <f>indirect(address(990,38))+indirect(address(988,39))-indirect(address(989,39))</f>
        <v>0</v>
      </c>
      <c r="AN990">
        <f>indirect(address(990,39))+indirect(address(988,40))-indirect(address(989,40))</f>
        <v>0</v>
      </c>
      <c r="AO990">
        <f>indirect(address(990,40))+indirect(address(988,41))-indirect(address(989,41))</f>
        <v>0</v>
      </c>
    </row>
    <row r="991" spans="1:41">
      <c r="I991" t="s">
        <v>14</v>
      </c>
      <c r="AO991">
        <f>sum(j991:an991)</f>
        <v>0</v>
      </c>
    </row>
    <row r="992" spans="1:41">
      <c r="I992" t="s">
        <v>15</v>
      </c>
      <c r="J992">
        <f>sumif(Plan!B:B,"261-008000-204",Plan!j:j)</f>
        <v>0</v>
      </c>
      <c r="K992">
        <f>sumif(Plan!B:B,"261-008000-204",Plan!k:k)</f>
        <v>0</v>
      </c>
      <c r="L992">
        <f>sumif(Plan!B:B,"261-008000-204",Plan!l:l)</f>
        <v>0</v>
      </c>
      <c r="M992">
        <f>sumif(Plan!B:B,"261-008000-204",Plan!m:m)</f>
        <v>0</v>
      </c>
      <c r="N992">
        <f>sumif(Plan!B:B,"261-008000-204",Plan!n:n)</f>
        <v>0</v>
      </c>
      <c r="O992">
        <f>sumif(Plan!B:B,"261-008000-204",Plan!o:o)</f>
        <v>0</v>
      </c>
      <c r="P992">
        <f>sumif(Plan!B:B,"261-008000-204",Plan!p:p)</f>
        <v>0</v>
      </c>
      <c r="Q992">
        <f>sumif(Plan!B:B,"261-008000-204",Plan!q:q)</f>
        <v>0</v>
      </c>
      <c r="R992">
        <f>sumif(Plan!B:B,"261-008000-204",Plan!r:r)</f>
        <v>0</v>
      </c>
      <c r="S992">
        <f>sumif(Plan!B:B,"261-008000-204",Plan!s:s)</f>
        <v>0</v>
      </c>
      <c r="T992">
        <f>sumif(Plan!B:B,"261-008000-204",Plan!t:t)</f>
        <v>0</v>
      </c>
      <c r="U992">
        <f>sumif(Plan!B:B,"261-008000-204",Plan!u:u)</f>
        <v>0</v>
      </c>
      <c r="V992">
        <f>sumif(Plan!B:B,"261-008000-204",Plan!v:v)</f>
        <v>0</v>
      </c>
      <c r="W992">
        <f>sumif(Plan!B:B,"261-008000-204",Plan!w:w)</f>
        <v>0</v>
      </c>
      <c r="X992">
        <f>sumif(Plan!B:B,"261-008000-204",Plan!x:x)</f>
        <v>0</v>
      </c>
      <c r="Y992">
        <f>sumif(Plan!B:B,"261-008000-204",Plan!y:y)</f>
        <v>0</v>
      </c>
      <c r="Z992">
        <f>sumif(Plan!B:B,"261-008000-204",Plan!z:z)</f>
        <v>0</v>
      </c>
      <c r="AA992">
        <f>sumif(Plan!B:B,"261-008000-204",Plan!aa:aa)</f>
        <v>0</v>
      </c>
      <c r="AB992">
        <f>sumif(Plan!B:B,"261-008000-204",Plan!ab:ab)</f>
        <v>0</v>
      </c>
      <c r="AC992">
        <f>sumif(Plan!B:B,"261-008000-204",Plan!ac:ac)</f>
        <v>0</v>
      </c>
      <c r="AD992">
        <f>sumif(Plan!B:B,"261-008000-204",Plan!ad:ad)</f>
        <v>0</v>
      </c>
      <c r="AE992">
        <f>sumif(Plan!B:B,"261-008000-204",Plan!ae:ae)</f>
        <v>0</v>
      </c>
      <c r="AF992">
        <f>sumif(Plan!B:B,"261-008000-204",Plan!af:af)</f>
        <v>0</v>
      </c>
      <c r="AG992">
        <f>sumif(Plan!B:B,"261-008000-204",Plan!ag:ag)</f>
        <v>0</v>
      </c>
      <c r="AH992">
        <f>sumif(Plan!B:B,"261-008000-204",Plan!ah:ah)</f>
        <v>0</v>
      </c>
      <c r="AI992">
        <f>sumif(Plan!B:B,"261-008000-204",Plan!ai:ai)</f>
        <v>0</v>
      </c>
      <c r="AJ992">
        <f>sumif(Plan!B:B,"261-008000-204",Plan!aj:aj)</f>
        <v>0</v>
      </c>
      <c r="AK992">
        <f>sumif(Plan!B:B,"261-008000-204",Plan!ak:ak)</f>
        <v>0</v>
      </c>
      <c r="AL992">
        <f>sumif(Plan!B:B,"261-008000-204",Plan!al:al)</f>
        <v>0</v>
      </c>
      <c r="AM992">
        <f>sumif(Plan!B:B,"261-008000-204",Plan!am:am)</f>
        <v>0</v>
      </c>
      <c r="AN992">
        <f>sumif(Plan!B:B,"261-008000-204",Plan!an:an)</f>
        <v>0</v>
      </c>
      <c r="AO992">
        <f>sumif(Plan!B:B,"261-008000-204",Plan!ao:ao)</f>
        <v>0</v>
      </c>
    </row>
    <row r="993" spans="1:41">
      <c r="A993" t="s">
        <v>22</v>
      </c>
      <c r="B993" t="s">
        <v>611</v>
      </c>
      <c r="C993" t="s">
        <v>656</v>
      </c>
      <c r="E993">
        <v>1</v>
      </c>
      <c r="F993" t="s">
        <v>13</v>
      </c>
      <c r="H993" t="s">
        <v>16</v>
      </c>
      <c r="J993">
        <f>indirect(address(993,9))+indirect(address(991,10))-indirect(address(992,10))</f>
        <v>0</v>
      </c>
      <c r="K993">
        <f>indirect(address(993,10))+indirect(address(991,11))-indirect(address(992,11))</f>
        <v>0</v>
      </c>
      <c r="L993">
        <f>indirect(address(993,11))+indirect(address(991,12))-indirect(address(992,12))</f>
        <v>0</v>
      </c>
      <c r="M993">
        <f>indirect(address(993,12))+indirect(address(991,13))-indirect(address(992,13))</f>
        <v>0</v>
      </c>
      <c r="N993">
        <f>indirect(address(993,13))+indirect(address(991,14))-indirect(address(992,14))</f>
        <v>0</v>
      </c>
      <c r="O993">
        <f>indirect(address(993,14))+indirect(address(991,15))-indirect(address(992,15))</f>
        <v>0</v>
      </c>
      <c r="P993">
        <f>indirect(address(993,15))+indirect(address(991,16))-indirect(address(992,16))</f>
        <v>0</v>
      </c>
      <c r="Q993">
        <f>indirect(address(993,16))+indirect(address(991,17))-indirect(address(992,17))</f>
        <v>0</v>
      </c>
      <c r="R993">
        <f>indirect(address(993,17))+indirect(address(991,18))-indirect(address(992,18))</f>
        <v>0</v>
      </c>
      <c r="S993">
        <f>indirect(address(993,18))+indirect(address(991,19))-indirect(address(992,19))</f>
        <v>0</v>
      </c>
      <c r="T993">
        <f>indirect(address(993,19))+indirect(address(991,20))-indirect(address(992,20))</f>
        <v>0</v>
      </c>
      <c r="U993">
        <f>indirect(address(993,20))+indirect(address(991,21))-indirect(address(992,21))</f>
        <v>0</v>
      </c>
      <c r="V993">
        <f>indirect(address(993,21))+indirect(address(991,22))-indirect(address(992,22))</f>
        <v>0</v>
      </c>
      <c r="W993">
        <f>indirect(address(993,22))+indirect(address(991,23))-indirect(address(992,23))</f>
        <v>0</v>
      </c>
      <c r="X993">
        <f>indirect(address(993,23))+indirect(address(991,24))-indirect(address(992,24))</f>
        <v>0</v>
      </c>
      <c r="Y993">
        <f>indirect(address(993,24))+indirect(address(991,25))-indirect(address(992,25))</f>
        <v>0</v>
      </c>
      <c r="Z993">
        <f>indirect(address(993,25))+indirect(address(991,26))-indirect(address(992,26))</f>
        <v>0</v>
      </c>
      <c r="AA993">
        <f>indirect(address(993,26))+indirect(address(991,27))-indirect(address(992,27))</f>
        <v>0</v>
      </c>
      <c r="AB993">
        <f>indirect(address(993,27))+indirect(address(991,28))-indirect(address(992,28))</f>
        <v>0</v>
      </c>
      <c r="AC993">
        <f>indirect(address(993,28))+indirect(address(991,29))-indirect(address(992,29))</f>
        <v>0</v>
      </c>
      <c r="AD993">
        <f>indirect(address(993,29))+indirect(address(991,30))-indirect(address(992,30))</f>
        <v>0</v>
      </c>
      <c r="AE993">
        <f>indirect(address(993,30))+indirect(address(991,31))-indirect(address(992,31))</f>
        <v>0</v>
      </c>
      <c r="AF993">
        <f>indirect(address(993,31))+indirect(address(991,32))-indirect(address(992,32))</f>
        <v>0</v>
      </c>
      <c r="AG993">
        <f>indirect(address(993,32))+indirect(address(991,33))-indirect(address(992,33))</f>
        <v>0</v>
      </c>
      <c r="AH993">
        <f>indirect(address(993,33))+indirect(address(991,34))-indirect(address(992,34))</f>
        <v>0</v>
      </c>
      <c r="AI993">
        <f>indirect(address(993,34))+indirect(address(991,35))-indirect(address(992,35))</f>
        <v>0</v>
      </c>
      <c r="AJ993">
        <f>indirect(address(993,35))+indirect(address(991,36))-indirect(address(992,36))</f>
        <v>0</v>
      </c>
      <c r="AK993">
        <f>indirect(address(993,36))+indirect(address(991,37))-indirect(address(992,37))</f>
        <v>0</v>
      </c>
      <c r="AL993">
        <f>indirect(address(993,37))+indirect(address(991,38))-indirect(address(992,38))</f>
        <v>0</v>
      </c>
      <c r="AM993">
        <f>indirect(address(993,38))+indirect(address(991,39))-indirect(address(992,39))</f>
        <v>0</v>
      </c>
      <c r="AN993">
        <f>indirect(address(993,39))+indirect(address(991,40))-indirect(address(992,40))</f>
        <v>0</v>
      </c>
      <c r="AO993">
        <f>indirect(address(993,40))+indirect(address(991,41))-indirect(address(992,41))</f>
        <v>0</v>
      </c>
    </row>
    <row r="994" spans="1:41">
      <c r="I994" t="s">
        <v>14</v>
      </c>
      <c r="AO994">
        <f>sum(j994:an994)</f>
        <v>0</v>
      </c>
    </row>
    <row r="995" spans="1:41">
      <c r="I995" t="s">
        <v>15</v>
      </c>
      <c r="J995">
        <f>sumif(Plan!B:B,"261-023000-254",Plan!j:j)</f>
        <v>0</v>
      </c>
      <c r="K995">
        <f>sumif(Plan!B:B,"261-023000-254",Plan!k:k)</f>
        <v>0</v>
      </c>
      <c r="L995">
        <f>sumif(Plan!B:B,"261-023000-254",Plan!l:l)</f>
        <v>0</v>
      </c>
      <c r="M995">
        <f>sumif(Plan!B:B,"261-023000-254",Plan!m:m)</f>
        <v>0</v>
      </c>
      <c r="N995">
        <f>sumif(Plan!B:B,"261-023000-254",Plan!n:n)</f>
        <v>0</v>
      </c>
      <c r="O995">
        <f>sumif(Plan!B:B,"261-023000-254",Plan!o:o)</f>
        <v>0</v>
      </c>
      <c r="P995">
        <f>sumif(Plan!B:B,"261-023000-254",Plan!p:p)</f>
        <v>0</v>
      </c>
      <c r="Q995">
        <f>sumif(Plan!B:B,"261-023000-254",Plan!q:q)</f>
        <v>0</v>
      </c>
      <c r="R995">
        <f>sumif(Plan!B:B,"261-023000-254",Plan!r:r)</f>
        <v>0</v>
      </c>
      <c r="S995">
        <f>sumif(Plan!B:B,"261-023000-254",Plan!s:s)</f>
        <v>0</v>
      </c>
      <c r="T995">
        <f>sumif(Plan!B:B,"261-023000-254",Plan!t:t)</f>
        <v>0</v>
      </c>
      <c r="U995">
        <f>sumif(Plan!B:B,"261-023000-254",Plan!u:u)</f>
        <v>0</v>
      </c>
      <c r="V995">
        <f>sumif(Plan!B:B,"261-023000-254",Plan!v:v)</f>
        <v>0</v>
      </c>
      <c r="W995">
        <f>sumif(Plan!B:B,"261-023000-254",Plan!w:w)</f>
        <v>0</v>
      </c>
      <c r="X995">
        <f>sumif(Plan!B:B,"261-023000-254",Plan!x:x)</f>
        <v>0</v>
      </c>
      <c r="Y995">
        <f>sumif(Plan!B:B,"261-023000-254",Plan!y:y)</f>
        <v>0</v>
      </c>
      <c r="Z995">
        <f>sumif(Plan!B:B,"261-023000-254",Plan!z:z)</f>
        <v>0</v>
      </c>
      <c r="AA995">
        <f>sumif(Plan!B:B,"261-023000-254",Plan!aa:aa)</f>
        <v>0</v>
      </c>
      <c r="AB995">
        <f>sumif(Plan!B:B,"261-023000-254",Plan!ab:ab)</f>
        <v>0</v>
      </c>
      <c r="AC995">
        <f>sumif(Plan!B:B,"261-023000-254",Plan!ac:ac)</f>
        <v>0</v>
      </c>
      <c r="AD995">
        <f>sumif(Plan!B:B,"261-023000-254",Plan!ad:ad)</f>
        <v>0</v>
      </c>
      <c r="AE995">
        <f>sumif(Plan!B:B,"261-023000-254",Plan!ae:ae)</f>
        <v>0</v>
      </c>
      <c r="AF995">
        <f>sumif(Plan!B:B,"261-023000-254",Plan!af:af)</f>
        <v>0</v>
      </c>
      <c r="AG995">
        <f>sumif(Plan!B:B,"261-023000-254",Plan!ag:ag)</f>
        <v>0</v>
      </c>
      <c r="AH995">
        <f>sumif(Plan!B:B,"261-023000-254",Plan!ah:ah)</f>
        <v>0</v>
      </c>
      <c r="AI995">
        <f>sumif(Plan!B:B,"261-023000-254",Plan!ai:ai)</f>
        <v>0</v>
      </c>
      <c r="AJ995">
        <f>sumif(Plan!B:B,"261-023000-254",Plan!aj:aj)</f>
        <v>0</v>
      </c>
      <c r="AK995">
        <f>sumif(Plan!B:B,"261-023000-254",Plan!ak:ak)</f>
        <v>0</v>
      </c>
      <c r="AL995">
        <f>sumif(Plan!B:B,"261-023000-254",Plan!al:al)</f>
        <v>0</v>
      </c>
      <c r="AM995">
        <f>sumif(Plan!B:B,"261-023000-254",Plan!am:am)</f>
        <v>0</v>
      </c>
      <c r="AN995">
        <f>sumif(Plan!B:B,"261-023000-254",Plan!an:an)</f>
        <v>0</v>
      </c>
      <c r="AO995">
        <f>sumif(Plan!B:B,"261-023000-254",Plan!ao:ao)</f>
        <v>0</v>
      </c>
    </row>
    <row r="996" spans="1:41">
      <c r="A996" t="s">
        <v>22</v>
      </c>
      <c r="B996" t="s">
        <v>625</v>
      </c>
      <c r="C996" t="s">
        <v>656</v>
      </c>
      <c r="E996">
        <v>1</v>
      </c>
      <c r="F996" t="s">
        <v>13</v>
      </c>
      <c r="H996" t="s">
        <v>16</v>
      </c>
      <c r="J996">
        <f>indirect(address(996,9))+indirect(address(994,10))-indirect(address(995,10))</f>
        <v>0</v>
      </c>
      <c r="K996">
        <f>indirect(address(996,10))+indirect(address(994,11))-indirect(address(995,11))</f>
        <v>0</v>
      </c>
      <c r="L996">
        <f>indirect(address(996,11))+indirect(address(994,12))-indirect(address(995,12))</f>
        <v>0</v>
      </c>
      <c r="M996">
        <f>indirect(address(996,12))+indirect(address(994,13))-indirect(address(995,13))</f>
        <v>0</v>
      </c>
      <c r="N996">
        <f>indirect(address(996,13))+indirect(address(994,14))-indirect(address(995,14))</f>
        <v>0</v>
      </c>
      <c r="O996">
        <f>indirect(address(996,14))+indirect(address(994,15))-indirect(address(995,15))</f>
        <v>0</v>
      </c>
      <c r="P996">
        <f>indirect(address(996,15))+indirect(address(994,16))-indirect(address(995,16))</f>
        <v>0</v>
      </c>
      <c r="Q996">
        <f>indirect(address(996,16))+indirect(address(994,17))-indirect(address(995,17))</f>
        <v>0</v>
      </c>
      <c r="R996">
        <f>indirect(address(996,17))+indirect(address(994,18))-indirect(address(995,18))</f>
        <v>0</v>
      </c>
      <c r="S996">
        <f>indirect(address(996,18))+indirect(address(994,19))-indirect(address(995,19))</f>
        <v>0</v>
      </c>
      <c r="T996">
        <f>indirect(address(996,19))+indirect(address(994,20))-indirect(address(995,20))</f>
        <v>0</v>
      </c>
      <c r="U996">
        <f>indirect(address(996,20))+indirect(address(994,21))-indirect(address(995,21))</f>
        <v>0</v>
      </c>
      <c r="V996">
        <f>indirect(address(996,21))+indirect(address(994,22))-indirect(address(995,22))</f>
        <v>0</v>
      </c>
      <c r="W996">
        <f>indirect(address(996,22))+indirect(address(994,23))-indirect(address(995,23))</f>
        <v>0</v>
      </c>
      <c r="X996">
        <f>indirect(address(996,23))+indirect(address(994,24))-indirect(address(995,24))</f>
        <v>0</v>
      </c>
      <c r="Y996">
        <f>indirect(address(996,24))+indirect(address(994,25))-indirect(address(995,25))</f>
        <v>0</v>
      </c>
      <c r="Z996">
        <f>indirect(address(996,25))+indirect(address(994,26))-indirect(address(995,26))</f>
        <v>0</v>
      </c>
      <c r="AA996">
        <f>indirect(address(996,26))+indirect(address(994,27))-indirect(address(995,27))</f>
        <v>0</v>
      </c>
      <c r="AB996">
        <f>indirect(address(996,27))+indirect(address(994,28))-indirect(address(995,28))</f>
        <v>0</v>
      </c>
      <c r="AC996">
        <f>indirect(address(996,28))+indirect(address(994,29))-indirect(address(995,29))</f>
        <v>0</v>
      </c>
      <c r="AD996">
        <f>indirect(address(996,29))+indirect(address(994,30))-indirect(address(995,30))</f>
        <v>0</v>
      </c>
      <c r="AE996">
        <f>indirect(address(996,30))+indirect(address(994,31))-indirect(address(995,31))</f>
        <v>0</v>
      </c>
      <c r="AF996">
        <f>indirect(address(996,31))+indirect(address(994,32))-indirect(address(995,32))</f>
        <v>0</v>
      </c>
      <c r="AG996">
        <f>indirect(address(996,32))+indirect(address(994,33))-indirect(address(995,33))</f>
        <v>0</v>
      </c>
      <c r="AH996">
        <f>indirect(address(996,33))+indirect(address(994,34))-indirect(address(995,34))</f>
        <v>0</v>
      </c>
      <c r="AI996">
        <f>indirect(address(996,34))+indirect(address(994,35))-indirect(address(995,35))</f>
        <v>0</v>
      </c>
      <c r="AJ996">
        <f>indirect(address(996,35))+indirect(address(994,36))-indirect(address(995,36))</f>
        <v>0</v>
      </c>
      <c r="AK996">
        <f>indirect(address(996,36))+indirect(address(994,37))-indirect(address(995,37))</f>
        <v>0</v>
      </c>
      <c r="AL996">
        <f>indirect(address(996,37))+indirect(address(994,38))-indirect(address(995,38))</f>
        <v>0</v>
      </c>
      <c r="AM996">
        <f>indirect(address(996,38))+indirect(address(994,39))-indirect(address(995,39))</f>
        <v>0</v>
      </c>
      <c r="AN996">
        <f>indirect(address(996,39))+indirect(address(994,40))-indirect(address(995,40))</f>
        <v>0</v>
      </c>
      <c r="AO996">
        <f>indirect(address(996,40))+indirect(address(994,41))-indirect(address(995,41))</f>
        <v>0</v>
      </c>
    </row>
    <row r="997" spans="1:41">
      <c r="I997" t="s">
        <v>14</v>
      </c>
      <c r="AO997">
        <f>sum(j997:an997)</f>
        <v>0</v>
      </c>
    </row>
    <row r="998" spans="1:41">
      <c r="I998" t="s">
        <v>15</v>
      </c>
      <c r="J998">
        <f>sumif(Plan!B:B,"261-012000-254",Plan!j:j)</f>
        <v>0</v>
      </c>
      <c r="K998">
        <f>sumif(Plan!B:B,"261-012000-254",Plan!k:k)</f>
        <v>0</v>
      </c>
      <c r="L998">
        <f>sumif(Plan!B:B,"261-012000-254",Plan!l:l)</f>
        <v>0</v>
      </c>
      <c r="M998">
        <f>sumif(Plan!B:B,"261-012000-254",Plan!m:m)</f>
        <v>0</v>
      </c>
      <c r="N998">
        <f>sumif(Plan!B:B,"261-012000-254",Plan!n:n)</f>
        <v>0</v>
      </c>
      <c r="O998">
        <f>sumif(Plan!B:B,"261-012000-254",Plan!o:o)</f>
        <v>0</v>
      </c>
      <c r="P998">
        <f>sumif(Plan!B:B,"261-012000-254",Plan!p:p)</f>
        <v>0</v>
      </c>
      <c r="Q998">
        <f>sumif(Plan!B:B,"261-012000-254",Plan!q:q)</f>
        <v>0</v>
      </c>
      <c r="R998">
        <f>sumif(Plan!B:B,"261-012000-254",Plan!r:r)</f>
        <v>0</v>
      </c>
      <c r="S998">
        <f>sumif(Plan!B:B,"261-012000-254",Plan!s:s)</f>
        <v>0</v>
      </c>
      <c r="T998">
        <f>sumif(Plan!B:B,"261-012000-254",Plan!t:t)</f>
        <v>0</v>
      </c>
      <c r="U998">
        <f>sumif(Plan!B:B,"261-012000-254",Plan!u:u)</f>
        <v>0</v>
      </c>
      <c r="V998">
        <f>sumif(Plan!B:B,"261-012000-254",Plan!v:v)</f>
        <v>0</v>
      </c>
      <c r="W998">
        <f>sumif(Plan!B:B,"261-012000-254",Plan!w:w)</f>
        <v>0</v>
      </c>
      <c r="X998">
        <f>sumif(Plan!B:B,"261-012000-254",Plan!x:x)</f>
        <v>0</v>
      </c>
      <c r="Y998">
        <f>sumif(Plan!B:B,"261-012000-254",Plan!y:y)</f>
        <v>0</v>
      </c>
      <c r="Z998">
        <f>sumif(Plan!B:B,"261-012000-254",Plan!z:z)</f>
        <v>0</v>
      </c>
      <c r="AA998">
        <f>sumif(Plan!B:B,"261-012000-254",Plan!aa:aa)</f>
        <v>0</v>
      </c>
      <c r="AB998">
        <f>sumif(Plan!B:B,"261-012000-254",Plan!ab:ab)</f>
        <v>0</v>
      </c>
      <c r="AC998">
        <f>sumif(Plan!B:B,"261-012000-254",Plan!ac:ac)</f>
        <v>0</v>
      </c>
      <c r="AD998">
        <f>sumif(Plan!B:B,"261-012000-254",Plan!ad:ad)</f>
        <v>0</v>
      </c>
      <c r="AE998">
        <f>sumif(Plan!B:B,"261-012000-254",Plan!ae:ae)</f>
        <v>0</v>
      </c>
      <c r="AF998">
        <f>sumif(Plan!B:B,"261-012000-254",Plan!af:af)</f>
        <v>0</v>
      </c>
      <c r="AG998">
        <f>sumif(Plan!B:B,"261-012000-254",Plan!ag:ag)</f>
        <v>0</v>
      </c>
      <c r="AH998">
        <f>sumif(Plan!B:B,"261-012000-254",Plan!ah:ah)</f>
        <v>0</v>
      </c>
      <c r="AI998">
        <f>sumif(Plan!B:B,"261-012000-254",Plan!ai:ai)</f>
        <v>0</v>
      </c>
      <c r="AJ998">
        <f>sumif(Plan!B:B,"261-012000-254",Plan!aj:aj)</f>
        <v>0</v>
      </c>
      <c r="AK998">
        <f>sumif(Plan!B:B,"261-012000-254",Plan!ak:ak)</f>
        <v>0</v>
      </c>
      <c r="AL998">
        <f>sumif(Plan!B:B,"261-012000-254",Plan!al:al)</f>
        <v>0</v>
      </c>
      <c r="AM998">
        <f>sumif(Plan!B:B,"261-012000-254",Plan!am:am)</f>
        <v>0</v>
      </c>
      <c r="AN998">
        <f>sumif(Plan!B:B,"261-012000-254",Plan!an:an)</f>
        <v>0</v>
      </c>
      <c r="AO998">
        <f>sumif(Plan!B:B,"261-012000-254",Plan!ao:ao)</f>
        <v>0</v>
      </c>
    </row>
    <row r="999" spans="1:41">
      <c r="A999" t="s">
        <v>22</v>
      </c>
      <c r="B999" t="s">
        <v>615</v>
      </c>
      <c r="C999" t="s">
        <v>657</v>
      </c>
      <c r="E999">
        <v>1</v>
      </c>
      <c r="F999" t="s">
        <v>13</v>
      </c>
      <c r="H999" t="s">
        <v>16</v>
      </c>
      <c r="J999">
        <f>indirect(address(999,9))+indirect(address(997,10))-indirect(address(998,10))</f>
        <v>0</v>
      </c>
      <c r="K999">
        <f>indirect(address(999,10))+indirect(address(997,11))-indirect(address(998,11))</f>
        <v>0</v>
      </c>
      <c r="L999">
        <f>indirect(address(999,11))+indirect(address(997,12))-indirect(address(998,12))</f>
        <v>0</v>
      </c>
      <c r="M999">
        <f>indirect(address(999,12))+indirect(address(997,13))-indirect(address(998,13))</f>
        <v>0</v>
      </c>
      <c r="N999">
        <f>indirect(address(999,13))+indirect(address(997,14))-indirect(address(998,14))</f>
        <v>0</v>
      </c>
      <c r="O999">
        <f>indirect(address(999,14))+indirect(address(997,15))-indirect(address(998,15))</f>
        <v>0</v>
      </c>
      <c r="P999">
        <f>indirect(address(999,15))+indirect(address(997,16))-indirect(address(998,16))</f>
        <v>0</v>
      </c>
      <c r="Q999">
        <f>indirect(address(999,16))+indirect(address(997,17))-indirect(address(998,17))</f>
        <v>0</v>
      </c>
      <c r="R999">
        <f>indirect(address(999,17))+indirect(address(997,18))-indirect(address(998,18))</f>
        <v>0</v>
      </c>
      <c r="S999">
        <f>indirect(address(999,18))+indirect(address(997,19))-indirect(address(998,19))</f>
        <v>0</v>
      </c>
      <c r="T999">
        <f>indirect(address(999,19))+indirect(address(997,20))-indirect(address(998,20))</f>
        <v>0</v>
      </c>
      <c r="U999">
        <f>indirect(address(999,20))+indirect(address(997,21))-indirect(address(998,21))</f>
        <v>0</v>
      </c>
      <c r="V999">
        <f>indirect(address(999,21))+indirect(address(997,22))-indirect(address(998,22))</f>
        <v>0</v>
      </c>
      <c r="W999">
        <f>indirect(address(999,22))+indirect(address(997,23))-indirect(address(998,23))</f>
        <v>0</v>
      </c>
      <c r="X999">
        <f>indirect(address(999,23))+indirect(address(997,24))-indirect(address(998,24))</f>
        <v>0</v>
      </c>
      <c r="Y999">
        <f>indirect(address(999,24))+indirect(address(997,25))-indirect(address(998,25))</f>
        <v>0</v>
      </c>
      <c r="Z999">
        <f>indirect(address(999,25))+indirect(address(997,26))-indirect(address(998,26))</f>
        <v>0</v>
      </c>
      <c r="AA999">
        <f>indirect(address(999,26))+indirect(address(997,27))-indirect(address(998,27))</f>
        <v>0</v>
      </c>
      <c r="AB999">
        <f>indirect(address(999,27))+indirect(address(997,28))-indirect(address(998,28))</f>
        <v>0</v>
      </c>
      <c r="AC999">
        <f>indirect(address(999,28))+indirect(address(997,29))-indirect(address(998,29))</f>
        <v>0</v>
      </c>
      <c r="AD999">
        <f>indirect(address(999,29))+indirect(address(997,30))-indirect(address(998,30))</f>
        <v>0</v>
      </c>
      <c r="AE999">
        <f>indirect(address(999,30))+indirect(address(997,31))-indirect(address(998,31))</f>
        <v>0</v>
      </c>
      <c r="AF999">
        <f>indirect(address(999,31))+indirect(address(997,32))-indirect(address(998,32))</f>
        <v>0</v>
      </c>
      <c r="AG999">
        <f>indirect(address(999,32))+indirect(address(997,33))-indirect(address(998,33))</f>
        <v>0</v>
      </c>
      <c r="AH999">
        <f>indirect(address(999,33))+indirect(address(997,34))-indirect(address(998,34))</f>
        <v>0</v>
      </c>
      <c r="AI999">
        <f>indirect(address(999,34))+indirect(address(997,35))-indirect(address(998,35))</f>
        <v>0</v>
      </c>
      <c r="AJ999">
        <f>indirect(address(999,35))+indirect(address(997,36))-indirect(address(998,36))</f>
        <v>0</v>
      </c>
      <c r="AK999">
        <f>indirect(address(999,36))+indirect(address(997,37))-indirect(address(998,37))</f>
        <v>0</v>
      </c>
      <c r="AL999">
        <f>indirect(address(999,37))+indirect(address(997,38))-indirect(address(998,38))</f>
        <v>0</v>
      </c>
      <c r="AM999">
        <f>indirect(address(999,38))+indirect(address(997,39))-indirect(address(998,39))</f>
        <v>0</v>
      </c>
      <c r="AN999">
        <f>indirect(address(999,39))+indirect(address(997,40))-indirect(address(998,40))</f>
        <v>0</v>
      </c>
      <c r="AO999">
        <f>indirect(address(999,40))+indirect(address(997,41))-indirect(address(998,41))</f>
        <v>0</v>
      </c>
    </row>
    <row r="1000" spans="1:41">
      <c r="I1000" t="s">
        <v>14</v>
      </c>
      <c r="AO1000">
        <f>sum(j1000:an1000)</f>
        <v>0</v>
      </c>
    </row>
    <row r="1001" spans="1:41">
      <c r="I1001" t="s">
        <v>15</v>
      </c>
      <c r="J1001">
        <f>sumif(Plan!B:B,"261-005000-254",Plan!j:j)</f>
        <v>0</v>
      </c>
      <c r="K1001">
        <f>sumif(Plan!B:B,"261-005000-254",Plan!k:k)</f>
        <v>0</v>
      </c>
      <c r="L1001">
        <f>sumif(Plan!B:B,"261-005000-254",Plan!l:l)</f>
        <v>0</v>
      </c>
      <c r="M1001">
        <f>sumif(Plan!B:B,"261-005000-254",Plan!m:m)</f>
        <v>0</v>
      </c>
      <c r="N1001">
        <f>sumif(Plan!B:B,"261-005000-254",Plan!n:n)</f>
        <v>0</v>
      </c>
      <c r="O1001">
        <f>sumif(Plan!B:B,"261-005000-254",Plan!o:o)</f>
        <v>0</v>
      </c>
      <c r="P1001">
        <f>sumif(Plan!B:B,"261-005000-254",Plan!p:p)</f>
        <v>0</v>
      </c>
      <c r="Q1001">
        <f>sumif(Plan!B:B,"261-005000-254",Plan!q:q)</f>
        <v>0</v>
      </c>
      <c r="R1001">
        <f>sumif(Plan!B:B,"261-005000-254",Plan!r:r)</f>
        <v>0</v>
      </c>
      <c r="S1001">
        <f>sumif(Plan!B:B,"261-005000-254",Plan!s:s)</f>
        <v>0</v>
      </c>
      <c r="T1001">
        <f>sumif(Plan!B:B,"261-005000-254",Plan!t:t)</f>
        <v>0</v>
      </c>
      <c r="U1001">
        <f>sumif(Plan!B:B,"261-005000-254",Plan!u:u)</f>
        <v>0</v>
      </c>
      <c r="V1001">
        <f>sumif(Plan!B:B,"261-005000-254",Plan!v:v)</f>
        <v>0</v>
      </c>
      <c r="W1001">
        <f>sumif(Plan!B:B,"261-005000-254",Plan!w:w)</f>
        <v>0</v>
      </c>
      <c r="X1001">
        <f>sumif(Plan!B:B,"261-005000-254",Plan!x:x)</f>
        <v>0</v>
      </c>
      <c r="Y1001">
        <f>sumif(Plan!B:B,"261-005000-254",Plan!y:y)</f>
        <v>0</v>
      </c>
      <c r="Z1001">
        <f>sumif(Plan!B:B,"261-005000-254",Plan!z:z)</f>
        <v>0</v>
      </c>
      <c r="AA1001">
        <f>sumif(Plan!B:B,"261-005000-254",Plan!aa:aa)</f>
        <v>0</v>
      </c>
      <c r="AB1001">
        <f>sumif(Plan!B:B,"261-005000-254",Plan!ab:ab)</f>
        <v>0</v>
      </c>
      <c r="AC1001">
        <f>sumif(Plan!B:B,"261-005000-254",Plan!ac:ac)</f>
        <v>0</v>
      </c>
      <c r="AD1001">
        <f>sumif(Plan!B:B,"261-005000-254",Plan!ad:ad)</f>
        <v>0</v>
      </c>
      <c r="AE1001">
        <f>sumif(Plan!B:B,"261-005000-254",Plan!ae:ae)</f>
        <v>0</v>
      </c>
      <c r="AF1001">
        <f>sumif(Plan!B:B,"261-005000-254",Plan!af:af)</f>
        <v>0</v>
      </c>
      <c r="AG1001">
        <f>sumif(Plan!B:B,"261-005000-254",Plan!ag:ag)</f>
        <v>0</v>
      </c>
      <c r="AH1001">
        <f>sumif(Plan!B:B,"261-005000-254",Plan!ah:ah)</f>
        <v>0</v>
      </c>
      <c r="AI1001">
        <f>sumif(Plan!B:B,"261-005000-254",Plan!ai:ai)</f>
        <v>0</v>
      </c>
      <c r="AJ1001">
        <f>sumif(Plan!B:B,"261-005000-254",Plan!aj:aj)</f>
        <v>0</v>
      </c>
      <c r="AK1001">
        <f>sumif(Plan!B:B,"261-005000-254",Plan!ak:ak)</f>
        <v>0</v>
      </c>
      <c r="AL1001">
        <f>sumif(Plan!B:B,"261-005000-254",Plan!al:al)</f>
        <v>0</v>
      </c>
      <c r="AM1001">
        <f>sumif(Plan!B:B,"261-005000-254",Plan!am:am)</f>
        <v>0</v>
      </c>
      <c r="AN1001">
        <f>sumif(Plan!B:B,"261-005000-254",Plan!an:an)</f>
        <v>0</v>
      </c>
      <c r="AO1001">
        <f>sumif(Plan!B:B,"261-005000-254",Plan!ao:ao)</f>
        <v>0</v>
      </c>
    </row>
    <row r="1002" spans="1:41">
      <c r="A1002" t="s">
        <v>22</v>
      </c>
      <c r="B1002" t="s">
        <v>607</v>
      </c>
      <c r="C1002" t="s">
        <v>656</v>
      </c>
      <c r="E1002">
        <v>1</v>
      </c>
      <c r="F1002" t="s">
        <v>13</v>
      </c>
      <c r="H1002" t="s">
        <v>16</v>
      </c>
      <c r="J1002">
        <f>indirect(address(1002,9))+indirect(address(1000,10))-indirect(address(1001,10))</f>
        <v>0</v>
      </c>
      <c r="K1002">
        <f>indirect(address(1002,10))+indirect(address(1000,11))-indirect(address(1001,11))</f>
        <v>0</v>
      </c>
      <c r="L1002">
        <f>indirect(address(1002,11))+indirect(address(1000,12))-indirect(address(1001,12))</f>
        <v>0</v>
      </c>
      <c r="M1002">
        <f>indirect(address(1002,12))+indirect(address(1000,13))-indirect(address(1001,13))</f>
        <v>0</v>
      </c>
      <c r="N1002">
        <f>indirect(address(1002,13))+indirect(address(1000,14))-indirect(address(1001,14))</f>
        <v>0</v>
      </c>
      <c r="O1002">
        <f>indirect(address(1002,14))+indirect(address(1000,15))-indirect(address(1001,15))</f>
        <v>0</v>
      </c>
      <c r="P1002">
        <f>indirect(address(1002,15))+indirect(address(1000,16))-indirect(address(1001,16))</f>
        <v>0</v>
      </c>
      <c r="Q1002">
        <f>indirect(address(1002,16))+indirect(address(1000,17))-indirect(address(1001,17))</f>
        <v>0</v>
      </c>
      <c r="R1002">
        <f>indirect(address(1002,17))+indirect(address(1000,18))-indirect(address(1001,18))</f>
        <v>0</v>
      </c>
      <c r="S1002">
        <f>indirect(address(1002,18))+indirect(address(1000,19))-indirect(address(1001,19))</f>
        <v>0</v>
      </c>
      <c r="T1002">
        <f>indirect(address(1002,19))+indirect(address(1000,20))-indirect(address(1001,20))</f>
        <v>0</v>
      </c>
      <c r="U1002">
        <f>indirect(address(1002,20))+indirect(address(1000,21))-indirect(address(1001,21))</f>
        <v>0</v>
      </c>
      <c r="V1002">
        <f>indirect(address(1002,21))+indirect(address(1000,22))-indirect(address(1001,22))</f>
        <v>0</v>
      </c>
      <c r="W1002">
        <f>indirect(address(1002,22))+indirect(address(1000,23))-indirect(address(1001,23))</f>
        <v>0</v>
      </c>
      <c r="X1002">
        <f>indirect(address(1002,23))+indirect(address(1000,24))-indirect(address(1001,24))</f>
        <v>0</v>
      </c>
      <c r="Y1002">
        <f>indirect(address(1002,24))+indirect(address(1000,25))-indirect(address(1001,25))</f>
        <v>0</v>
      </c>
      <c r="Z1002">
        <f>indirect(address(1002,25))+indirect(address(1000,26))-indirect(address(1001,26))</f>
        <v>0</v>
      </c>
      <c r="AA1002">
        <f>indirect(address(1002,26))+indirect(address(1000,27))-indirect(address(1001,27))</f>
        <v>0</v>
      </c>
      <c r="AB1002">
        <f>indirect(address(1002,27))+indirect(address(1000,28))-indirect(address(1001,28))</f>
        <v>0</v>
      </c>
      <c r="AC1002">
        <f>indirect(address(1002,28))+indirect(address(1000,29))-indirect(address(1001,29))</f>
        <v>0</v>
      </c>
      <c r="AD1002">
        <f>indirect(address(1002,29))+indirect(address(1000,30))-indirect(address(1001,30))</f>
        <v>0</v>
      </c>
      <c r="AE1002">
        <f>indirect(address(1002,30))+indirect(address(1000,31))-indirect(address(1001,31))</f>
        <v>0</v>
      </c>
      <c r="AF1002">
        <f>indirect(address(1002,31))+indirect(address(1000,32))-indirect(address(1001,32))</f>
        <v>0</v>
      </c>
      <c r="AG1002">
        <f>indirect(address(1002,32))+indirect(address(1000,33))-indirect(address(1001,33))</f>
        <v>0</v>
      </c>
      <c r="AH1002">
        <f>indirect(address(1002,33))+indirect(address(1000,34))-indirect(address(1001,34))</f>
        <v>0</v>
      </c>
      <c r="AI1002">
        <f>indirect(address(1002,34))+indirect(address(1000,35))-indirect(address(1001,35))</f>
        <v>0</v>
      </c>
      <c r="AJ1002">
        <f>indirect(address(1002,35))+indirect(address(1000,36))-indirect(address(1001,36))</f>
        <v>0</v>
      </c>
      <c r="AK1002">
        <f>indirect(address(1002,36))+indirect(address(1000,37))-indirect(address(1001,37))</f>
        <v>0</v>
      </c>
      <c r="AL1002">
        <f>indirect(address(1002,37))+indirect(address(1000,38))-indirect(address(1001,38))</f>
        <v>0</v>
      </c>
      <c r="AM1002">
        <f>indirect(address(1002,38))+indirect(address(1000,39))-indirect(address(1001,39))</f>
        <v>0</v>
      </c>
      <c r="AN1002">
        <f>indirect(address(1002,39))+indirect(address(1000,40))-indirect(address(1001,40))</f>
        <v>0</v>
      </c>
      <c r="AO1002">
        <f>indirect(address(1002,40))+indirect(address(1000,41))-indirect(address(1001,41))</f>
        <v>0</v>
      </c>
    </row>
    <row r="1003" spans="1:41">
      <c r="I1003" t="s">
        <v>14</v>
      </c>
      <c r="AO1003">
        <f>sum(j1003:an1003)</f>
        <v>0</v>
      </c>
    </row>
    <row r="1004" spans="1:41">
      <c r="I1004" t="s">
        <v>15</v>
      </c>
      <c r="J1004">
        <f>sumif(Plan!B:B,"261-005000-254",Plan!j:j)</f>
        <v>0</v>
      </c>
      <c r="K1004">
        <f>sumif(Plan!B:B,"261-005000-254",Plan!k:k)</f>
        <v>0</v>
      </c>
      <c r="L1004">
        <f>sumif(Plan!B:B,"261-005000-254",Plan!l:l)</f>
        <v>0</v>
      </c>
      <c r="M1004">
        <f>sumif(Plan!B:B,"261-005000-254",Plan!m:m)</f>
        <v>0</v>
      </c>
      <c r="N1004">
        <f>sumif(Plan!B:B,"261-005000-254",Plan!n:n)</f>
        <v>0</v>
      </c>
      <c r="O1004">
        <f>sumif(Plan!B:B,"261-005000-254",Plan!o:o)</f>
        <v>0</v>
      </c>
      <c r="P1004">
        <f>sumif(Plan!B:B,"261-005000-254",Plan!p:p)</f>
        <v>0</v>
      </c>
      <c r="Q1004">
        <f>sumif(Plan!B:B,"261-005000-254",Plan!q:q)</f>
        <v>0</v>
      </c>
      <c r="R1004">
        <f>sumif(Plan!B:B,"261-005000-254",Plan!r:r)</f>
        <v>0</v>
      </c>
      <c r="S1004">
        <f>sumif(Plan!B:B,"261-005000-254",Plan!s:s)</f>
        <v>0</v>
      </c>
      <c r="T1004">
        <f>sumif(Plan!B:B,"261-005000-254",Plan!t:t)</f>
        <v>0</v>
      </c>
      <c r="U1004">
        <f>sumif(Plan!B:B,"261-005000-254",Plan!u:u)</f>
        <v>0</v>
      </c>
      <c r="V1004">
        <f>sumif(Plan!B:B,"261-005000-254",Plan!v:v)</f>
        <v>0</v>
      </c>
      <c r="W1004">
        <f>sumif(Plan!B:B,"261-005000-254",Plan!w:w)</f>
        <v>0</v>
      </c>
      <c r="X1004">
        <f>sumif(Plan!B:B,"261-005000-254",Plan!x:x)</f>
        <v>0</v>
      </c>
      <c r="Y1004">
        <f>sumif(Plan!B:B,"261-005000-254",Plan!y:y)</f>
        <v>0</v>
      </c>
      <c r="Z1004">
        <f>sumif(Plan!B:B,"261-005000-254",Plan!z:z)</f>
        <v>0</v>
      </c>
      <c r="AA1004">
        <f>sumif(Plan!B:B,"261-005000-254",Plan!aa:aa)</f>
        <v>0</v>
      </c>
      <c r="AB1004">
        <f>sumif(Plan!B:B,"261-005000-254",Plan!ab:ab)</f>
        <v>0</v>
      </c>
      <c r="AC1004">
        <f>sumif(Plan!B:B,"261-005000-254",Plan!ac:ac)</f>
        <v>0</v>
      </c>
      <c r="AD1004">
        <f>sumif(Plan!B:B,"261-005000-254",Plan!ad:ad)</f>
        <v>0</v>
      </c>
      <c r="AE1004">
        <f>sumif(Plan!B:B,"261-005000-254",Plan!ae:ae)</f>
        <v>0</v>
      </c>
      <c r="AF1004">
        <f>sumif(Plan!B:B,"261-005000-254",Plan!af:af)</f>
        <v>0</v>
      </c>
      <c r="AG1004">
        <f>sumif(Plan!B:B,"261-005000-254",Plan!ag:ag)</f>
        <v>0</v>
      </c>
      <c r="AH1004">
        <f>sumif(Plan!B:B,"261-005000-254",Plan!ah:ah)</f>
        <v>0</v>
      </c>
      <c r="AI1004">
        <f>sumif(Plan!B:B,"261-005000-254",Plan!ai:ai)</f>
        <v>0</v>
      </c>
      <c r="AJ1004">
        <f>sumif(Plan!B:B,"261-005000-254",Plan!aj:aj)</f>
        <v>0</v>
      </c>
      <c r="AK1004">
        <f>sumif(Plan!B:B,"261-005000-254",Plan!ak:ak)</f>
        <v>0</v>
      </c>
      <c r="AL1004">
        <f>sumif(Plan!B:B,"261-005000-254",Plan!al:al)</f>
        <v>0</v>
      </c>
      <c r="AM1004">
        <f>sumif(Plan!B:B,"261-005000-254",Plan!am:am)</f>
        <v>0</v>
      </c>
      <c r="AN1004">
        <f>sumif(Plan!B:B,"261-005000-254",Plan!an:an)</f>
        <v>0</v>
      </c>
      <c r="AO1004">
        <f>sumif(Plan!B:B,"261-005000-254",Plan!ao:ao)</f>
        <v>0</v>
      </c>
    </row>
    <row r="1005" spans="1:41">
      <c r="A1005" t="s">
        <v>43</v>
      </c>
      <c r="B1005" t="s">
        <v>607</v>
      </c>
      <c r="C1005" t="s">
        <v>43</v>
      </c>
      <c r="E1005">
        <v>0.063</v>
      </c>
      <c r="F1005" t="s">
        <v>13</v>
      </c>
      <c r="H1005" t="s">
        <v>16</v>
      </c>
      <c r="J1005">
        <f>indirect(address(1005,9))+indirect(address(1003,10))-indirect(address(1004,10))</f>
        <v>0</v>
      </c>
      <c r="K1005">
        <f>indirect(address(1005,10))+indirect(address(1003,11))-indirect(address(1004,11))</f>
        <v>0</v>
      </c>
      <c r="L1005">
        <f>indirect(address(1005,11))+indirect(address(1003,12))-indirect(address(1004,12))</f>
        <v>0</v>
      </c>
      <c r="M1005">
        <f>indirect(address(1005,12))+indirect(address(1003,13))-indirect(address(1004,13))</f>
        <v>0</v>
      </c>
      <c r="N1005">
        <f>indirect(address(1005,13))+indirect(address(1003,14))-indirect(address(1004,14))</f>
        <v>0</v>
      </c>
      <c r="O1005">
        <f>indirect(address(1005,14))+indirect(address(1003,15))-indirect(address(1004,15))</f>
        <v>0</v>
      </c>
      <c r="P1005">
        <f>indirect(address(1005,15))+indirect(address(1003,16))-indirect(address(1004,16))</f>
        <v>0</v>
      </c>
      <c r="Q1005">
        <f>indirect(address(1005,16))+indirect(address(1003,17))-indirect(address(1004,17))</f>
        <v>0</v>
      </c>
      <c r="R1005">
        <f>indirect(address(1005,17))+indirect(address(1003,18))-indirect(address(1004,18))</f>
        <v>0</v>
      </c>
      <c r="S1005">
        <f>indirect(address(1005,18))+indirect(address(1003,19))-indirect(address(1004,19))</f>
        <v>0</v>
      </c>
      <c r="T1005">
        <f>indirect(address(1005,19))+indirect(address(1003,20))-indirect(address(1004,20))</f>
        <v>0</v>
      </c>
      <c r="U1005">
        <f>indirect(address(1005,20))+indirect(address(1003,21))-indirect(address(1004,21))</f>
        <v>0</v>
      </c>
      <c r="V1005">
        <f>indirect(address(1005,21))+indirect(address(1003,22))-indirect(address(1004,22))</f>
        <v>0</v>
      </c>
      <c r="W1005">
        <f>indirect(address(1005,22))+indirect(address(1003,23))-indirect(address(1004,23))</f>
        <v>0</v>
      </c>
      <c r="X1005">
        <f>indirect(address(1005,23))+indirect(address(1003,24))-indirect(address(1004,24))</f>
        <v>0</v>
      </c>
      <c r="Y1005">
        <f>indirect(address(1005,24))+indirect(address(1003,25))-indirect(address(1004,25))</f>
        <v>0</v>
      </c>
      <c r="Z1005">
        <f>indirect(address(1005,25))+indirect(address(1003,26))-indirect(address(1004,26))</f>
        <v>0</v>
      </c>
      <c r="AA1005">
        <f>indirect(address(1005,26))+indirect(address(1003,27))-indirect(address(1004,27))</f>
        <v>0</v>
      </c>
      <c r="AB1005">
        <f>indirect(address(1005,27))+indirect(address(1003,28))-indirect(address(1004,28))</f>
        <v>0</v>
      </c>
      <c r="AC1005">
        <f>indirect(address(1005,28))+indirect(address(1003,29))-indirect(address(1004,29))</f>
        <v>0</v>
      </c>
      <c r="AD1005">
        <f>indirect(address(1005,29))+indirect(address(1003,30))-indirect(address(1004,30))</f>
        <v>0</v>
      </c>
      <c r="AE1005">
        <f>indirect(address(1005,30))+indirect(address(1003,31))-indirect(address(1004,31))</f>
        <v>0</v>
      </c>
      <c r="AF1005">
        <f>indirect(address(1005,31))+indirect(address(1003,32))-indirect(address(1004,32))</f>
        <v>0</v>
      </c>
      <c r="AG1005">
        <f>indirect(address(1005,32))+indirect(address(1003,33))-indirect(address(1004,33))</f>
        <v>0</v>
      </c>
      <c r="AH1005">
        <f>indirect(address(1005,33))+indirect(address(1003,34))-indirect(address(1004,34))</f>
        <v>0</v>
      </c>
      <c r="AI1005">
        <f>indirect(address(1005,34))+indirect(address(1003,35))-indirect(address(1004,35))</f>
        <v>0</v>
      </c>
      <c r="AJ1005">
        <f>indirect(address(1005,35))+indirect(address(1003,36))-indirect(address(1004,36))</f>
        <v>0</v>
      </c>
      <c r="AK1005">
        <f>indirect(address(1005,36))+indirect(address(1003,37))-indirect(address(1004,37))</f>
        <v>0</v>
      </c>
      <c r="AL1005">
        <f>indirect(address(1005,37))+indirect(address(1003,38))-indirect(address(1004,38))</f>
        <v>0</v>
      </c>
      <c r="AM1005">
        <f>indirect(address(1005,38))+indirect(address(1003,39))-indirect(address(1004,39))</f>
        <v>0</v>
      </c>
      <c r="AN1005">
        <f>indirect(address(1005,39))+indirect(address(1003,40))-indirect(address(1004,40))</f>
        <v>0</v>
      </c>
      <c r="AO1005">
        <f>indirect(address(1005,40))+indirect(address(1003,41))-indirect(address(1004,41))</f>
        <v>0</v>
      </c>
    </row>
    <row r="1006" spans="1:41">
      <c r="I1006" t="s">
        <v>14</v>
      </c>
      <c r="AO1006">
        <f>sum(j1006:an1006)</f>
        <v>0</v>
      </c>
    </row>
    <row r="1007" spans="1:41">
      <c r="I1007" t="s">
        <v>15</v>
      </c>
      <c r="J1007">
        <f>sumif(Plan!B:B,"261-167000-103",Plan!j:j)</f>
        <v>0</v>
      </c>
      <c r="K1007">
        <f>sumif(Plan!B:B,"261-167000-103",Plan!k:k)</f>
        <v>0</v>
      </c>
      <c r="L1007">
        <f>sumif(Plan!B:B,"261-167000-103",Plan!l:l)</f>
        <v>0</v>
      </c>
      <c r="M1007">
        <f>sumif(Plan!B:B,"261-167000-103",Plan!m:m)</f>
        <v>0</v>
      </c>
      <c r="N1007">
        <f>sumif(Plan!B:B,"261-167000-103",Plan!n:n)</f>
        <v>0</v>
      </c>
      <c r="O1007">
        <f>sumif(Plan!B:B,"261-167000-103",Plan!o:o)</f>
        <v>0</v>
      </c>
      <c r="P1007">
        <f>sumif(Plan!B:B,"261-167000-103",Plan!p:p)</f>
        <v>0</v>
      </c>
      <c r="Q1007">
        <f>sumif(Plan!B:B,"261-167000-103",Plan!q:q)</f>
        <v>0</v>
      </c>
      <c r="R1007">
        <f>sumif(Plan!B:B,"261-167000-103",Plan!r:r)</f>
        <v>0</v>
      </c>
      <c r="S1007">
        <f>sumif(Plan!B:B,"261-167000-103",Plan!s:s)</f>
        <v>0</v>
      </c>
      <c r="T1007">
        <f>sumif(Plan!B:B,"261-167000-103",Plan!t:t)</f>
        <v>0</v>
      </c>
      <c r="U1007">
        <f>sumif(Plan!B:B,"261-167000-103",Plan!u:u)</f>
        <v>0</v>
      </c>
      <c r="V1007">
        <f>sumif(Plan!B:B,"261-167000-103",Plan!v:v)</f>
        <v>0</v>
      </c>
      <c r="W1007">
        <f>sumif(Plan!B:B,"261-167000-103",Plan!w:w)</f>
        <v>0</v>
      </c>
      <c r="X1007">
        <f>sumif(Plan!B:B,"261-167000-103",Plan!x:x)</f>
        <v>0</v>
      </c>
      <c r="Y1007">
        <f>sumif(Plan!B:B,"261-167000-103",Plan!y:y)</f>
        <v>0</v>
      </c>
      <c r="Z1007">
        <f>sumif(Plan!B:B,"261-167000-103",Plan!z:z)</f>
        <v>0</v>
      </c>
      <c r="AA1007">
        <f>sumif(Plan!B:B,"261-167000-103",Plan!aa:aa)</f>
        <v>0</v>
      </c>
      <c r="AB1007">
        <f>sumif(Plan!B:B,"261-167000-103",Plan!ab:ab)</f>
        <v>0</v>
      </c>
      <c r="AC1007">
        <f>sumif(Plan!B:B,"261-167000-103",Plan!ac:ac)</f>
        <v>0</v>
      </c>
      <c r="AD1007">
        <f>sumif(Plan!B:B,"261-167000-103",Plan!ad:ad)</f>
        <v>0</v>
      </c>
      <c r="AE1007">
        <f>sumif(Plan!B:B,"261-167000-103",Plan!ae:ae)</f>
        <v>0</v>
      </c>
      <c r="AF1007">
        <f>sumif(Plan!B:B,"261-167000-103",Plan!af:af)</f>
        <v>0</v>
      </c>
      <c r="AG1007">
        <f>sumif(Plan!B:B,"261-167000-103",Plan!ag:ag)</f>
        <v>0</v>
      </c>
      <c r="AH1007">
        <f>sumif(Plan!B:B,"261-167000-103",Plan!ah:ah)</f>
        <v>0</v>
      </c>
      <c r="AI1007">
        <f>sumif(Plan!B:B,"261-167000-103",Plan!ai:ai)</f>
        <v>0</v>
      </c>
      <c r="AJ1007">
        <f>sumif(Plan!B:B,"261-167000-103",Plan!aj:aj)</f>
        <v>0</v>
      </c>
      <c r="AK1007">
        <f>sumif(Plan!B:B,"261-167000-103",Plan!ak:ak)</f>
        <v>0</v>
      </c>
      <c r="AL1007">
        <f>sumif(Plan!B:B,"261-167000-103",Plan!al:al)</f>
        <v>0</v>
      </c>
      <c r="AM1007">
        <f>sumif(Plan!B:B,"261-167000-103",Plan!am:am)</f>
        <v>0</v>
      </c>
      <c r="AN1007">
        <f>sumif(Plan!B:B,"261-167000-103",Plan!an:an)</f>
        <v>0</v>
      </c>
      <c r="AO1007">
        <f>sumif(Plan!B:B,"261-167000-103",Plan!ao:ao)</f>
        <v>0</v>
      </c>
    </row>
    <row r="1008" spans="1:41">
      <c r="A1008" t="s">
        <v>22</v>
      </c>
      <c r="B1008" t="s">
        <v>605</v>
      </c>
      <c r="C1008" t="s">
        <v>652</v>
      </c>
      <c r="E1008">
        <v>1</v>
      </c>
      <c r="F1008" t="s">
        <v>13</v>
      </c>
      <c r="H1008" t="s">
        <v>16</v>
      </c>
      <c r="J1008">
        <f>indirect(address(1008,9))+indirect(address(1006,10))-indirect(address(1007,10))</f>
        <v>0</v>
      </c>
      <c r="K1008">
        <f>indirect(address(1008,10))+indirect(address(1006,11))-indirect(address(1007,11))</f>
        <v>0</v>
      </c>
      <c r="L1008">
        <f>indirect(address(1008,11))+indirect(address(1006,12))-indirect(address(1007,12))</f>
        <v>0</v>
      </c>
      <c r="M1008">
        <f>indirect(address(1008,12))+indirect(address(1006,13))-indirect(address(1007,13))</f>
        <v>0</v>
      </c>
      <c r="N1008">
        <f>indirect(address(1008,13))+indirect(address(1006,14))-indirect(address(1007,14))</f>
        <v>0</v>
      </c>
      <c r="O1008">
        <f>indirect(address(1008,14))+indirect(address(1006,15))-indirect(address(1007,15))</f>
        <v>0</v>
      </c>
      <c r="P1008">
        <f>indirect(address(1008,15))+indirect(address(1006,16))-indirect(address(1007,16))</f>
        <v>0</v>
      </c>
      <c r="Q1008">
        <f>indirect(address(1008,16))+indirect(address(1006,17))-indirect(address(1007,17))</f>
        <v>0</v>
      </c>
      <c r="R1008">
        <f>indirect(address(1008,17))+indirect(address(1006,18))-indirect(address(1007,18))</f>
        <v>0</v>
      </c>
      <c r="S1008">
        <f>indirect(address(1008,18))+indirect(address(1006,19))-indirect(address(1007,19))</f>
        <v>0</v>
      </c>
      <c r="T1008">
        <f>indirect(address(1008,19))+indirect(address(1006,20))-indirect(address(1007,20))</f>
        <v>0</v>
      </c>
      <c r="U1008">
        <f>indirect(address(1008,20))+indirect(address(1006,21))-indirect(address(1007,21))</f>
        <v>0</v>
      </c>
      <c r="V1008">
        <f>indirect(address(1008,21))+indirect(address(1006,22))-indirect(address(1007,22))</f>
        <v>0</v>
      </c>
      <c r="W1008">
        <f>indirect(address(1008,22))+indirect(address(1006,23))-indirect(address(1007,23))</f>
        <v>0</v>
      </c>
      <c r="X1008">
        <f>indirect(address(1008,23))+indirect(address(1006,24))-indirect(address(1007,24))</f>
        <v>0</v>
      </c>
      <c r="Y1008">
        <f>indirect(address(1008,24))+indirect(address(1006,25))-indirect(address(1007,25))</f>
        <v>0</v>
      </c>
      <c r="Z1008">
        <f>indirect(address(1008,25))+indirect(address(1006,26))-indirect(address(1007,26))</f>
        <v>0</v>
      </c>
      <c r="AA1008">
        <f>indirect(address(1008,26))+indirect(address(1006,27))-indirect(address(1007,27))</f>
        <v>0</v>
      </c>
      <c r="AB1008">
        <f>indirect(address(1008,27))+indirect(address(1006,28))-indirect(address(1007,28))</f>
        <v>0</v>
      </c>
      <c r="AC1008">
        <f>indirect(address(1008,28))+indirect(address(1006,29))-indirect(address(1007,29))</f>
        <v>0</v>
      </c>
      <c r="AD1008">
        <f>indirect(address(1008,29))+indirect(address(1006,30))-indirect(address(1007,30))</f>
        <v>0</v>
      </c>
      <c r="AE1008">
        <f>indirect(address(1008,30))+indirect(address(1006,31))-indirect(address(1007,31))</f>
        <v>0</v>
      </c>
      <c r="AF1008">
        <f>indirect(address(1008,31))+indirect(address(1006,32))-indirect(address(1007,32))</f>
        <v>0</v>
      </c>
      <c r="AG1008">
        <f>indirect(address(1008,32))+indirect(address(1006,33))-indirect(address(1007,33))</f>
        <v>0</v>
      </c>
      <c r="AH1008">
        <f>indirect(address(1008,33))+indirect(address(1006,34))-indirect(address(1007,34))</f>
        <v>0</v>
      </c>
      <c r="AI1008">
        <f>indirect(address(1008,34))+indirect(address(1006,35))-indirect(address(1007,35))</f>
        <v>0</v>
      </c>
      <c r="AJ1008">
        <f>indirect(address(1008,35))+indirect(address(1006,36))-indirect(address(1007,36))</f>
        <v>0</v>
      </c>
      <c r="AK1008">
        <f>indirect(address(1008,36))+indirect(address(1006,37))-indirect(address(1007,37))</f>
        <v>0</v>
      </c>
      <c r="AL1008">
        <f>indirect(address(1008,37))+indirect(address(1006,38))-indirect(address(1007,38))</f>
        <v>0</v>
      </c>
      <c r="AM1008">
        <f>indirect(address(1008,38))+indirect(address(1006,39))-indirect(address(1007,39))</f>
        <v>0</v>
      </c>
      <c r="AN1008">
        <f>indirect(address(1008,39))+indirect(address(1006,40))-indirect(address(1007,40))</f>
        <v>0</v>
      </c>
      <c r="AO1008">
        <f>indirect(address(1008,40))+indirect(address(1006,41))-indirect(address(1007,41))</f>
        <v>0</v>
      </c>
    </row>
    <row r="1009" spans="1:41">
      <c r="I1009" t="s">
        <v>14</v>
      </c>
      <c r="AO1009">
        <f>sum(j1009:an1009)</f>
        <v>0</v>
      </c>
    </row>
    <row r="1010" spans="1:41">
      <c r="I1010" t="s">
        <v>15</v>
      </c>
      <c r="J1010">
        <f>sumif(Plan!B:B,"261-015000-254",Plan!j:j)</f>
        <v>0</v>
      </c>
      <c r="K1010">
        <f>sumif(Plan!B:B,"261-015000-254",Plan!k:k)</f>
        <v>0</v>
      </c>
      <c r="L1010">
        <f>sumif(Plan!B:B,"261-015000-254",Plan!l:l)</f>
        <v>0</v>
      </c>
      <c r="M1010">
        <f>sumif(Plan!B:B,"261-015000-254",Plan!m:m)</f>
        <v>0</v>
      </c>
      <c r="N1010">
        <f>sumif(Plan!B:B,"261-015000-254",Plan!n:n)</f>
        <v>0</v>
      </c>
      <c r="O1010">
        <f>sumif(Plan!B:B,"261-015000-254",Plan!o:o)</f>
        <v>0</v>
      </c>
      <c r="P1010">
        <f>sumif(Plan!B:B,"261-015000-254",Plan!p:p)</f>
        <v>0</v>
      </c>
      <c r="Q1010">
        <f>sumif(Plan!B:B,"261-015000-254",Plan!q:q)</f>
        <v>0</v>
      </c>
      <c r="R1010">
        <f>sumif(Plan!B:B,"261-015000-254",Plan!r:r)</f>
        <v>0</v>
      </c>
      <c r="S1010">
        <f>sumif(Plan!B:B,"261-015000-254",Plan!s:s)</f>
        <v>0</v>
      </c>
      <c r="T1010">
        <f>sumif(Plan!B:B,"261-015000-254",Plan!t:t)</f>
        <v>0</v>
      </c>
      <c r="U1010">
        <f>sumif(Plan!B:B,"261-015000-254",Plan!u:u)</f>
        <v>0</v>
      </c>
      <c r="V1010">
        <f>sumif(Plan!B:B,"261-015000-254",Plan!v:v)</f>
        <v>0</v>
      </c>
      <c r="W1010">
        <f>sumif(Plan!B:B,"261-015000-254",Plan!w:w)</f>
        <v>0</v>
      </c>
      <c r="X1010">
        <f>sumif(Plan!B:B,"261-015000-254",Plan!x:x)</f>
        <v>0</v>
      </c>
      <c r="Y1010">
        <f>sumif(Plan!B:B,"261-015000-254",Plan!y:y)</f>
        <v>0</v>
      </c>
      <c r="Z1010">
        <f>sumif(Plan!B:B,"261-015000-254",Plan!z:z)</f>
        <v>0</v>
      </c>
      <c r="AA1010">
        <f>sumif(Plan!B:B,"261-015000-254",Plan!aa:aa)</f>
        <v>0</v>
      </c>
      <c r="AB1010">
        <f>sumif(Plan!B:B,"261-015000-254",Plan!ab:ab)</f>
        <v>0</v>
      </c>
      <c r="AC1010">
        <f>sumif(Plan!B:B,"261-015000-254",Plan!ac:ac)</f>
        <v>0</v>
      </c>
      <c r="AD1010">
        <f>sumif(Plan!B:B,"261-015000-254",Plan!ad:ad)</f>
        <v>0</v>
      </c>
      <c r="AE1010">
        <f>sumif(Plan!B:B,"261-015000-254",Plan!ae:ae)</f>
        <v>0</v>
      </c>
      <c r="AF1010">
        <f>sumif(Plan!B:B,"261-015000-254",Plan!af:af)</f>
        <v>0</v>
      </c>
      <c r="AG1010">
        <f>sumif(Plan!B:B,"261-015000-254",Plan!ag:ag)</f>
        <v>0</v>
      </c>
      <c r="AH1010">
        <f>sumif(Plan!B:B,"261-015000-254",Plan!ah:ah)</f>
        <v>0</v>
      </c>
      <c r="AI1010">
        <f>sumif(Plan!B:B,"261-015000-254",Plan!ai:ai)</f>
        <v>0</v>
      </c>
      <c r="AJ1010">
        <f>sumif(Plan!B:B,"261-015000-254",Plan!aj:aj)</f>
        <v>0</v>
      </c>
      <c r="AK1010">
        <f>sumif(Plan!B:B,"261-015000-254",Plan!ak:ak)</f>
        <v>0</v>
      </c>
      <c r="AL1010">
        <f>sumif(Plan!B:B,"261-015000-254",Plan!al:al)</f>
        <v>0</v>
      </c>
      <c r="AM1010">
        <f>sumif(Plan!B:B,"261-015000-254",Plan!am:am)</f>
        <v>0</v>
      </c>
      <c r="AN1010">
        <f>sumif(Plan!B:B,"261-015000-254",Plan!an:an)</f>
        <v>0</v>
      </c>
      <c r="AO1010">
        <f>sumif(Plan!B:B,"261-015000-254",Plan!ao:ao)</f>
        <v>0</v>
      </c>
    </row>
    <row r="1011" spans="1:41">
      <c r="A1011" t="s">
        <v>22</v>
      </c>
      <c r="B1011" t="s">
        <v>609</v>
      </c>
      <c r="C1011" t="s">
        <v>658</v>
      </c>
      <c r="E1011">
        <v>1</v>
      </c>
      <c r="F1011" t="s">
        <v>13</v>
      </c>
      <c r="H1011" t="s">
        <v>16</v>
      </c>
      <c r="J1011">
        <f>indirect(address(1011,9))+indirect(address(1009,10))-indirect(address(1010,10))</f>
        <v>0</v>
      </c>
      <c r="K1011">
        <f>indirect(address(1011,10))+indirect(address(1009,11))-indirect(address(1010,11))</f>
        <v>0</v>
      </c>
      <c r="L1011">
        <f>indirect(address(1011,11))+indirect(address(1009,12))-indirect(address(1010,12))</f>
        <v>0</v>
      </c>
      <c r="M1011">
        <f>indirect(address(1011,12))+indirect(address(1009,13))-indirect(address(1010,13))</f>
        <v>0</v>
      </c>
      <c r="N1011">
        <f>indirect(address(1011,13))+indirect(address(1009,14))-indirect(address(1010,14))</f>
        <v>0</v>
      </c>
      <c r="O1011">
        <f>indirect(address(1011,14))+indirect(address(1009,15))-indirect(address(1010,15))</f>
        <v>0</v>
      </c>
      <c r="P1011">
        <f>indirect(address(1011,15))+indirect(address(1009,16))-indirect(address(1010,16))</f>
        <v>0</v>
      </c>
      <c r="Q1011">
        <f>indirect(address(1011,16))+indirect(address(1009,17))-indirect(address(1010,17))</f>
        <v>0</v>
      </c>
      <c r="R1011">
        <f>indirect(address(1011,17))+indirect(address(1009,18))-indirect(address(1010,18))</f>
        <v>0</v>
      </c>
      <c r="S1011">
        <f>indirect(address(1011,18))+indirect(address(1009,19))-indirect(address(1010,19))</f>
        <v>0</v>
      </c>
      <c r="T1011">
        <f>indirect(address(1011,19))+indirect(address(1009,20))-indirect(address(1010,20))</f>
        <v>0</v>
      </c>
      <c r="U1011">
        <f>indirect(address(1011,20))+indirect(address(1009,21))-indirect(address(1010,21))</f>
        <v>0</v>
      </c>
      <c r="V1011">
        <f>indirect(address(1011,21))+indirect(address(1009,22))-indirect(address(1010,22))</f>
        <v>0</v>
      </c>
      <c r="W1011">
        <f>indirect(address(1011,22))+indirect(address(1009,23))-indirect(address(1010,23))</f>
        <v>0</v>
      </c>
      <c r="X1011">
        <f>indirect(address(1011,23))+indirect(address(1009,24))-indirect(address(1010,24))</f>
        <v>0</v>
      </c>
      <c r="Y1011">
        <f>indirect(address(1011,24))+indirect(address(1009,25))-indirect(address(1010,25))</f>
        <v>0</v>
      </c>
      <c r="Z1011">
        <f>indirect(address(1011,25))+indirect(address(1009,26))-indirect(address(1010,26))</f>
        <v>0</v>
      </c>
      <c r="AA1011">
        <f>indirect(address(1011,26))+indirect(address(1009,27))-indirect(address(1010,27))</f>
        <v>0</v>
      </c>
      <c r="AB1011">
        <f>indirect(address(1011,27))+indirect(address(1009,28))-indirect(address(1010,28))</f>
        <v>0</v>
      </c>
      <c r="AC1011">
        <f>indirect(address(1011,28))+indirect(address(1009,29))-indirect(address(1010,29))</f>
        <v>0</v>
      </c>
      <c r="AD1011">
        <f>indirect(address(1011,29))+indirect(address(1009,30))-indirect(address(1010,30))</f>
        <v>0</v>
      </c>
      <c r="AE1011">
        <f>indirect(address(1011,30))+indirect(address(1009,31))-indirect(address(1010,31))</f>
        <v>0</v>
      </c>
      <c r="AF1011">
        <f>indirect(address(1011,31))+indirect(address(1009,32))-indirect(address(1010,32))</f>
        <v>0</v>
      </c>
      <c r="AG1011">
        <f>indirect(address(1011,32))+indirect(address(1009,33))-indirect(address(1010,33))</f>
        <v>0</v>
      </c>
      <c r="AH1011">
        <f>indirect(address(1011,33))+indirect(address(1009,34))-indirect(address(1010,34))</f>
        <v>0</v>
      </c>
      <c r="AI1011">
        <f>indirect(address(1011,34))+indirect(address(1009,35))-indirect(address(1010,35))</f>
        <v>0</v>
      </c>
      <c r="AJ1011">
        <f>indirect(address(1011,35))+indirect(address(1009,36))-indirect(address(1010,36))</f>
        <v>0</v>
      </c>
      <c r="AK1011">
        <f>indirect(address(1011,36))+indirect(address(1009,37))-indirect(address(1010,37))</f>
        <v>0</v>
      </c>
      <c r="AL1011">
        <f>indirect(address(1011,37))+indirect(address(1009,38))-indirect(address(1010,38))</f>
        <v>0</v>
      </c>
      <c r="AM1011">
        <f>indirect(address(1011,38))+indirect(address(1009,39))-indirect(address(1010,39))</f>
        <v>0</v>
      </c>
      <c r="AN1011">
        <f>indirect(address(1011,39))+indirect(address(1009,40))-indirect(address(1010,40))</f>
        <v>0</v>
      </c>
      <c r="AO1011">
        <f>indirect(address(1011,40))+indirect(address(1009,41))-indirect(address(1010,41))</f>
        <v>0</v>
      </c>
    </row>
    <row r="1012" spans="1:41">
      <c r="I1012" t="s">
        <v>14</v>
      </c>
      <c r="AO1012">
        <f>sum(j1012:an1012)</f>
        <v>0</v>
      </c>
    </row>
    <row r="1013" spans="1:41">
      <c r="I1013" t="s">
        <v>15</v>
      </c>
      <c r="J1013">
        <f>sumif(Plan!B:B,"261-005000-254",Plan!j:j)</f>
        <v>0</v>
      </c>
      <c r="K1013">
        <f>sumif(Plan!B:B,"261-005000-254",Plan!k:k)</f>
        <v>0</v>
      </c>
      <c r="L1013">
        <f>sumif(Plan!B:B,"261-005000-254",Plan!l:l)</f>
        <v>0</v>
      </c>
      <c r="M1013">
        <f>sumif(Plan!B:B,"261-005000-254",Plan!m:m)</f>
        <v>0</v>
      </c>
      <c r="N1013">
        <f>sumif(Plan!B:B,"261-005000-254",Plan!n:n)</f>
        <v>0</v>
      </c>
      <c r="O1013">
        <f>sumif(Plan!B:B,"261-005000-254",Plan!o:o)</f>
        <v>0</v>
      </c>
      <c r="P1013">
        <f>sumif(Plan!B:B,"261-005000-254",Plan!p:p)</f>
        <v>0</v>
      </c>
      <c r="Q1013">
        <f>sumif(Plan!B:B,"261-005000-254",Plan!q:q)</f>
        <v>0</v>
      </c>
      <c r="R1013">
        <f>sumif(Plan!B:B,"261-005000-254",Plan!r:r)</f>
        <v>0</v>
      </c>
      <c r="S1013">
        <f>sumif(Plan!B:B,"261-005000-254",Plan!s:s)</f>
        <v>0</v>
      </c>
      <c r="T1013">
        <f>sumif(Plan!B:B,"261-005000-254",Plan!t:t)</f>
        <v>0</v>
      </c>
      <c r="U1013">
        <f>sumif(Plan!B:B,"261-005000-254",Plan!u:u)</f>
        <v>0</v>
      </c>
      <c r="V1013">
        <f>sumif(Plan!B:B,"261-005000-254",Plan!v:v)</f>
        <v>0</v>
      </c>
      <c r="W1013">
        <f>sumif(Plan!B:B,"261-005000-254",Plan!w:w)</f>
        <v>0</v>
      </c>
      <c r="X1013">
        <f>sumif(Plan!B:B,"261-005000-254",Plan!x:x)</f>
        <v>0</v>
      </c>
      <c r="Y1013">
        <f>sumif(Plan!B:B,"261-005000-254",Plan!y:y)</f>
        <v>0</v>
      </c>
      <c r="Z1013">
        <f>sumif(Plan!B:B,"261-005000-254",Plan!z:z)</f>
        <v>0</v>
      </c>
      <c r="AA1013">
        <f>sumif(Plan!B:B,"261-005000-254",Plan!aa:aa)</f>
        <v>0</v>
      </c>
      <c r="AB1013">
        <f>sumif(Plan!B:B,"261-005000-254",Plan!ab:ab)</f>
        <v>0</v>
      </c>
      <c r="AC1013">
        <f>sumif(Plan!B:B,"261-005000-254",Plan!ac:ac)</f>
        <v>0</v>
      </c>
      <c r="AD1013">
        <f>sumif(Plan!B:B,"261-005000-254",Plan!ad:ad)</f>
        <v>0</v>
      </c>
      <c r="AE1013">
        <f>sumif(Plan!B:B,"261-005000-254",Plan!ae:ae)</f>
        <v>0</v>
      </c>
      <c r="AF1013">
        <f>sumif(Plan!B:B,"261-005000-254",Plan!af:af)</f>
        <v>0</v>
      </c>
      <c r="AG1013">
        <f>sumif(Plan!B:B,"261-005000-254",Plan!ag:ag)</f>
        <v>0</v>
      </c>
      <c r="AH1013">
        <f>sumif(Plan!B:B,"261-005000-254",Plan!ah:ah)</f>
        <v>0</v>
      </c>
      <c r="AI1013">
        <f>sumif(Plan!B:B,"261-005000-254",Plan!ai:ai)</f>
        <v>0</v>
      </c>
      <c r="AJ1013">
        <f>sumif(Plan!B:B,"261-005000-254",Plan!aj:aj)</f>
        <v>0</v>
      </c>
      <c r="AK1013">
        <f>sumif(Plan!B:B,"261-005000-254",Plan!ak:ak)</f>
        <v>0</v>
      </c>
      <c r="AL1013">
        <f>sumif(Plan!B:B,"261-005000-254",Plan!al:al)</f>
        <v>0</v>
      </c>
      <c r="AM1013">
        <f>sumif(Plan!B:B,"261-005000-254",Plan!am:am)</f>
        <v>0</v>
      </c>
      <c r="AN1013">
        <f>sumif(Plan!B:B,"261-005000-254",Plan!an:an)</f>
        <v>0</v>
      </c>
      <c r="AO1013">
        <f>sumif(Plan!B:B,"261-005000-254",Plan!ao:ao)</f>
        <v>0</v>
      </c>
    </row>
    <row r="1014" spans="1:41">
      <c r="A1014" t="s">
        <v>22</v>
      </c>
      <c r="B1014" t="s">
        <v>607</v>
      </c>
      <c r="C1014" t="s">
        <v>622</v>
      </c>
      <c r="E1014">
        <v>1</v>
      </c>
      <c r="F1014" t="s">
        <v>13</v>
      </c>
      <c r="H1014" t="s">
        <v>16</v>
      </c>
      <c r="J1014">
        <f>indirect(address(1014,9))+indirect(address(1012,10))-indirect(address(1013,10))</f>
        <v>0</v>
      </c>
      <c r="K1014">
        <f>indirect(address(1014,10))+indirect(address(1012,11))-indirect(address(1013,11))</f>
        <v>0</v>
      </c>
      <c r="L1014">
        <f>indirect(address(1014,11))+indirect(address(1012,12))-indirect(address(1013,12))</f>
        <v>0</v>
      </c>
      <c r="M1014">
        <f>indirect(address(1014,12))+indirect(address(1012,13))-indirect(address(1013,13))</f>
        <v>0</v>
      </c>
      <c r="N1014">
        <f>indirect(address(1014,13))+indirect(address(1012,14))-indirect(address(1013,14))</f>
        <v>0</v>
      </c>
      <c r="O1014">
        <f>indirect(address(1014,14))+indirect(address(1012,15))-indirect(address(1013,15))</f>
        <v>0</v>
      </c>
      <c r="P1014">
        <f>indirect(address(1014,15))+indirect(address(1012,16))-indirect(address(1013,16))</f>
        <v>0</v>
      </c>
      <c r="Q1014">
        <f>indirect(address(1014,16))+indirect(address(1012,17))-indirect(address(1013,17))</f>
        <v>0</v>
      </c>
      <c r="R1014">
        <f>indirect(address(1014,17))+indirect(address(1012,18))-indirect(address(1013,18))</f>
        <v>0</v>
      </c>
      <c r="S1014">
        <f>indirect(address(1014,18))+indirect(address(1012,19))-indirect(address(1013,19))</f>
        <v>0</v>
      </c>
      <c r="T1014">
        <f>indirect(address(1014,19))+indirect(address(1012,20))-indirect(address(1013,20))</f>
        <v>0</v>
      </c>
      <c r="U1014">
        <f>indirect(address(1014,20))+indirect(address(1012,21))-indirect(address(1013,21))</f>
        <v>0</v>
      </c>
      <c r="V1014">
        <f>indirect(address(1014,21))+indirect(address(1012,22))-indirect(address(1013,22))</f>
        <v>0</v>
      </c>
      <c r="W1014">
        <f>indirect(address(1014,22))+indirect(address(1012,23))-indirect(address(1013,23))</f>
        <v>0</v>
      </c>
      <c r="X1014">
        <f>indirect(address(1014,23))+indirect(address(1012,24))-indirect(address(1013,24))</f>
        <v>0</v>
      </c>
      <c r="Y1014">
        <f>indirect(address(1014,24))+indirect(address(1012,25))-indirect(address(1013,25))</f>
        <v>0</v>
      </c>
      <c r="Z1014">
        <f>indirect(address(1014,25))+indirect(address(1012,26))-indirect(address(1013,26))</f>
        <v>0</v>
      </c>
      <c r="AA1014">
        <f>indirect(address(1014,26))+indirect(address(1012,27))-indirect(address(1013,27))</f>
        <v>0</v>
      </c>
      <c r="AB1014">
        <f>indirect(address(1014,27))+indirect(address(1012,28))-indirect(address(1013,28))</f>
        <v>0</v>
      </c>
      <c r="AC1014">
        <f>indirect(address(1014,28))+indirect(address(1012,29))-indirect(address(1013,29))</f>
        <v>0</v>
      </c>
      <c r="AD1014">
        <f>indirect(address(1014,29))+indirect(address(1012,30))-indirect(address(1013,30))</f>
        <v>0</v>
      </c>
      <c r="AE1014">
        <f>indirect(address(1014,30))+indirect(address(1012,31))-indirect(address(1013,31))</f>
        <v>0</v>
      </c>
      <c r="AF1014">
        <f>indirect(address(1014,31))+indirect(address(1012,32))-indirect(address(1013,32))</f>
        <v>0</v>
      </c>
      <c r="AG1014">
        <f>indirect(address(1014,32))+indirect(address(1012,33))-indirect(address(1013,33))</f>
        <v>0</v>
      </c>
      <c r="AH1014">
        <f>indirect(address(1014,33))+indirect(address(1012,34))-indirect(address(1013,34))</f>
        <v>0</v>
      </c>
      <c r="AI1014">
        <f>indirect(address(1014,34))+indirect(address(1012,35))-indirect(address(1013,35))</f>
        <v>0</v>
      </c>
      <c r="AJ1014">
        <f>indirect(address(1014,35))+indirect(address(1012,36))-indirect(address(1013,36))</f>
        <v>0</v>
      </c>
      <c r="AK1014">
        <f>indirect(address(1014,36))+indirect(address(1012,37))-indirect(address(1013,37))</f>
        <v>0</v>
      </c>
      <c r="AL1014">
        <f>indirect(address(1014,37))+indirect(address(1012,38))-indirect(address(1013,38))</f>
        <v>0</v>
      </c>
      <c r="AM1014">
        <f>indirect(address(1014,38))+indirect(address(1012,39))-indirect(address(1013,39))</f>
        <v>0</v>
      </c>
      <c r="AN1014">
        <f>indirect(address(1014,39))+indirect(address(1012,40))-indirect(address(1013,40))</f>
        <v>0</v>
      </c>
      <c r="AO1014">
        <f>indirect(address(1014,40))+indirect(address(1012,41))-indirect(address(1013,41))</f>
        <v>0</v>
      </c>
    </row>
    <row r="1015" spans="1:41">
      <c r="I1015" t="s">
        <v>14</v>
      </c>
      <c r="AO1015">
        <f>sum(j1015:an1015)</f>
        <v>0</v>
      </c>
    </row>
    <row r="1016" spans="1:41">
      <c r="I1016" t="s">
        <v>15</v>
      </c>
      <c r="J1016">
        <f>sumif(Plan!B:B,"261-019500-254",Plan!j:j)</f>
        <v>0</v>
      </c>
      <c r="K1016">
        <f>sumif(Plan!B:B,"261-019500-254",Plan!k:k)</f>
        <v>0</v>
      </c>
      <c r="L1016">
        <f>sumif(Plan!B:B,"261-019500-254",Plan!l:l)</f>
        <v>0</v>
      </c>
      <c r="M1016">
        <f>sumif(Plan!B:B,"261-019500-254",Plan!m:m)</f>
        <v>0</v>
      </c>
      <c r="N1016">
        <f>sumif(Plan!B:B,"261-019500-254",Plan!n:n)</f>
        <v>0</v>
      </c>
      <c r="O1016">
        <f>sumif(Plan!B:B,"261-019500-254",Plan!o:o)</f>
        <v>0</v>
      </c>
      <c r="P1016">
        <f>sumif(Plan!B:B,"261-019500-254",Plan!p:p)</f>
        <v>0</v>
      </c>
      <c r="Q1016">
        <f>sumif(Plan!B:B,"261-019500-254",Plan!q:q)</f>
        <v>0</v>
      </c>
      <c r="R1016">
        <f>sumif(Plan!B:B,"261-019500-254",Plan!r:r)</f>
        <v>0</v>
      </c>
      <c r="S1016">
        <f>sumif(Plan!B:B,"261-019500-254",Plan!s:s)</f>
        <v>0</v>
      </c>
      <c r="T1016">
        <f>sumif(Plan!B:B,"261-019500-254",Plan!t:t)</f>
        <v>0</v>
      </c>
      <c r="U1016">
        <f>sumif(Plan!B:B,"261-019500-254",Plan!u:u)</f>
        <v>0</v>
      </c>
      <c r="V1016">
        <f>sumif(Plan!B:B,"261-019500-254",Plan!v:v)</f>
        <v>0</v>
      </c>
      <c r="W1016">
        <f>sumif(Plan!B:B,"261-019500-254",Plan!w:w)</f>
        <v>0</v>
      </c>
      <c r="X1016">
        <f>sumif(Plan!B:B,"261-019500-254",Plan!x:x)</f>
        <v>0</v>
      </c>
      <c r="Y1016">
        <f>sumif(Plan!B:B,"261-019500-254",Plan!y:y)</f>
        <v>0</v>
      </c>
      <c r="Z1016">
        <f>sumif(Plan!B:B,"261-019500-254",Plan!z:z)</f>
        <v>0</v>
      </c>
      <c r="AA1016">
        <f>sumif(Plan!B:B,"261-019500-254",Plan!aa:aa)</f>
        <v>0</v>
      </c>
      <c r="AB1016">
        <f>sumif(Plan!B:B,"261-019500-254",Plan!ab:ab)</f>
        <v>0</v>
      </c>
      <c r="AC1016">
        <f>sumif(Plan!B:B,"261-019500-254",Plan!ac:ac)</f>
        <v>0</v>
      </c>
      <c r="AD1016">
        <f>sumif(Plan!B:B,"261-019500-254",Plan!ad:ad)</f>
        <v>0</v>
      </c>
      <c r="AE1016">
        <f>sumif(Plan!B:B,"261-019500-254",Plan!ae:ae)</f>
        <v>0</v>
      </c>
      <c r="AF1016">
        <f>sumif(Plan!B:B,"261-019500-254",Plan!af:af)</f>
        <v>0</v>
      </c>
      <c r="AG1016">
        <f>sumif(Plan!B:B,"261-019500-254",Plan!ag:ag)</f>
        <v>0</v>
      </c>
      <c r="AH1016">
        <f>sumif(Plan!B:B,"261-019500-254",Plan!ah:ah)</f>
        <v>0</v>
      </c>
      <c r="AI1016">
        <f>sumif(Plan!B:B,"261-019500-254",Plan!ai:ai)</f>
        <v>0</v>
      </c>
      <c r="AJ1016">
        <f>sumif(Plan!B:B,"261-019500-254",Plan!aj:aj)</f>
        <v>0</v>
      </c>
      <c r="AK1016">
        <f>sumif(Plan!B:B,"261-019500-254",Plan!ak:ak)</f>
        <v>0</v>
      </c>
      <c r="AL1016">
        <f>sumif(Plan!B:B,"261-019500-254",Plan!al:al)</f>
        <v>0</v>
      </c>
      <c r="AM1016">
        <f>sumif(Plan!B:B,"261-019500-254",Plan!am:am)</f>
        <v>0</v>
      </c>
      <c r="AN1016">
        <f>sumif(Plan!B:B,"261-019500-254",Plan!an:an)</f>
        <v>0</v>
      </c>
      <c r="AO1016">
        <f>sumif(Plan!B:B,"261-019500-254",Plan!ao:ao)</f>
        <v>0</v>
      </c>
    </row>
    <row r="1017" spans="1:41">
      <c r="A1017" t="s">
        <v>22</v>
      </c>
      <c r="B1017" t="s">
        <v>613</v>
      </c>
      <c r="C1017" t="s">
        <v>656</v>
      </c>
      <c r="E1017">
        <v>1</v>
      </c>
      <c r="F1017" t="s">
        <v>13</v>
      </c>
      <c r="H1017" t="s">
        <v>16</v>
      </c>
      <c r="J1017">
        <f>indirect(address(1017,9))+indirect(address(1015,10))-indirect(address(1016,10))</f>
        <v>0</v>
      </c>
      <c r="K1017">
        <f>indirect(address(1017,10))+indirect(address(1015,11))-indirect(address(1016,11))</f>
        <v>0</v>
      </c>
      <c r="L1017">
        <f>indirect(address(1017,11))+indirect(address(1015,12))-indirect(address(1016,12))</f>
        <v>0</v>
      </c>
      <c r="M1017">
        <f>indirect(address(1017,12))+indirect(address(1015,13))-indirect(address(1016,13))</f>
        <v>0</v>
      </c>
      <c r="N1017">
        <f>indirect(address(1017,13))+indirect(address(1015,14))-indirect(address(1016,14))</f>
        <v>0</v>
      </c>
      <c r="O1017">
        <f>indirect(address(1017,14))+indirect(address(1015,15))-indirect(address(1016,15))</f>
        <v>0</v>
      </c>
      <c r="P1017">
        <f>indirect(address(1017,15))+indirect(address(1015,16))-indirect(address(1016,16))</f>
        <v>0</v>
      </c>
      <c r="Q1017">
        <f>indirect(address(1017,16))+indirect(address(1015,17))-indirect(address(1016,17))</f>
        <v>0</v>
      </c>
      <c r="R1017">
        <f>indirect(address(1017,17))+indirect(address(1015,18))-indirect(address(1016,18))</f>
        <v>0</v>
      </c>
      <c r="S1017">
        <f>indirect(address(1017,18))+indirect(address(1015,19))-indirect(address(1016,19))</f>
        <v>0</v>
      </c>
      <c r="T1017">
        <f>indirect(address(1017,19))+indirect(address(1015,20))-indirect(address(1016,20))</f>
        <v>0</v>
      </c>
      <c r="U1017">
        <f>indirect(address(1017,20))+indirect(address(1015,21))-indirect(address(1016,21))</f>
        <v>0</v>
      </c>
      <c r="V1017">
        <f>indirect(address(1017,21))+indirect(address(1015,22))-indirect(address(1016,22))</f>
        <v>0</v>
      </c>
      <c r="W1017">
        <f>indirect(address(1017,22))+indirect(address(1015,23))-indirect(address(1016,23))</f>
        <v>0</v>
      </c>
      <c r="X1017">
        <f>indirect(address(1017,23))+indirect(address(1015,24))-indirect(address(1016,24))</f>
        <v>0</v>
      </c>
      <c r="Y1017">
        <f>indirect(address(1017,24))+indirect(address(1015,25))-indirect(address(1016,25))</f>
        <v>0</v>
      </c>
      <c r="Z1017">
        <f>indirect(address(1017,25))+indirect(address(1015,26))-indirect(address(1016,26))</f>
        <v>0</v>
      </c>
      <c r="AA1017">
        <f>indirect(address(1017,26))+indirect(address(1015,27))-indirect(address(1016,27))</f>
        <v>0</v>
      </c>
      <c r="AB1017">
        <f>indirect(address(1017,27))+indirect(address(1015,28))-indirect(address(1016,28))</f>
        <v>0</v>
      </c>
      <c r="AC1017">
        <f>indirect(address(1017,28))+indirect(address(1015,29))-indirect(address(1016,29))</f>
        <v>0</v>
      </c>
      <c r="AD1017">
        <f>indirect(address(1017,29))+indirect(address(1015,30))-indirect(address(1016,30))</f>
        <v>0</v>
      </c>
      <c r="AE1017">
        <f>indirect(address(1017,30))+indirect(address(1015,31))-indirect(address(1016,31))</f>
        <v>0</v>
      </c>
      <c r="AF1017">
        <f>indirect(address(1017,31))+indirect(address(1015,32))-indirect(address(1016,32))</f>
        <v>0</v>
      </c>
      <c r="AG1017">
        <f>indirect(address(1017,32))+indirect(address(1015,33))-indirect(address(1016,33))</f>
        <v>0</v>
      </c>
      <c r="AH1017">
        <f>indirect(address(1017,33))+indirect(address(1015,34))-indirect(address(1016,34))</f>
        <v>0</v>
      </c>
      <c r="AI1017">
        <f>indirect(address(1017,34))+indirect(address(1015,35))-indirect(address(1016,35))</f>
        <v>0</v>
      </c>
      <c r="AJ1017">
        <f>indirect(address(1017,35))+indirect(address(1015,36))-indirect(address(1016,36))</f>
        <v>0</v>
      </c>
      <c r="AK1017">
        <f>indirect(address(1017,36))+indirect(address(1015,37))-indirect(address(1016,37))</f>
        <v>0</v>
      </c>
      <c r="AL1017">
        <f>indirect(address(1017,37))+indirect(address(1015,38))-indirect(address(1016,38))</f>
        <v>0</v>
      </c>
      <c r="AM1017">
        <f>indirect(address(1017,38))+indirect(address(1015,39))-indirect(address(1016,39))</f>
        <v>0</v>
      </c>
      <c r="AN1017">
        <f>indirect(address(1017,39))+indirect(address(1015,40))-indirect(address(1016,40))</f>
        <v>0</v>
      </c>
      <c r="AO1017">
        <f>indirect(address(1017,40))+indirect(address(1015,41))-indirect(address(1016,41))</f>
        <v>0</v>
      </c>
    </row>
    <row r="1018" spans="1:41">
      <c r="I1018" t="s">
        <v>14</v>
      </c>
      <c r="AO1018">
        <f>sum(j1018:an1018)</f>
        <v>0</v>
      </c>
    </row>
    <row r="1019" spans="1:41">
      <c r="I1019" t="s">
        <v>15</v>
      </c>
      <c r="J1019">
        <f>sumif(Plan!B:B,"261-012000-254",Plan!j:j)</f>
        <v>0</v>
      </c>
      <c r="K1019">
        <f>sumif(Plan!B:B,"261-012000-254",Plan!k:k)</f>
        <v>0</v>
      </c>
      <c r="L1019">
        <f>sumif(Plan!B:B,"261-012000-254",Plan!l:l)</f>
        <v>0</v>
      </c>
      <c r="M1019">
        <f>sumif(Plan!B:B,"261-012000-254",Plan!m:m)</f>
        <v>0</v>
      </c>
      <c r="N1019">
        <f>sumif(Plan!B:B,"261-012000-254",Plan!n:n)</f>
        <v>0</v>
      </c>
      <c r="O1019">
        <f>sumif(Plan!B:B,"261-012000-254",Plan!o:o)</f>
        <v>0</v>
      </c>
      <c r="P1019">
        <f>sumif(Plan!B:B,"261-012000-254",Plan!p:p)</f>
        <v>0</v>
      </c>
      <c r="Q1019">
        <f>sumif(Plan!B:B,"261-012000-254",Plan!q:q)</f>
        <v>0</v>
      </c>
      <c r="R1019">
        <f>sumif(Plan!B:B,"261-012000-254",Plan!r:r)</f>
        <v>0</v>
      </c>
      <c r="S1019">
        <f>sumif(Plan!B:B,"261-012000-254",Plan!s:s)</f>
        <v>0</v>
      </c>
      <c r="T1019">
        <f>sumif(Plan!B:B,"261-012000-254",Plan!t:t)</f>
        <v>0</v>
      </c>
      <c r="U1019">
        <f>sumif(Plan!B:B,"261-012000-254",Plan!u:u)</f>
        <v>0</v>
      </c>
      <c r="V1019">
        <f>sumif(Plan!B:B,"261-012000-254",Plan!v:v)</f>
        <v>0</v>
      </c>
      <c r="W1019">
        <f>sumif(Plan!B:B,"261-012000-254",Plan!w:w)</f>
        <v>0</v>
      </c>
      <c r="X1019">
        <f>sumif(Plan!B:B,"261-012000-254",Plan!x:x)</f>
        <v>0</v>
      </c>
      <c r="Y1019">
        <f>sumif(Plan!B:B,"261-012000-254",Plan!y:y)</f>
        <v>0</v>
      </c>
      <c r="Z1019">
        <f>sumif(Plan!B:B,"261-012000-254",Plan!z:z)</f>
        <v>0</v>
      </c>
      <c r="AA1019">
        <f>sumif(Plan!B:B,"261-012000-254",Plan!aa:aa)</f>
        <v>0</v>
      </c>
      <c r="AB1019">
        <f>sumif(Plan!B:B,"261-012000-254",Plan!ab:ab)</f>
        <v>0</v>
      </c>
      <c r="AC1019">
        <f>sumif(Plan!B:B,"261-012000-254",Plan!ac:ac)</f>
        <v>0</v>
      </c>
      <c r="AD1019">
        <f>sumif(Plan!B:B,"261-012000-254",Plan!ad:ad)</f>
        <v>0</v>
      </c>
      <c r="AE1019">
        <f>sumif(Plan!B:B,"261-012000-254",Plan!ae:ae)</f>
        <v>0</v>
      </c>
      <c r="AF1019">
        <f>sumif(Plan!B:B,"261-012000-254",Plan!af:af)</f>
        <v>0</v>
      </c>
      <c r="AG1019">
        <f>sumif(Plan!B:B,"261-012000-254",Plan!ag:ag)</f>
        <v>0</v>
      </c>
      <c r="AH1019">
        <f>sumif(Plan!B:B,"261-012000-254",Plan!ah:ah)</f>
        <v>0</v>
      </c>
      <c r="AI1019">
        <f>sumif(Plan!B:B,"261-012000-254",Plan!ai:ai)</f>
        <v>0</v>
      </c>
      <c r="AJ1019">
        <f>sumif(Plan!B:B,"261-012000-254",Plan!aj:aj)</f>
        <v>0</v>
      </c>
      <c r="AK1019">
        <f>sumif(Plan!B:B,"261-012000-254",Plan!ak:ak)</f>
        <v>0</v>
      </c>
      <c r="AL1019">
        <f>sumif(Plan!B:B,"261-012000-254",Plan!al:al)</f>
        <v>0</v>
      </c>
      <c r="AM1019">
        <f>sumif(Plan!B:B,"261-012000-254",Plan!am:am)</f>
        <v>0</v>
      </c>
      <c r="AN1019">
        <f>sumif(Plan!B:B,"261-012000-254",Plan!an:an)</f>
        <v>0</v>
      </c>
      <c r="AO1019">
        <f>sumif(Plan!B:B,"261-012000-254",Plan!ao:ao)</f>
        <v>0</v>
      </c>
    </row>
    <row r="1020" spans="1:41">
      <c r="A1020" t="s">
        <v>43</v>
      </c>
      <c r="B1020" t="s">
        <v>615</v>
      </c>
      <c r="C1020" t="s">
        <v>43</v>
      </c>
      <c r="E1020">
        <v>0.063</v>
      </c>
      <c r="F1020" t="s">
        <v>13</v>
      </c>
      <c r="H1020" t="s">
        <v>16</v>
      </c>
      <c r="J1020">
        <f>indirect(address(1020,9))+indirect(address(1018,10))-indirect(address(1019,10))</f>
        <v>0</v>
      </c>
      <c r="K1020">
        <f>indirect(address(1020,10))+indirect(address(1018,11))-indirect(address(1019,11))</f>
        <v>0</v>
      </c>
      <c r="L1020">
        <f>indirect(address(1020,11))+indirect(address(1018,12))-indirect(address(1019,12))</f>
        <v>0</v>
      </c>
      <c r="M1020">
        <f>indirect(address(1020,12))+indirect(address(1018,13))-indirect(address(1019,13))</f>
        <v>0</v>
      </c>
      <c r="N1020">
        <f>indirect(address(1020,13))+indirect(address(1018,14))-indirect(address(1019,14))</f>
        <v>0</v>
      </c>
      <c r="O1020">
        <f>indirect(address(1020,14))+indirect(address(1018,15))-indirect(address(1019,15))</f>
        <v>0</v>
      </c>
      <c r="P1020">
        <f>indirect(address(1020,15))+indirect(address(1018,16))-indirect(address(1019,16))</f>
        <v>0</v>
      </c>
      <c r="Q1020">
        <f>indirect(address(1020,16))+indirect(address(1018,17))-indirect(address(1019,17))</f>
        <v>0</v>
      </c>
      <c r="R1020">
        <f>indirect(address(1020,17))+indirect(address(1018,18))-indirect(address(1019,18))</f>
        <v>0</v>
      </c>
      <c r="S1020">
        <f>indirect(address(1020,18))+indirect(address(1018,19))-indirect(address(1019,19))</f>
        <v>0</v>
      </c>
      <c r="T1020">
        <f>indirect(address(1020,19))+indirect(address(1018,20))-indirect(address(1019,20))</f>
        <v>0</v>
      </c>
      <c r="U1020">
        <f>indirect(address(1020,20))+indirect(address(1018,21))-indirect(address(1019,21))</f>
        <v>0</v>
      </c>
      <c r="V1020">
        <f>indirect(address(1020,21))+indirect(address(1018,22))-indirect(address(1019,22))</f>
        <v>0</v>
      </c>
      <c r="W1020">
        <f>indirect(address(1020,22))+indirect(address(1018,23))-indirect(address(1019,23))</f>
        <v>0</v>
      </c>
      <c r="X1020">
        <f>indirect(address(1020,23))+indirect(address(1018,24))-indirect(address(1019,24))</f>
        <v>0</v>
      </c>
      <c r="Y1020">
        <f>indirect(address(1020,24))+indirect(address(1018,25))-indirect(address(1019,25))</f>
        <v>0</v>
      </c>
      <c r="Z1020">
        <f>indirect(address(1020,25))+indirect(address(1018,26))-indirect(address(1019,26))</f>
        <v>0</v>
      </c>
      <c r="AA1020">
        <f>indirect(address(1020,26))+indirect(address(1018,27))-indirect(address(1019,27))</f>
        <v>0</v>
      </c>
      <c r="AB1020">
        <f>indirect(address(1020,27))+indirect(address(1018,28))-indirect(address(1019,28))</f>
        <v>0</v>
      </c>
      <c r="AC1020">
        <f>indirect(address(1020,28))+indirect(address(1018,29))-indirect(address(1019,29))</f>
        <v>0</v>
      </c>
      <c r="AD1020">
        <f>indirect(address(1020,29))+indirect(address(1018,30))-indirect(address(1019,30))</f>
        <v>0</v>
      </c>
      <c r="AE1020">
        <f>indirect(address(1020,30))+indirect(address(1018,31))-indirect(address(1019,31))</f>
        <v>0</v>
      </c>
      <c r="AF1020">
        <f>indirect(address(1020,31))+indirect(address(1018,32))-indirect(address(1019,32))</f>
        <v>0</v>
      </c>
      <c r="AG1020">
        <f>indirect(address(1020,32))+indirect(address(1018,33))-indirect(address(1019,33))</f>
        <v>0</v>
      </c>
      <c r="AH1020">
        <f>indirect(address(1020,33))+indirect(address(1018,34))-indirect(address(1019,34))</f>
        <v>0</v>
      </c>
      <c r="AI1020">
        <f>indirect(address(1020,34))+indirect(address(1018,35))-indirect(address(1019,35))</f>
        <v>0</v>
      </c>
      <c r="AJ1020">
        <f>indirect(address(1020,35))+indirect(address(1018,36))-indirect(address(1019,36))</f>
        <v>0</v>
      </c>
      <c r="AK1020">
        <f>indirect(address(1020,36))+indirect(address(1018,37))-indirect(address(1019,37))</f>
        <v>0</v>
      </c>
      <c r="AL1020">
        <f>indirect(address(1020,37))+indirect(address(1018,38))-indirect(address(1019,38))</f>
        <v>0</v>
      </c>
      <c r="AM1020">
        <f>indirect(address(1020,38))+indirect(address(1018,39))-indirect(address(1019,39))</f>
        <v>0</v>
      </c>
      <c r="AN1020">
        <f>indirect(address(1020,39))+indirect(address(1018,40))-indirect(address(1019,40))</f>
        <v>0</v>
      </c>
      <c r="AO1020">
        <f>indirect(address(1020,40))+indirect(address(1018,41))-indirect(address(1019,41))</f>
        <v>0</v>
      </c>
    </row>
    <row r="1021" spans="1:41">
      <c r="I1021" t="s">
        <v>14</v>
      </c>
      <c r="AO1021">
        <f>sum(j1021:an1021)</f>
        <v>0</v>
      </c>
    </row>
    <row r="1022" spans="1:41">
      <c r="I1022" t="s">
        <v>15</v>
      </c>
      <c r="J1022">
        <f>sumif(Plan!B:B,"906-460348-110",Plan!j:j)</f>
        <v>0</v>
      </c>
      <c r="K1022">
        <f>sumif(Plan!B:B,"906-460348-110",Plan!k:k)</f>
        <v>0</v>
      </c>
      <c r="L1022">
        <f>sumif(Plan!B:B,"906-460348-110",Plan!l:l)</f>
        <v>0</v>
      </c>
      <c r="M1022">
        <f>sumif(Plan!B:B,"906-460348-110",Plan!m:m)</f>
        <v>0</v>
      </c>
      <c r="N1022">
        <f>sumif(Plan!B:B,"906-460348-110",Plan!n:n)</f>
        <v>0</v>
      </c>
      <c r="O1022">
        <f>sumif(Plan!B:B,"906-460348-110",Plan!o:o)</f>
        <v>0</v>
      </c>
      <c r="P1022">
        <f>sumif(Plan!B:B,"906-460348-110",Plan!p:p)</f>
        <v>0</v>
      </c>
      <c r="Q1022">
        <f>sumif(Plan!B:B,"906-460348-110",Plan!q:q)</f>
        <v>0</v>
      </c>
      <c r="R1022">
        <f>sumif(Plan!B:B,"906-460348-110",Plan!r:r)</f>
        <v>0</v>
      </c>
      <c r="S1022">
        <f>sumif(Plan!B:B,"906-460348-110",Plan!s:s)</f>
        <v>0</v>
      </c>
      <c r="T1022">
        <f>sumif(Plan!B:B,"906-460348-110",Plan!t:t)</f>
        <v>0</v>
      </c>
      <c r="U1022">
        <f>sumif(Plan!B:B,"906-460348-110",Plan!u:u)</f>
        <v>0</v>
      </c>
      <c r="V1022">
        <f>sumif(Plan!B:B,"906-460348-110",Plan!v:v)</f>
        <v>0</v>
      </c>
      <c r="W1022">
        <f>sumif(Plan!B:B,"906-460348-110",Plan!w:w)</f>
        <v>0</v>
      </c>
      <c r="X1022">
        <f>sumif(Plan!B:B,"906-460348-110",Plan!x:x)</f>
        <v>0</v>
      </c>
      <c r="Y1022">
        <f>sumif(Plan!B:B,"906-460348-110",Plan!y:y)</f>
        <v>0</v>
      </c>
      <c r="Z1022">
        <f>sumif(Plan!B:B,"906-460348-110",Plan!z:z)</f>
        <v>0</v>
      </c>
      <c r="AA1022">
        <f>sumif(Plan!B:B,"906-460348-110",Plan!aa:aa)</f>
        <v>0</v>
      </c>
      <c r="AB1022">
        <f>sumif(Plan!B:B,"906-460348-110",Plan!ab:ab)</f>
        <v>0</v>
      </c>
      <c r="AC1022">
        <f>sumif(Plan!B:B,"906-460348-110",Plan!ac:ac)</f>
        <v>0</v>
      </c>
      <c r="AD1022">
        <f>sumif(Plan!B:B,"906-460348-110",Plan!ad:ad)</f>
        <v>0</v>
      </c>
      <c r="AE1022">
        <f>sumif(Plan!B:B,"906-460348-110",Plan!ae:ae)</f>
        <v>0</v>
      </c>
      <c r="AF1022">
        <f>sumif(Plan!B:B,"906-460348-110",Plan!af:af)</f>
        <v>0</v>
      </c>
      <c r="AG1022">
        <f>sumif(Plan!B:B,"906-460348-110",Plan!ag:ag)</f>
        <v>0</v>
      </c>
      <c r="AH1022">
        <f>sumif(Plan!B:B,"906-460348-110",Plan!ah:ah)</f>
        <v>0</v>
      </c>
      <c r="AI1022">
        <f>sumif(Plan!B:B,"906-460348-110",Plan!ai:ai)</f>
        <v>0</v>
      </c>
      <c r="AJ1022">
        <f>sumif(Plan!B:B,"906-460348-110",Plan!aj:aj)</f>
        <v>0</v>
      </c>
      <c r="AK1022">
        <f>sumif(Plan!B:B,"906-460348-110",Plan!ak:ak)</f>
        <v>0</v>
      </c>
      <c r="AL1022">
        <f>sumif(Plan!B:B,"906-460348-110",Plan!al:al)</f>
        <v>0</v>
      </c>
      <c r="AM1022">
        <f>sumif(Plan!B:B,"906-460348-110",Plan!am:am)</f>
        <v>0</v>
      </c>
      <c r="AN1022">
        <f>sumif(Plan!B:B,"906-460348-110",Plan!an:an)</f>
        <v>0</v>
      </c>
      <c r="AO1022">
        <f>sumif(Plan!B:B,"906-460348-110",Plan!ao:ao)</f>
        <v>0</v>
      </c>
    </row>
    <row r="1023" spans="1:41">
      <c r="A1023" t="s">
        <v>17</v>
      </c>
      <c r="B1023" t="s">
        <v>661</v>
      </c>
      <c r="C1023" t="s">
        <v>662</v>
      </c>
      <c r="E1023">
        <v>1</v>
      </c>
      <c r="F1023" t="s">
        <v>13</v>
      </c>
      <c r="H1023" t="s">
        <v>16</v>
      </c>
      <c r="J1023">
        <f>indirect(address(1023,9))+indirect(address(1021,10))-indirect(address(1022,10))</f>
        <v>0</v>
      </c>
      <c r="K1023">
        <f>indirect(address(1023,10))+indirect(address(1021,11))-indirect(address(1022,11))</f>
        <v>0</v>
      </c>
      <c r="L1023">
        <f>indirect(address(1023,11))+indirect(address(1021,12))-indirect(address(1022,12))</f>
        <v>0</v>
      </c>
      <c r="M1023">
        <f>indirect(address(1023,12))+indirect(address(1021,13))-indirect(address(1022,13))</f>
        <v>0</v>
      </c>
      <c r="N1023">
        <f>indirect(address(1023,13))+indirect(address(1021,14))-indirect(address(1022,14))</f>
        <v>0</v>
      </c>
      <c r="O1023">
        <f>indirect(address(1023,14))+indirect(address(1021,15))-indirect(address(1022,15))</f>
        <v>0</v>
      </c>
      <c r="P1023">
        <f>indirect(address(1023,15))+indirect(address(1021,16))-indirect(address(1022,16))</f>
        <v>0</v>
      </c>
      <c r="Q1023">
        <f>indirect(address(1023,16))+indirect(address(1021,17))-indirect(address(1022,17))</f>
        <v>0</v>
      </c>
      <c r="R1023">
        <f>indirect(address(1023,17))+indirect(address(1021,18))-indirect(address(1022,18))</f>
        <v>0</v>
      </c>
      <c r="S1023">
        <f>indirect(address(1023,18))+indirect(address(1021,19))-indirect(address(1022,19))</f>
        <v>0</v>
      </c>
      <c r="T1023">
        <f>indirect(address(1023,19))+indirect(address(1021,20))-indirect(address(1022,20))</f>
        <v>0</v>
      </c>
      <c r="U1023">
        <f>indirect(address(1023,20))+indirect(address(1021,21))-indirect(address(1022,21))</f>
        <v>0</v>
      </c>
      <c r="V1023">
        <f>indirect(address(1023,21))+indirect(address(1021,22))-indirect(address(1022,22))</f>
        <v>0</v>
      </c>
      <c r="W1023">
        <f>indirect(address(1023,22))+indirect(address(1021,23))-indirect(address(1022,23))</f>
        <v>0</v>
      </c>
      <c r="X1023">
        <f>indirect(address(1023,23))+indirect(address(1021,24))-indirect(address(1022,24))</f>
        <v>0</v>
      </c>
      <c r="Y1023">
        <f>indirect(address(1023,24))+indirect(address(1021,25))-indirect(address(1022,25))</f>
        <v>0</v>
      </c>
      <c r="Z1023">
        <f>indirect(address(1023,25))+indirect(address(1021,26))-indirect(address(1022,26))</f>
        <v>0</v>
      </c>
      <c r="AA1023">
        <f>indirect(address(1023,26))+indirect(address(1021,27))-indirect(address(1022,27))</f>
        <v>0</v>
      </c>
      <c r="AB1023">
        <f>indirect(address(1023,27))+indirect(address(1021,28))-indirect(address(1022,28))</f>
        <v>0</v>
      </c>
      <c r="AC1023">
        <f>indirect(address(1023,28))+indirect(address(1021,29))-indirect(address(1022,29))</f>
        <v>0</v>
      </c>
      <c r="AD1023">
        <f>indirect(address(1023,29))+indirect(address(1021,30))-indirect(address(1022,30))</f>
        <v>0</v>
      </c>
      <c r="AE1023">
        <f>indirect(address(1023,30))+indirect(address(1021,31))-indirect(address(1022,31))</f>
        <v>0</v>
      </c>
      <c r="AF1023">
        <f>indirect(address(1023,31))+indirect(address(1021,32))-indirect(address(1022,32))</f>
        <v>0</v>
      </c>
      <c r="AG1023">
        <f>indirect(address(1023,32))+indirect(address(1021,33))-indirect(address(1022,33))</f>
        <v>0</v>
      </c>
      <c r="AH1023">
        <f>indirect(address(1023,33))+indirect(address(1021,34))-indirect(address(1022,34))</f>
        <v>0</v>
      </c>
      <c r="AI1023">
        <f>indirect(address(1023,34))+indirect(address(1021,35))-indirect(address(1022,35))</f>
        <v>0</v>
      </c>
      <c r="AJ1023">
        <f>indirect(address(1023,35))+indirect(address(1021,36))-indirect(address(1022,36))</f>
        <v>0</v>
      </c>
      <c r="AK1023">
        <f>indirect(address(1023,36))+indirect(address(1021,37))-indirect(address(1022,37))</f>
        <v>0</v>
      </c>
      <c r="AL1023">
        <f>indirect(address(1023,37))+indirect(address(1021,38))-indirect(address(1022,38))</f>
        <v>0</v>
      </c>
      <c r="AM1023">
        <f>indirect(address(1023,38))+indirect(address(1021,39))-indirect(address(1022,39))</f>
        <v>0</v>
      </c>
      <c r="AN1023">
        <f>indirect(address(1023,39))+indirect(address(1021,40))-indirect(address(1022,40))</f>
        <v>0</v>
      </c>
      <c r="AO1023">
        <f>indirect(address(1023,40))+indirect(address(1021,41))-indirect(address(1022,41))</f>
        <v>0</v>
      </c>
    </row>
    <row r="1024" spans="1:41">
      <c r="I1024" t="s">
        <v>14</v>
      </c>
      <c r="AO1024">
        <f>sum(j1024:an1024)</f>
        <v>0</v>
      </c>
    </row>
    <row r="1025" spans="1:41">
      <c r="I1025" t="s">
        <v>15</v>
      </c>
      <c r="J1025">
        <f>sumif(Plan!B:B,"906-461000-110",Plan!j:j)</f>
        <v>0</v>
      </c>
      <c r="K1025">
        <f>sumif(Plan!B:B,"906-461000-110",Plan!k:k)</f>
        <v>0</v>
      </c>
      <c r="L1025">
        <f>sumif(Plan!B:B,"906-461000-110",Plan!l:l)</f>
        <v>0</v>
      </c>
      <c r="M1025">
        <f>sumif(Plan!B:B,"906-461000-110",Plan!m:m)</f>
        <v>0</v>
      </c>
      <c r="N1025">
        <f>sumif(Plan!B:B,"906-461000-110",Plan!n:n)</f>
        <v>0</v>
      </c>
      <c r="O1025">
        <f>sumif(Plan!B:B,"906-461000-110",Plan!o:o)</f>
        <v>0</v>
      </c>
      <c r="P1025">
        <f>sumif(Plan!B:B,"906-461000-110",Plan!p:p)</f>
        <v>0</v>
      </c>
      <c r="Q1025">
        <f>sumif(Plan!B:B,"906-461000-110",Plan!q:q)</f>
        <v>0</v>
      </c>
      <c r="R1025">
        <f>sumif(Plan!B:B,"906-461000-110",Plan!r:r)</f>
        <v>0</v>
      </c>
      <c r="S1025">
        <f>sumif(Plan!B:B,"906-461000-110",Plan!s:s)</f>
        <v>0</v>
      </c>
      <c r="T1025">
        <f>sumif(Plan!B:B,"906-461000-110",Plan!t:t)</f>
        <v>0</v>
      </c>
      <c r="U1025">
        <f>sumif(Plan!B:B,"906-461000-110",Plan!u:u)</f>
        <v>0</v>
      </c>
      <c r="V1025">
        <f>sumif(Plan!B:B,"906-461000-110",Plan!v:v)</f>
        <v>0</v>
      </c>
      <c r="W1025">
        <f>sumif(Plan!B:B,"906-461000-110",Plan!w:w)</f>
        <v>0</v>
      </c>
      <c r="X1025">
        <f>sumif(Plan!B:B,"906-461000-110",Plan!x:x)</f>
        <v>0</v>
      </c>
      <c r="Y1025">
        <f>sumif(Plan!B:B,"906-461000-110",Plan!y:y)</f>
        <v>0</v>
      </c>
      <c r="Z1025">
        <f>sumif(Plan!B:B,"906-461000-110",Plan!z:z)</f>
        <v>0</v>
      </c>
      <c r="AA1025">
        <f>sumif(Plan!B:B,"906-461000-110",Plan!aa:aa)</f>
        <v>0</v>
      </c>
      <c r="AB1025">
        <f>sumif(Plan!B:B,"906-461000-110",Plan!ab:ab)</f>
        <v>0</v>
      </c>
      <c r="AC1025">
        <f>sumif(Plan!B:B,"906-461000-110",Plan!ac:ac)</f>
        <v>0</v>
      </c>
      <c r="AD1025">
        <f>sumif(Plan!B:B,"906-461000-110",Plan!ad:ad)</f>
        <v>0</v>
      </c>
      <c r="AE1025">
        <f>sumif(Plan!B:B,"906-461000-110",Plan!ae:ae)</f>
        <v>0</v>
      </c>
      <c r="AF1025">
        <f>sumif(Plan!B:B,"906-461000-110",Plan!af:af)</f>
        <v>0</v>
      </c>
      <c r="AG1025">
        <f>sumif(Plan!B:B,"906-461000-110",Plan!ag:ag)</f>
        <v>0</v>
      </c>
      <c r="AH1025">
        <f>sumif(Plan!B:B,"906-461000-110",Plan!ah:ah)</f>
        <v>0</v>
      </c>
      <c r="AI1025">
        <f>sumif(Plan!B:B,"906-461000-110",Plan!ai:ai)</f>
        <v>0</v>
      </c>
      <c r="AJ1025">
        <f>sumif(Plan!B:B,"906-461000-110",Plan!aj:aj)</f>
        <v>0</v>
      </c>
      <c r="AK1025">
        <f>sumif(Plan!B:B,"906-461000-110",Plan!ak:ak)</f>
        <v>0</v>
      </c>
      <c r="AL1025">
        <f>sumif(Plan!B:B,"906-461000-110",Plan!al:al)</f>
        <v>0</v>
      </c>
      <c r="AM1025">
        <f>sumif(Plan!B:B,"906-461000-110",Plan!am:am)</f>
        <v>0</v>
      </c>
      <c r="AN1025">
        <f>sumif(Plan!B:B,"906-461000-110",Plan!an:an)</f>
        <v>0</v>
      </c>
      <c r="AO1025">
        <f>sumif(Plan!B:B,"906-461000-110",Plan!ao:ao)</f>
        <v>0</v>
      </c>
    </row>
    <row r="1026" spans="1:41">
      <c r="A1026" t="s">
        <v>17</v>
      </c>
      <c r="B1026" t="s">
        <v>663</v>
      </c>
      <c r="C1026" t="s">
        <v>664</v>
      </c>
      <c r="E1026">
        <v>1</v>
      </c>
      <c r="F1026" t="s">
        <v>13</v>
      </c>
      <c r="H1026" t="s">
        <v>16</v>
      </c>
      <c r="J1026">
        <f>indirect(address(1026,9))+indirect(address(1024,10))-indirect(address(1025,10))</f>
        <v>0</v>
      </c>
      <c r="K1026">
        <f>indirect(address(1026,10))+indirect(address(1024,11))-indirect(address(1025,11))</f>
        <v>0</v>
      </c>
      <c r="L1026">
        <f>indirect(address(1026,11))+indirect(address(1024,12))-indirect(address(1025,12))</f>
        <v>0</v>
      </c>
      <c r="M1026">
        <f>indirect(address(1026,12))+indirect(address(1024,13))-indirect(address(1025,13))</f>
        <v>0</v>
      </c>
      <c r="N1026">
        <f>indirect(address(1026,13))+indirect(address(1024,14))-indirect(address(1025,14))</f>
        <v>0</v>
      </c>
      <c r="O1026">
        <f>indirect(address(1026,14))+indirect(address(1024,15))-indirect(address(1025,15))</f>
        <v>0</v>
      </c>
      <c r="P1026">
        <f>indirect(address(1026,15))+indirect(address(1024,16))-indirect(address(1025,16))</f>
        <v>0</v>
      </c>
      <c r="Q1026">
        <f>indirect(address(1026,16))+indirect(address(1024,17))-indirect(address(1025,17))</f>
        <v>0</v>
      </c>
      <c r="R1026">
        <f>indirect(address(1026,17))+indirect(address(1024,18))-indirect(address(1025,18))</f>
        <v>0</v>
      </c>
      <c r="S1026">
        <f>indirect(address(1026,18))+indirect(address(1024,19))-indirect(address(1025,19))</f>
        <v>0</v>
      </c>
      <c r="T1026">
        <f>indirect(address(1026,19))+indirect(address(1024,20))-indirect(address(1025,20))</f>
        <v>0</v>
      </c>
      <c r="U1026">
        <f>indirect(address(1026,20))+indirect(address(1024,21))-indirect(address(1025,21))</f>
        <v>0</v>
      </c>
      <c r="V1026">
        <f>indirect(address(1026,21))+indirect(address(1024,22))-indirect(address(1025,22))</f>
        <v>0</v>
      </c>
      <c r="W1026">
        <f>indirect(address(1026,22))+indirect(address(1024,23))-indirect(address(1025,23))</f>
        <v>0</v>
      </c>
      <c r="X1026">
        <f>indirect(address(1026,23))+indirect(address(1024,24))-indirect(address(1025,24))</f>
        <v>0</v>
      </c>
      <c r="Y1026">
        <f>indirect(address(1026,24))+indirect(address(1024,25))-indirect(address(1025,25))</f>
        <v>0</v>
      </c>
      <c r="Z1026">
        <f>indirect(address(1026,25))+indirect(address(1024,26))-indirect(address(1025,26))</f>
        <v>0</v>
      </c>
      <c r="AA1026">
        <f>indirect(address(1026,26))+indirect(address(1024,27))-indirect(address(1025,27))</f>
        <v>0</v>
      </c>
      <c r="AB1026">
        <f>indirect(address(1026,27))+indirect(address(1024,28))-indirect(address(1025,28))</f>
        <v>0</v>
      </c>
      <c r="AC1026">
        <f>indirect(address(1026,28))+indirect(address(1024,29))-indirect(address(1025,29))</f>
        <v>0</v>
      </c>
      <c r="AD1026">
        <f>indirect(address(1026,29))+indirect(address(1024,30))-indirect(address(1025,30))</f>
        <v>0</v>
      </c>
      <c r="AE1026">
        <f>indirect(address(1026,30))+indirect(address(1024,31))-indirect(address(1025,31))</f>
        <v>0</v>
      </c>
      <c r="AF1026">
        <f>indirect(address(1026,31))+indirect(address(1024,32))-indirect(address(1025,32))</f>
        <v>0</v>
      </c>
      <c r="AG1026">
        <f>indirect(address(1026,32))+indirect(address(1024,33))-indirect(address(1025,33))</f>
        <v>0</v>
      </c>
      <c r="AH1026">
        <f>indirect(address(1026,33))+indirect(address(1024,34))-indirect(address(1025,34))</f>
        <v>0</v>
      </c>
      <c r="AI1026">
        <f>indirect(address(1026,34))+indirect(address(1024,35))-indirect(address(1025,35))</f>
        <v>0</v>
      </c>
      <c r="AJ1026">
        <f>indirect(address(1026,35))+indirect(address(1024,36))-indirect(address(1025,36))</f>
        <v>0</v>
      </c>
      <c r="AK1026">
        <f>indirect(address(1026,36))+indirect(address(1024,37))-indirect(address(1025,37))</f>
        <v>0</v>
      </c>
      <c r="AL1026">
        <f>indirect(address(1026,37))+indirect(address(1024,38))-indirect(address(1025,38))</f>
        <v>0</v>
      </c>
      <c r="AM1026">
        <f>indirect(address(1026,38))+indirect(address(1024,39))-indirect(address(1025,39))</f>
        <v>0</v>
      </c>
      <c r="AN1026">
        <f>indirect(address(1026,39))+indirect(address(1024,40))-indirect(address(1025,40))</f>
        <v>0</v>
      </c>
      <c r="AO1026">
        <f>indirect(address(1026,40))+indirect(address(1024,41))-indirect(address(1025,41))</f>
        <v>0</v>
      </c>
    </row>
    <row r="1027" spans="1:41">
      <c r="I1027" t="s">
        <v>14</v>
      </c>
      <c r="AO1027">
        <f>sum(j1027:an1027)</f>
        <v>0</v>
      </c>
    </row>
    <row r="1028" spans="1:41">
      <c r="I1028" t="s">
        <v>15</v>
      </c>
      <c r="J1028">
        <f>sumif(Plan!B:B,"211-020900-000",Plan!j:j)</f>
        <v>0</v>
      </c>
      <c r="K1028">
        <f>sumif(Plan!B:B,"211-020900-000",Plan!k:k)</f>
        <v>0</v>
      </c>
      <c r="L1028">
        <f>sumif(Plan!B:B,"211-020900-000",Plan!l:l)</f>
        <v>0</v>
      </c>
      <c r="M1028">
        <f>sumif(Plan!B:B,"211-020900-000",Plan!m:m)</f>
        <v>0</v>
      </c>
      <c r="N1028">
        <f>sumif(Plan!B:B,"211-020900-000",Plan!n:n)</f>
        <v>0</v>
      </c>
      <c r="O1028">
        <f>sumif(Plan!B:B,"211-020900-000",Plan!o:o)</f>
        <v>0</v>
      </c>
      <c r="P1028">
        <f>sumif(Plan!B:B,"211-020900-000",Plan!p:p)</f>
        <v>0</v>
      </c>
      <c r="Q1028">
        <f>sumif(Plan!B:B,"211-020900-000",Plan!q:q)</f>
        <v>0</v>
      </c>
      <c r="R1028">
        <f>sumif(Plan!B:B,"211-020900-000",Plan!r:r)</f>
        <v>0</v>
      </c>
      <c r="S1028">
        <f>sumif(Plan!B:B,"211-020900-000",Plan!s:s)</f>
        <v>0</v>
      </c>
      <c r="T1028">
        <f>sumif(Plan!B:B,"211-020900-000",Plan!t:t)</f>
        <v>0</v>
      </c>
      <c r="U1028">
        <f>sumif(Plan!B:B,"211-020900-000",Plan!u:u)</f>
        <v>0</v>
      </c>
      <c r="V1028">
        <f>sumif(Plan!B:B,"211-020900-000",Plan!v:v)</f>
        <v>0</v>
      </c>
      <c r="W1028">
        <f>sumif(Plan!B:B,"211-020900-000",Plan!w:w)</f>
        <v>0</v>
      </c>
      <c r="X1028">
        <f>sumif(Plan!B:B,"211-020900-000",Plan!x:x)</f>
        <v>0</v>
      </c>
      <c r="Y1028">
        <f>sumif(Plan!B:B,"211-020900-000",Plan!y:y)</f>
        <v>0</v>
      </c>
      <c r="Z1028">
        <f>sumif(Plan!B:B,"211-020900-000",Plan!z:z)</f>
        <v>0</v>
      </c>
      <c r="AA1028">
        <f>sumif(Plan!B:B,"211-020900-000",Plan!aa:aa)</f>
        <v>0</v>
      </c>
      <c r="AB1028">
        <f>sumif(Plan!B:B,"211-020900-000",Plan!ab:ab)</f>
        <v>0</v>
      </c>
      <c r="AC1028">
        <f>sumif(Plan!B:B,"211-020900-000",Plan!ac:ac)</f>
        <v>0</v>
      </c>
      <c r="AD1028">
        <f>sumif(Plan!B:B,"211-020900-000",Plan!ad:ad)</f>
        <v>0</v>
      </c>
      <c r="AE1028">
        <f>sumif(Plan!B:B,"211-020900-000",Plan!ae:ae)</f>
        <v>0</v>
      </c>
      <c r="AF1028">
        <f>sumif(Plan!B:B,"211-020900-000",Plan!af:af)</f>
        <v>0</v>
      </c>
      <c r="AG1028">
        <f>sumif(Plan!B:B,"211-020900-000",Plan!ag:ag)</f>
        <v>0</v>
      </c>
      <c r="AH1028">
        <f>sumif(Plan!B:B,"211-020900-000",Plan!ah:ah)</f>
        <v>0</v>
      </c>
      <c r="AI1028">
        <f>sumif(Plan!B:B,"211-020900-000",Plan!ai:ai)</f>
        <v>0</v>
      </c>
      <c r="AJ1028">
        <f>sumif(Plan!B:B,"211-020900-000",Plan!aj:aj)</f>
        <v>0</v>
      </c>
      <c r="AK1028">
        <f>sumif(Plan!B:B,"211-020900-000",Plan!ak:ak)</f>
        <v>0</v>
      </c>
      <c r="AL1028">
        <f>sumif(Plan!B:B,"211-020900-000",Plan!al:al)</f>
        <v>0</v>
      </c>
      <c r="AM1028">
        <f>sumif(Plan!B:B,"211-020900-000",Plan!am:am)</f>
        <v>0</v>
      </c>
      <c r="AN1028">
        <f>sumif(Plan!B:B,"211-020900-000",Plan!an:an)</f>
        <v>0</v>
      </c>
      <c r="AO1028">
        <f>sumif(Plan!B:B,"211-020900-000",Plan!ao:ao)</f>
        <v>0</v>
      </c>
    </row>
    <row r="1029" spans="1:41">
      <c r="A1029" t="s">
        <v>22</v>
      </c>
      <c r="B1029" t="s">
        <v>665</v>
      </c>
      <c r="C1029" t="s">
        <v>666</v>
      </c>
      <c r="E1029">
        <v>0.002</v>
      </c>
      <c r="F1029" t="s">
        <v>13</v>
      </c>
      <c r="H1029" t="s">
        <v>16</v>
      </c>
      <c r="J1029">
        <f>indirect(address(1029,9))+indirect(address(1027,10))-indirect(address(1028,10))</f>
        <v>0</v>
      </c>
      <c r="K1029">
        <f>indirect(address(1029,10))+indirect(address(1027,11))-indirect(address(1028,11))</f>
        <v>0</v>
      </c>
      <c r="L1029">
        <f>indirect(address(1029,11))+indirect(address(1027,12))-indirect(address(1028,12))</f>
        <v>0</v>
      </c>
      <c r="M1029">
        <f>indirect(address(1029,12))+indirect(address(1027,13))-indirect(address(1028,13))</f>
        <v>0</v>
      </c>
      <c r="N1029">
        <f>indirect(address(1029,13))+indirect(address(1027,14))-indirect(address(1028,14))</f>
        <v>0</v>
      </c>
      <c r="O1029">
        <f>indirect(address(1029,14))+indirect(address(1027,15))-indirect(address(1028,15))</f>
        <v>0</v>
      </c>
      <c r="P1029">
        <f>indirect(address(1029,15))+indirect(address(1027,16))-indirect(address(1028,16))</f>
        <v>0</v>
      </c>
      <c r="Q1029">
        <f>indirect(address(1029,16))+indirect(address(1027,17))-indirect(address(1028,17))</f>
        <v>0</v>
      </c>
      <c r="R1029">
        <f>indirect(address(1029,17))+indirect(address(1027,18))-indirect(address(1028,18))</f>
        <v>0</v>
      </c>
      <c r="S1029">
        <f>indirect(address(1029,18))+indirect(address(1027,19))-indirect(address(1028,19))</f>
        <v>0</v>
      </c>
      <c r="T1029">
        <f>indirect(address(1029,19))+indirect(address(1027,20))-indirect(address(1028,20))</f>
        <v>0</v>
      </c>
      <c r="U1029">
        <f>indirect(address(1029,20))+indirect(address(1027,21))-indirect(address(1028,21))</f>
        <v>0</v>
      </c>
      <c r="V1029">
        <f>indirect(address(1029,21))+indirect(address(1027,22))-indirect(address(1028,22))</f>
        <v>0</v>
      </c>
      <c r="W1029">
        <f>indirect(address(1029,22))+indirect(address(1027,23))-indirect(address(1028,23))</f>
        <v>0</v>
      </c>
      <c r="X1029">
        <f>indirect(address(1029,23))+indirect(address(1027,24))-indirect(address(1028,24))</f>
        <v>0</v>
      </c>
      <c r="Y1029">
        <f>indirect(address(1029,24))+indirect(address(1027,25))-indirect(address(1028,25))</f>
        <v>0</v>
      </c>
      <c r="Z1029">
        <f>indirect(address(1029,25))+indirect(address(1027,26))-indirect(address(1028,26))</f>
        <v>0</v>
      </c>
      <c r="AA1029">
        <f>indirect(address(1029,26))+indirect(address(1027,27))-indirect(address(1028,27))</f>
        <v>0</v>
      </c>
      <c r="AB1029">
        <f>indirect(address(1029,27))+indirect(address(1027,28))-indirect(address(1028,28))</f>
        <v>0</v>
      </c>
      <c r="AC1029">
        <f>indirect(address(1029,28))+indirect(address(1027,29))-indirect(address(1028,29))</f>
        <v>0</v>
      </c>
      <c r="AD1029">
        <f>indirect(address(1029,29))+indirect(address(1027,30))-indirect(address(1028,30))</f>
        <v>0</v>
      </c>
      <c r="AE1029">
        <f>indirect(address(1029,30))+indirect(address(1027,31))-indirect(address(1028,31))</f>
        <v>0</v>
      </c>
      <c r="AF1029">
        <f>indirect(address(1029,31))+indirect(address(1027,32))-indirect(address(1028,32))</f>
        <v>0</v>
      </c>
      <c r="AG1029">
        <f>indirect(address(1029,32))+indirect(address(1027,33))-indirect(address(1028,33))</f>
        <v>0</v>
      </c>
      <c r="AH1029">
        <f>indirect(address(1029,33))+indirect(address(1027,34))-indirect(address(1028,34))</f>
        <v>0</v>
      </c>
      <c r="AI1029">
        <f>indirect(address(1029,34))+indirect(address(1027,35))-indirect(address(1028,35))</f>
        <v>0</v>
      </c>
      <c r="AJ1029">
        <f>indirect(address(1029,35))+indirect(address(1027,36))-indirect(address(1028,36))</f>
        <v>0</v>
      </c>
      <c r="AK1029">
        <f>indirect(address(1029,36))+indirect(address(1027,37))-indirect(address(1028,37))</f>
        <v>0</v>
      </c>
      <c r="AL1029">
        <f>indirect(address(1029,37))+indirect(address(1027,38))-indirect(address(1028,38))</f>
        <v>0</v>
      </c>
      <c r="AM1029">
        <f>indirect(address(1029,38))+indirect(address(1027,39))-indirect(address(1028,39))</f>
        <v>0</v>
      </c>
      <c r="AN1029">
        <f>indirect(address(1029,39))+indirect(address(1027,40))-indirect(address(1028,40))</f>
        <v>0</v>
      </c>
      <c r="AO1029">
        <f>indirect(address(1029,40))+indirect(address(1027,41))-indirect(address(1028,41))</f>
        <v>0</v>
      </c>
    </row>
    <row r="1030" spans="1:41">
      <c r="I1030" t="s">
        <v>14</v>
      </c>
      <c r="AO1030">
        <f>sum(j1030:an1030)</f>
        <v>0</v>
      </c>
    </row>
    <row r="1031" spans="1:41">
      <c r="I1031" t="s">
        <v>15</v>
      </c>
      <c r="J1031">
        <f>sumif(Plan!B:B,"211-028500-053",Plan!j:j)</f>
        <v>0</v>
      </c>
      <c r="K1031">
        <f>sumif(Plan!B:B,"211-028500-053",Plan!k:k)</f>
        <v>0</v>
      </c>
      <c r="L1031">
        <f>sumif(Plan!B:B,"211-028500-053",Plan!l:l)</f>
        <v>0</v>
      </c>
      <c r="M1031">
        <f>sumif(Plan!B:B,"211-028500-053",Plan!m:m)</f>
        <v>0</v>
      </c>
      <c r="N1031">
        <f>sumif(Plan!B:B,"211-028500-053",Plan!n:n)</f>
        <v>0</v>
      </c>
      <c r="O1031">
        <f>sumif(Plan!B:B,"211-028500-053",Plan!o:o)</f>
        <v>0</v>
      </c>
      <c r="P1031">
        <f>sumif(Plan!B:B,"211-028500-053",Plan!p:p)</f>
        <v>0</v>
      </c>
      <c r="Q1031">
        <f>sumif(Plan!B:B,"211-028500-053",Plan!q:q)</f>
        <v>0</v>
      </c>
      <c r="R1031">
        <f>sumif(Plan!B:B,"211-028500-053",Plan!r:r)</f>
        <v>0</v>
      </c>
      <c r="S1031">
        <f>sumif(Plan!B:B,"211-028500-053",Plan!s:s)</f>
        <v>0</v>
      </c>
      <c r="T1031">
        <f>sumif(Plan!B:B,"211-028500-053",Plan!t:t)</f>
        <v>0</v>
      </c>
      <c r="U1031">
        <f>sumif(Plan!B:B,"211-028500-053",Plan!u:u)</f>
        <v>0</v>
      </c>
      <c r="V1031">
        <f>sumif(Plan!B:B,"211-028500-053",Plan!v:v)</f>
        <v>0</v>
      </c>
      <c r="W1031">
        <f>sumif(Plan!B:B,"211-028500-053",Plan!w:w)</f>
        <v>0</v>
      </c>
      <c r="X1031">
        <f>sumif(Plan!B:B,"211-028500-053",Plan!x:x)</f>
        <v>0</v>
      </c>
      <c r="Y1031">
        <f>sumif(Plan!B:B,"211-028500-053",Plan!y:y)</f>
        <v>0</v>
      </c>
      <c r="Z1031">
        <f>sumif(Plan!B:B,"211-028500-053",Plan!z:z)</f>
        <v>0</v>
      </c>
      <c r="AA1031">
        <f>sumif(Plan!B:B,"211-028500-053",Plan!aa:aa)</f>
        <v>0</v>
      </c>
      <c r="AB1031">
        <f>sumif(Plan!B:B,"211-028500-053",Plan!ab:ab)</f>
        <v>0</v>
      </c>
      <c r="AC1031">
        <f>sumif(Plan!B:B,"211-028500-053",Plan!ac:ac)</f>
        <v>0</v>
      </c>
      <c r="AD1031">
        <f>sumif(Plan!B:B,"211-028500-053",Plan!ad:ad)</f>
        <v>0</v>
      </c>
      <c r="AE1031">
        <f>sumif(Plan!B:B,"211-028500-053",Plan!ae:ae)</f>
        <v>0</v>
      </c>
      <c r="AF1031">
        <f>sumif(Plan!B:B,"211-028500-053",Plan!af:af)</f>
        <v>0</v>
      </c>
      <c r="AG1031">
        <f>sumif(Plan!B:B,"211-028500-053",Plan!ag:ag)</f>
        <v>0</v>
      </c>
      <c r="AH1031">
        <f>sumif(Plan!B:B,"211-028500-053",Plan!ah:ah)</f>
        <v>0</v>
      </c>
      <c r="AI1031">
        <f>sumif(Plan!B:B,"211-028500-053",Plan!ai:ai)</f>
        <v>0</v>
      </c>
      <c r="AJ1031">
        <f>sumif(Plan!B:B,"211-028500-053",Plan!aj:aj)</f>
        <v>0</v>
      </c>
      <c r="AK1031">
        <f>sumif(Plan!B:B,"211-028500-053",Plan!ak:ak)</f>
        <v>0</v>
      </c>
      <c r="AL1031">
        <f>sumif(Plan!B:B,"211-028500-053",Plan!al:al)</f>
        <v>0</v>
      </c>
      <c r="AM1031">
        <f>sumif(Plan!B:B,"211-028500-053",Plan!am:am)</f>
        <v>0</v>
      </c>
      <c r="AN1031">
        <f>sumif(Plan!B:B,"211-028500-053",Plan!an:an)</f>
        <v>0</v>
      </c>
      <c r="AO1031">
        <f>sumif(Plan!B:B,"211-028500-053",Plan!ao:ao)</f>
        <v>0</v>
      </c>
    </row>
    <row r="1032" spans="1:41">
      <c r="A1032" t="s">
        <v>22</v>
      </c>
      <c r="B1032" t="s">
        <v>667</v>
      </c>
      <c r="C1032" t="s">
        <v>668</v>
      </c>
      <c r="E1032">
        <v>1</v>
      </c>
      <c r="F1032" t="s">
        <v>13</v>
      </c>
      <c r="H1032" t="s">
        <v>16</v>
      </c>
      <c r="J1032">
        <f>indirect(address(1032,9))+indirect(address(1030,10))-indirect(address(1031,10))</f>
        <v>0</v>
      </c>
      <c r="K1032">
        <f>indirect(address(1032,10))+indirect(address(1030,11))-indirect(address(1031,11))</f>
        <v>0</v>
      </c>
      <c r="L1032">
        <f>indirect(address(1032,11))+indirect(address(1030,12))-indirect(address(1031,12))</f>
        <v>0</v>
      </c>
      <c r="M1032">
        <f>indirect(address(1032,12))+indirect(address(1030,13))-indirect(address(1031,13))</f>
        <v>0</v>
      </c>
      <c r="N1032">
        <f>indirect(address(1032,13))+indirect(address(1030,14))-indirect(address(1031,14))</f>
        <v>0</v>
      </c>
      <c r="O1032">
        <f>indirect(address(1032,14))+indirect(address(1030,15))-indirect(address(1031,15))</f>
        <v>0</v>
      </c>
      <c r="P1032">
        <f>indirect(address(1032,15))+indirect(address(1030,16))-indirect(address(1031,16))</f>
        <v>0</v>
      </c>
      <c r="Q1032">
        <f>indirect(address(1032,16))+indirect(address(1030,17))-indirect(address(1031,17))</f>
        <v>0</v>
      </c>
      <c r="R1032">
        <f>indirect(address(1032,17))+indirect(address(1030,18))-indirect(address(1031,18))</f>
        <v>0</v>
      </c>
      <c r="S1032">
        <f>indirect(address(1032,18))+indirect(address(1030,19))-indirect(address(1031,19))</f>
        <v>0</v>
      </c>
      <c r="T1032">
        <f>indirect(address(1032,19))+indirect(address(1030,20))-indirect(address(1031,20))</f>
        <v>0</v>
      </c>
      <c r="U1032">
        <f>indirect(address(1032,20))+indirect(address(1030,21))-indirect(address(1031,21))</f>
        <v>0</v>
      </c>
      <c r="V1032">
        <f>indirect(address(1032,21))+indirect(address(1030,22))-indirect(address(1031,22))</f>
        <v>0</v>
      </c>
      <c r="W1032">
        <f>indirect(address(1032,22))+indirect(address(1030,23))-indirect(address(1031,23))</f>
        <v>0</v>
      </c>
      <c r="X1032">
        <f>indirect(address(1032,23))+indirect(address(1030,24))-indirect(address(1031,24))</f>
        <v>0</v>
      </c>
      <c r="Y1032">
        <f>indirect(address(1032,24))+indirect(address(1030,25))-indirect(address(1031,25))</f>
        <v>0</v>
      </c>
      <c r="Z1032">
        <f>indirect(address(1032,25))+indirect(address(1030,26))-indirect(address(1031,26))</f>
        <v>0</v>
      </c>
      <c r="AA1032">
        <f>indirect(address(1032,26))+indirect(address(1030,27))-indirect(address(1031,27))</f>
        <v>0</v>
      </c>
      <c r="AB1032">
        <f>indirect(address(1032,27))+indirect(address(1030,28))-indirect(address(1031,28))</f>
        <v>0</v>
      </c>
      <c r="AC1032">
        <f>indirect(address(1032,28))+indirect(address(1030,29))-indirect(address(1031,29))</f>
        <v>0</v>
      </c>
      <c r="AD1032">
        <f>indirect(address(1032,29))+indirect(address(1030,30))-indirect(address(1031,30))</f>
        <v>0</v>
      </c>
      <c r="AE1032">
        <f>indirect(address(1032,30))+indirect(address(1030,31))-indirect(address(1031,31))</f>
        <v>0</v>
      </c>
      <c r="AF1032">
        <f>indirect(address(1032,31))+indirect(address(1030,32))-indirect(address(1031,32))</f>
        <v>0</v>
      </c>
      <c r="AG1032">
        <f>indirect(address(1032,32))+indirect(address(1030,33))-indirect(address(1031,33))</f>
        <v>0</v>
      </c>
      <c r="AH1032">
        <f>indirect(address(1032,33))+indirect(address(1030,34))-indirect(address(1031,34))</f>
        <v>0</v>
      </c>
      <c r="AI1032">
        <f>indirect(address(1032,34))+indirect(address(1030,35))-indirect(address(1031,35))</f>
        <v>0</v>
      </c>
      <c r="AJ1032">
        <f>indirect(address(1032,35))+indirect(address(1030,36))-indirect(address(1031,36))</f>
        <v>0</v>
      </c>
      <c r="AK1032">
        <f>indirect(address(1032,36))+indirect(address(1030,37))-indirect(address(1031,37))</f>
        <v>0</v>
      </c>
      <c r="AL1032">
        <f>indirect(address(1032,37))+indirect(address(1030,38))-indirect(address(1031,38))</f>
        <v>0</v>
      </c>
      <c r="AM1032">
        <f>indirect(address(1032,38))+indirect(address(1030,39))-indirect(address(1031,39))</f>
        <v>0</v>
      </c>
      <c r="AN1032">
        <f>indirect(address(1032,39))+indirect(address(1030,40))-indirect(address(1031,40))</f>
        <v>0</v>
      </c>
      <c r="AO1032">
        <f>indirect(address(1032,40))+indirect(address(1030,41))-indirect(address(1031,41))</f>
        <v>0</v>
      </c>
    </row>
    <row r="1033" spans="1:41">
      <c r="I1033" t="s">
        <v>14</v>
      </c>
      <c r="AO1033">
        <f>sum(j1033:an1033)</f>
        <v>0</v>
      </c>
    </row>
    <row r="1034" spans="1:41">
      <c r="I1034" t="s">
        <v>15</v>
      </c>
      <c r="J1034">
        <f>sumif(Plan!B:B,"211-028500-053",Plan!j:j)</f>
        <v>0</v>
      </c>
      <c r="K1034">
        <f>sumif(Plan!B:B,"211-028500-053",Plan!k:k)</f>
        <v>0</v>
      </c>
      <c r="L1034">
        <f>sumif(Plan!B:B,"211-028500-053",Plan!l:l)</f>
        <v>0</v>
      </c>
      <c r="M1034">
        <f>sumif(Plan!B:B,"211-028500-053",Plan!m:m)</f>
        <v>0</v>
      </c>
      <c r="N1034">
        <f>sumif(Plan!B:B,"211-028500-053",Plan!n:n)</f>
        <v>0</v>
      </c>
      <c r="O1034">
        <f>sumif(Plan!B:B,"211-028500-053",Plan!o:o)</f>
        <v>0</v>
      </c>
      <c r="P1034">
        <f>sumif(Plan!B:B,"211-028500-053",Plan!p:p)</f>
        <v>0</v>
      </c>
      <c r="Q1034">
        <f>sumif(Plan!B:B,"211-028500-053",Plan!q:q)</f>
        <v>0</v>
      </c>
      <c r="R1034">
        <f>sumif(Plan!B:B,"211-028500-053",Plan!r:r)</f>
        <v>0</v>
      </c>
      <c r="S1034">
        <f>sumif(Plan!B:B,"211-028500-053",Plan!s:s)</f>
        <v>0</v>
      </c>
      <c r="T1034">
        <f>sumif(Plan!B:B,"211-028500-053",Plan!t:t)</f>
        <v>0</v>
      </c>
      <c r="U1034">
        <f>sumif(Plan!B:B,"211-028500-053",Plan!u:u)</f>
        <v>0</v>
      </c>
      <c r="V1034">
        <f>sumif(Plan!B:B,"211-028500-053",Plan!v:v)</f>
        <v>0</v>
      </c>
      <c r="W1034">
        <f>sumif(Plan!B:B,"211-028500-053",Plan!w:w)</f>
        <v>0</v>
      </c>
      <c r="X1034">
        <f>sumif(Plan!B:B,"211-028500-053",Plan!x:x)</f>
        <v>0</v>
      </c>
      <c r="Y1034">
        <f>sumif(Plan!B:B,"211-028500-053",Plan!y:y)</f>
        <v>0</v>
      </c>
      <c r="Z1034">
        <f>sumif(Plan!B:B,"211-028500-053",Plan!z:z)</f>
        <v>0</v>
      </c>
      <c r="AA1034">
        <f>sumif(Plan!B:B,"211-028500-053",Plan!aa:aa)</f>
        <v>0</v>
      </c>
      <c r="AB1034">
        <f>sumif(Plan!B:B,"211-028500-053",Plan!ab:ab)</f>
        <v>0</v>
      </c>
      <c r="AC1034">
        <f>sumif(Plan!B:B,"211-028500-053",Plan!ac:ac)</f>
        <v>0</v>
      </c>
      <c r="AD1034">
        <f>sumif(Plan!B:B,"211-028500-053",Plan!ad:ad)</f>
        <v>0</v>
      </c>
      <c r="AE1034">
        <f>sumif(Plan!B:B,"211-028500-053",Plan!ae:ae)</f>
        <v>0</v>
      </c>
      <c r="AF1034">
        <f>sumif(Plan!B:B,"211-028500-053",Plan!af:af)</f>
        <v>0</v>
      </c>
      <c r="AG1034">
        <f>sumif(Plan!B:B,"211-028500-053",Plan!ag:ag)</f>
        <v>0</v>
      </c>
      <c r="AH1034">
        <f>sumif(Plan!B:B,"211-028500-053",Plan!ah:ah)</f>
        <v>0</v>
      </c>
      <c r="AI1034">
        <f>sumif(Plan!B:B,"211-028500-053",Plan!ai:ai)</f>
        <v>0</v>
      </c>
      <c r="AJ1034">
        <f>sumif(Plan!B:B,"211-028500-053",Plan!aj:aj)</f>
        <v>0</v>
      </c>
      <c r="AK1034">
        <f>sumif(Plan!B:B,"211-028500-053",Plan!ak:ak)</f>
        <v>0</v>
      </c>
      <c r="AL1034">
        <f>sumif(Plan!B:B,"211-028500-053",Plan!al:al)</f>
        <v>0</v>
      </c>
      <c r="AM1034">
        <f>sumif(Plan!B:B,"211-028500-053",Plan!am:am)</f>
        <v>0</v>
      </c>
      <c r="AN1034">
        <f>sumif(Plan!B:B,"211-028500-053",Plan!an:an)</f>
        <v>0</v>
      </c>
      <c r="AO1034">
        <f>sumif(Plan!B:B,"211-028500-053",Plan!ao:ao)</f>
        <v>0</v>
      </c>
    </row>
    <row r="1035" spans="1:41">
      <c r="A1035" t="s">
        <v>22</v>
      </c>
      <c r="B1035" t="s">
        <v>667</v>
      </c>
      <c r="C1035" t="s">
        <v>669</v>
      </c>
      <c r="E1035">
        <v>1</v>
      </c>
      <c r="F1035" t="s">
        <v>13</v>
      </c>
      <c r="H1035" t="s">
        <v>16</v>
      </c>
      <c r="J1035">
        <f>indirect(address(1035,9))+indirect(address(1033,10))-indirect(address(1034,10))</f>
        <v>0</v>
      </c>
      <c r="K1035">
        <f>indirect(address(1035,10))+indirect(address(1033,11))-indirect(address(1034,11))</f>
        <v>0</v>
      </c>
      <c r="L1035">
        <f>indirect(address(1035,11))+indirect(address(1033,12))-indirect(address(1034,12))</f>
        <v>0</v>
      </c>
      <c r="M1035">
        <f>indirect(address(1035,12))+indirect(address(1033,13))-indirect(address(1034,13))</f>
        <v>0</v>
      </c>
      <c r="N1035">
        <f>indirect(address(1035,13))+indirect(address(1033,14))-indirect(address(1034,14))</f>
        <v>0</v>
      </c>
      <c r="O1035">
        <f>indirect(address(1035,14))+indirect(address(1033,15))-indirect(address(1034,15))</f>
        <v>0</v>
      </c>
      <c r="P1035">
        <f>indirect(address(1035,15))+indirect(address(1033,16))-indirect(address(1034,16))</f>
        <v>0</v>
      </c>
      <c r="Q1035">
        <f>indirect(address(1035,16))+indirect(address(1033,17))-indirect(address(1034,17))</f>
        <v>0</v>
      </c>
      <c r="R1035">
        <f>indirect(address(1035,17))+indirect(address(1033,18))-indirect(address(1034,18))</f>
        <v>0</v>
      </c>
      <c r="S1035">
        <f>indirect(address(1035,18))+indirect(address(1033,19))-indirect(address(1034,19))</f>
        <v>0</v>
      </c>
      <c r="T1035">
        <f>indirect(address(1035,19))+indirect(address(1033,20))-indirect(address(1034,20))</f>
        <v>0</v>
      </c>
      <c r="U1035">
        <f>indirect(address(1035,20))+indirect(address(1033,21))-indirect(address(1034,21))</f>
        <v>0</v>
      </c>
      <c r="V1035">
        <f>indirect(address(1035,21))+indirect(address(1033,22))-indirect(address(1034,22))</f>
        <v>0</v>
      </c>
      <c r="W1035">
        <f>indirect(address(1035,22))+indirect(address(1033,23))-indirect(address(1034,23))</f>
        <v>0</v>
      </c>
      <c r="X1035">
        <f>indirect(address(1035,23))+indirect(address(1033,24))-indirect(address(1034,24))</f>
        <v>0</v>
      </c>
      <c r="Y1035">
        <f>indirect(address(1035,24))+indirect(address(1033,25))-indirect(address(1034,25))</f>
        <v>0</v>
      </c>
      <c r="Z1035">
        <f>indirect(address(1035,25))+indirect(address(1033,26))-indirect(address(1034,26))</f>
        <v>0</v>
      </c>
      <c r="AA1035">
        <f>indirect(address(1035,26))+indirect(address(1033,27))-indirect(address(1034,27))</f>
        <v>0</v>
      </c>
      <c r="AB1035">
        <f>indirect(address(1035,27))+indirect(address(1033,28))-indirect(address(1034,28))</f>
        <v>0</v>
      </c>
      <c r="AC1035">
        <f>indirect(address(1035,28))+indirect(address(1033,29))-indirect(address(1034,29))</f>
        <v>0</v>
      </c>
      <c r="AD1035">
        <f>indirect(address(1035,29))+indirect(address(1033,30))-indirect(address(1034,30))</f>
        <v>0</v>
      </c>
      <c r="AE1035">
        <f>indirect(address(1035,30))+indirect(address(1033,31))-indirect(address(1034,31))</f>
        <v>0</v>
      </c>
      <c r="AF1035">
        <f>indirect(address(1035,31))+indirect(address(1033,32))-indirect(address(1034,32))</f>
        <v>0</v>
      </c>
      <c r="AG1035">
        <f>indirect(address(1035,32))+indirect(address(1033,33))-indirect(address(1034,33))</f>
        <v>0</v>
      </c>
      <c r="AH1035">
        <f>indirect(address(1035,33))+indirect(address(1033,34))-indirect(address(1034,34))</f>
        <v>0</v>
      </c>
      <c r="AI1035">
        <f>indirect(address(1035,34))+indirect(address(1033,35))-indirect(address(1034,35))</f>
        <v>0</v>
      </c>
      <c r="AJ1035">
        <f>indirect(address(1035,35))+indirect(address(1033,36))-indirect(address(1034,36))</f>
        <v>0</v>
      </c>
      <c r="AK1035">
        <f>indirect(address(1035,36))+indirect(address(1033,37))-indirect(address(1034,37))</f>
        <v>0</v>
      </c>
      <c r="AL1035">
        <f>indirect(address(1035,37))+indirect(address(1033,38))-indirect(address(1034,38))</f>
        <v>0</v>
      </c>
      <c r="AM1035">
        <f>indirect(address(1035,38))+indirect(address(1033,39))-indirect(address(1034,39))</f>
        <v>0</v>
      </c>
      <c r="AN1035">
        <f>indirect(address(1035,39))+indirect(address(1033,40))-indirect(address(1034,40))</f>
        <v>0</v>
      </c>
      <c r="AO1035">
        <f>indirect(address(1035,40))+indirect(address(1033,41))-indirect(address(1034,41))</f>
        <v>0</v>
      </c>
    </row>
    <row r="1036" spans="1:41">
      <c r="I1036" t="s">
        <v>14</v>
      </c>
      <c r="AO1036">
        <f>sum(j1036:an1036)</f>
        <v>0</v>
      </c>
    </row>
    <row r="1037" spans="1:41">
      <c r="I1037" t="s">
        <v>15</v>
      </c>
      <c r="J1037">
        <f>sumif(Plan!B:B,"211-028500-053",Plan!j:j)</f>
        <v>0</v>
      </c>
      <c r="K1037">
        <f>sumif(Plan!B:B,"211-028500-053",Plan!k:k)</f>
        <v>0</v>
      </c>
      <c r="L1037">
        <f>sumif(Plan!B:B,"211-028500-053",Plan!l:l)</f>
        <v>0</v>
      </c>
      <c r="M1037">
        <f>sumif(Plan!B:B,"211-028500-053",Plan!m:m)</f>
        <v>0</v>
      </c>
      <c r="N1037">
        <f>sumif(Plan!B:B,"211-028500-053",Plan!n:n)</f>
        <v>0</v>
      </c>
      <c r="O1037">
        <f>sumif(Plan!B:B,"211-028500-053",Plan!o:o)</f>
        <v>0</v>
      </c>
      <c r="P1037">
        <f>sumif(Plan!B:B,"211-028500-053",Plan!p:p)</f>
        <v>0</v>
      </c>
      <c r="Q1037">
        <f>sumif(Plan!B:B,"211-028500-053",Plan!q:q)</f>
        <v>0</v>
      </c>
      <c r="R1037">
        <f>sumif(Plan!B:B,"211-028500-053",Plan!r:r)</f>
        <v>0</v>
      </c>
      <c r="S1037">
        <f>sumif(Plan!B:B,"211-028500-053",Plan!s:s)</f>
        <v>0</v>
      </c>
      <c r="T1037">
        <f>sumif(Plan!B:B,"211-028500-053",Plan!t:t)</f>
        <v>0</v>
      </c>
      <c r="U1037">
        <f>sumif(Plan!B:B,"211-028500-053",Plan!u:u)</f>
        <v>0</v>
      </c>
      <c r="V1037">
        <f>sumif(Plan!B:B,"211-028500-053",Plan!v:v)</f>
        <v>0</v>
      </c>
      <c r="W1037">
        <f>sumif(Plan!B:B,"211-028500-053",Plan!w:w)</f>
        <v>0</v>
      </c>
      <c r="X1037">
        <f>sumif(Plan!B:B,"211-028500-053",Plan!x:x)</f>
        <v>0</v>
      </c>
      <c r="Y1037">
        <f>sumif(Plan!B:B,"211-028500-053",Plan!y:y)</f>
        <v>0</v>
      </c>
      <c r="Z1037">
        <f>sumif(Plan!B:B,"211-028500-053",Plan!z:z)</f>
        <v>0</v>
      </c>
      <c r="AA1037">
        <f>sumif(Plan!B:B,"211-028500-053",Plan!aa:aa)</f>
        <v>0</v>
      </c>
      <c r="AB1037">
        <f>sumif(Plan!B:B,"211-028500-053",Plan!ab:ab)</f>
        <v>0</v>
      </c>
      <c r="AC1037">
        <f>sumif(Plan!B:B,"211-028500-053",Plan!ac:ac)</f>
        <v>0</v>
      </c>
      <c r="AD1037">
        <f>sumif(Plan!B:B,"211-028500-053",Plan!ad:ad)</f>
        <v>0</v>
      </c>
      <c r="AE1037">
        <f>sumif(Plan!B:B,"211-028500-053",Plan!ae:ae)</f>
        <v>0</v>
      </c>
      <c r="AF1037">
        <f>sumif(Plan!B:B,"211-028500-053",Plan!af:af)</f>
        <v>0</v>
      </c>
      <c r="AG1037">
        <f>sumif(Plan!B:B,"211-028500-053",Plan!ag:ag)</f>
        <v>0</v>
      </c>
      <c r="AH1037">
        <f>sumif(Plan!B:B,"211-028500-053",Plan!ah:ah)</f>
        <v>0</v>
      </c>
      <c r="AI1037">
        <f>sumif(Plan!B:B,"211-028500-053",Plan!ai:ai)</f>
        <v>0</v>
      </c>
      <c r="AJ1037">
        <f>sumif(Plan!B:B,"211-028500-053",Plan!aj:aj)</f>
        <v>0</v>
      </c>
      <c r="AK1037">
        <f>sumif(Plan!B:B,"211-028500-053",Plan!ak:ak)</f>
        <v>0</v>
      </c>
      <c r="AL1037">
        <f>sumif(Plan!B:B,"211-028500-053",Plan!al:al)</f>
        <v>0</v>
      </c>
      <c r="AM1037">
        <f>sumif(Plan!B:B,"211-028500-053",Plan!am:am)</f>
        <v>0</v>
      </c>
      <c r="AN1037">
        <f>sumif(Plan!B:B,"211-028500-053",Plan!an:an)</f>
        <v>0</v>
      </c>
      <c r="AO1037">
        <f>sumif(Plan!B:B,"211-028500-053",Plan!ao:ao)</f>
        <v>0</v>
      </c>
    </row>
    <row r="1038" spans="1:41">
      <c r="A1038" t="s">
        <v>43</v>
      </c>
      <c r="B1038" t="s">
        <v>667</v>
      </c>
      <c r="C1038" t="s">
        <v>669</v>
      </c>
      <c r="E1038">
        <v>1</v>
      </c>
      <c r="F1038" t="s">
        <v>13</v>
      </c>
      <c r="H1038" t="s">
        <v>16</v>
      </c>
      <c r="J1038">
        <f>indirect(address(1038,9))+indirect(address(1036,10))-indirect(address(1037,10))</f>
        <v>0</v>
      </c>
      <c r="K1038">
        <f>indirect(address(1038,10))+indirect(address(1036,11))-indirect(address(1037,11))</f>
        <v>0</v>
      </c>
      <c r="L1038">
        <f>indirect(address(1038,11))+indirect(address(1036,12))-indirect(address(1037,12))</f>
        <v>0</v>
      </c>
      <c r="M1038">
        <f>indirect(address(1038,12))+indirect(address(1036,13))-indirect(address(1037,13))</f>
        <v>0</v>
      </c>
      <c r="N1038">
        <f>indirect(address(1038,13))+indirect(address(1036,14))-indirect(address(1037,14))</f>
        <v>0</v>
      </c>
      <c r="O1038">
        <f>indirect(address(1038,14))+indirect(address(1036,15))-indirect(address(1037,15))</f>
        <v>0</v>
      </c>
      <c r="P1038">
        <f>indirect(address(1038,15))+indirect(address(1036,16))-indirect(address(1037,16))</f>
        <v>0</v>
      </c>
      <c r="Q1038">
        <f>indirect(address(1038,16))+indirect(address(1036,17))-indirect(address(1037,17))</f>
        <v>0</v>
      </c>
      <c r="R1038">
        <f>indirect(address(1038,17))+indirect(address(1036,18))-indirect(address(1037,18))</f>
        <v>0</v>
      </c>
      <c r="S1038">
        <f>indirect(address(1038,18))+indirect(address(1036,19))-indirect(address(1037,19))</f>
        <v>0</v>
      </c>
      <c r="T1038">
        <f>indirect(address(1038,19))+indirect(address(1036,20))-indirect(address(1037,20))</f>
        <v>0</v>
      </c>
      <c r="U1038">
        <f>indirect(address(1038,20))+indirect(address(1036,21))-indirect(address(1037,21))</f>
        <v>0</v>
      </c>
      <c r="V1038">
        <f>indirect(address(1038,21))+indirect(address(1036,22))-indirect(address(1037,22))</f>
        <v>0</v>
      </c>
      <c r="W1038">
        <f>indirect(address(1038,22))+indirect(address(1036,23))-indirect(address(1037,23))</f>
        <v>0</v>
      </c>
      <c r="X1038">
        <f>indirect(address(1038,23))+indirect(address(1036,24))-indirect(address(1037,24))</f>
        <v>0</v>
      </c>
      <c r="Y1038">
        <f>indirect(address(1038,24))+indirect(address(1036,25))-indirect(address(1037,25))</f>
        <v>0</v>
      </c>
      <c r="Z1038">
        <f>indirect(address(1038,25))+indirect(address(1036,26))-indirect(address(1037,26))</f>
        <v>0</v>
      </c>
      <c r="AA1038">
        <f>indirect(address(1038,26))+indirect(address(1036,27))-indirect(address(1037,27))</f>
        <v>0</v>
      </c>
      <c r="AB1038">
        <f>indirect(address(1038,27))+indirect(address(1036,28))-indirect(address(1037,28))</f>
        <v>0</v>
      </c>
      <c r="AC1038">
        <f>indirect(address(1038,28))+indirect(address(1036,29))-indirect(address(1037,29))</f>
        <v>0</v>
      </c>
      <c r="AD1038">
        <f>indirect(address(1038,29))+indirect(address(1036,30))-indirect(address(1037,30))</f>
        <v>0</v>
      </c>
      <c r="AE1038">
        <f>indirect(address(1038,30))+indirect(address(1036,31))-indirect(address(1037,31))</f>
        <v>0</v>
      </c>
      <c r="AF1038">
        <f>indirect(address(1038,31))+indirect(address(1036,32))-indirect(address(1037,32))</f>
        <v>0</v>
      </c>
      <c r="AG1038">
        <f>indirect(address(1038,32))+indirect(address(1036,33))-indirect(address(1037,33))</f>
        <v>0</v>
      </c>
      <c r="AH1038">
        <f>indirect(address(1038,33))+indirect(address(1036,34))-indirect(address(1037,34))</f>
        <v>0</v>
      </c>
      <c r="AI1038">
        <f>indirect(address(1038,34))+indirect(address(1036,35))-indirect(address(1037,35))</f>
        <v>0</v>
      </c>
      <c r="AJ1038">
        <f>indirect(address(1038,35))+indirect(address(1036,36))-indirect(address(1037,36))</f>
        <v>0</v>
      </c>
      <c r="AK1038">
        <f>indirect(address(1038,36))+indirect(address(1036,37))-indirect(address(1037,37))</f>
        <v>0</v>
      </c>
      <c r="AL1038">
        <f>indirect(address(1038,37))+indirect(address(1036,38))-indirect(address(1037,38))</f>
        <v>0</v>
      </c>
      <c r="AM1038">
        <f>indirect(address(1038,38))+indirect(address(1036,39))-indirect(address(1037,39))</f>
        <v>0</v>
      </c>
      <c r="AN1038">
        <f>indirect(address(1038,39))+indirect(address(1036,40))-indirect(address(1037,40))</f>
        <v>0</v>
      </c>
      <c r="AO1038">
        <f>indirect(address(1038,40))+indirect(address(1036,41))-indirect(address(1037,41))</f>
        <v>0</v>
      </c>
    </row>
    <row r="1039" spans="1:41">
      <c r="I1039" t="s">
        <v>14</v>
      </c>
      <c r="AO1039">
        <f>sum(j1039:an1039)</f>
        <v>0</v>
      </c>
    </row>
    <row r="1040" spans="1:41">
      <c r="I1040" t="s">
        <v>15</v>
      </c>
      <c r="J1040">
        <f>sumif(Plan!B:B,"906-394000-110",Plan!j:j)</f>
        <v>0</v>
      </c>
      <c r="K1040">
        <f>sumif(Plan!B:B,"906-394000-110",Plan!k:k)</f>
        <v>0</v>
      </c>
      <c r="L1040">
        <f>sumif(Plan!B:B,"906-394000-110",Plan!l:l)</f>
        <v>0</v>
      </c>
      <c r="M1040">
        <f>sumif(Plan!B:B,"906-394000-110",Plan!m:m)</f>
        <v>0</v>
      </c>
      <c r="N1040">
        <f>sumif(Plan!B:B,"906-394000-110",Plan!n:n)</f>
        <v>0</v>
      </c>
      <c r="O1040">
        <f>sumif(Plan!B:B,"906-394000-110",Plan!o:o)</f>
        <v>0</v>
      </c>
      <c r="P1040">
        <f>sumif(Plan!B:B,"906-394000-110",Plan!p:p)</f>
        <v>0</v>
      </c>
      <c r="Q1040">
        <f>sumif(Plan!B:B,"906-394000-110",Plan!q:q)</f>
        <v>0</v>
      </c>
      <c r="R1040">
        <f>sumif(Plan!B:B,"906-394000-110",Plan!r:r)</f>
        <v>0</v>
      </c>
      <c r="S1040">
        <f>sumif(Plan!B:B,"906-394000-110",Plan!s:s)</f>
        <v>0</v>
      </c>
      <c r="T1040">
        <f>sumif(Plan!B:B,"906-394000-110",Plan!t:t)</f>
        <v>0</v>
      </c>
      <c r="U1040">
        <f>sumif(Plan!B:B,"906-394000-110",Plan!u:u)</f>
        <v>0</v>
      </c>
      <c r="V1040">
        <f>sumif(Plan!B:B,"906-394000-110",Plan!v:v)</f>
        <v>0</v>
      </c>
      <c r="W1040">
        <f>sumif(Plan!B:B,"906-394000-110",Plan!w:w)</f>
        <v>0</v>
      </c>
      <c r="X1040">
        <f>sumif(Plan!B:B,"906-394000-110",Plan!x:x)</f>
        <v>0</v>
      </c>
      <c r="Y1040">
        <f>sumif(Plan!B:B,"906-394000-110",Plan!y:y)</f>
        <v>0</v>
      </c>
      <c r="Z1040">
        <f>sumif(Plan!B:B,"906-394000-110",Plan!z:z)</f>
        <v>0</v>
      </c>
      <c r="AA1040">
        <f>sumif(Plan!B:B,"906-394000-110",Plan!aa:aa)</f>
        <v>0</v>
      </c>
      <c r="AB1040">
        <f>sumif(Plan!B:B,"906-394000-110",Plan!ab:ab)</f>
        <v>0</v>
      </c>
      <c r="AC1040">
        <f>sumif(Plan!B:B,"906-394000-110",Plan!ac:ac)</f>
        <v>0</v>
      </c>
      <c r="AD1040">
        <f>sumif(Plan!B:B,"906-394000-110",Plan!ad:ad)</f>
        <v>0</v>
      </c>
      <c r="AE1040">
        <f>sumif(Plan!B:B,"906-394000-110",Plan!ae:ae)</f>
        <v>0</v>
      </c>
      <c r="AF1040">
        <f>sumif(Plan!B:B,"906-394000-110",Plan!af:af)</f>
        <v>0</v>
      </c>
      <c r="AG1040">
        <f>sumif(Plan!B:B,"906-394000-110",Plan!ag:ag)</f>
        <v>0</v>
      </c>
      <c r="AH1040">
        <f>sumif(Plan!B:B,"906-394000-110",Plan!ah:ah)</f>
        <v>0</v>
      </c>
      <c r="AI1040">
        <f>sumif(Plan!B:B,"906-394000-110",Plan!ai:ai)</f>
        <v>0</v>
      </c>
      <c r="AJ1040">
        <f>sumif(Plan!B:B,"906-394000-110",Plan!aj:aj)</f>
        <v>0</v>
      </c>
      <c r="AK1040">
        <f>sumif(Plan!B:B,"906-394000-110",Plan!ak:ak)</f>
        <v>0</v>
      </c>
      <c r="AL1040">
        <f>sumif(Plan!B:B,"906-394000-110",Plan!al:al)</f>
        <v>0</v>
      </c>
      <c r="AM1040">
        <f>sumif(Plan!B:B,"906-394000-110",Plan!am:am)</f>
        <v>0</v>
      </c>
      <c r="AN1040">
        <f>sumif(Plan!B:B,"906-394000-110",Plan!an:an)</f>
        <v>0</v>
      </c>
      <c r="AO1040">
        <f>sumif(Plan!B:B,"906-394000-110",Plan!ao:ao)</f>
        <v>0</v>
      </c>
    </row>
    <row r="1041" spans="1:41">
      <c r="A1041" t="s">
        <v>17</v>
      </c>
      <c r="B1041" t="s">
        <v>671</v>
      </c>
      <c r="C1041" t="s">
        <v>672</v>
      </c>
      <c r="E1041">
        <v>1</v>
      </c>
      <c r="F1041" t="s">
        <v>13</v>
      </c>
      <c r="H1041" t="s">
        <v>16</v>
      </c>
      <c r="J1041">
        <f>indirect(address(1041,9))+indirect(address(1039,10))-indirect(address(1040,10))</f>
        <v>0</v>
      </c>
      <c r="K1041">
        <f>indirect(address(1041,10))+indirect(address(1039,11))-indirect(address(1040,11))</f>
        <v>0</v>
      </c>
      <c r="L1041">
        <f>indirect(address(1041,11))+indirect(address(1039,12))-indirect(address(1040,12))</f>
        <v>0</v>
      </c>
      <c r="M1041">
        <f>indirect(address(1041,12))+indirect(address(1039,13))-indirect(address(1040,13))</f>
        <v>0</v>
      </c>
      <c r="N1041">
        <f>indirect(address(1041,13))+indirect(address(1039,14))-indirect(address(1040,14))</f>
        <v>0</v>
      </c>
      <c r="O1041">
        <f>indirect(address(1041,14))+indirect(address(1039,15))-indirect(address(1040,15))</f>
        <v>0</v>
      </c>
      <c r="P1041">
        <f>indirect(address(1041,15))+indirect(address(1039,16))-indirect(address(1040,16))</f>
        <v>0</v>
      </c>
      <c r="Q1041">
        <f>indirect(address(1041,16))+indirect(address(1039,17))-indirect(address(1040,17))</f>
        <v>0</v>
      </c>
      <c r="R1041">
        <f>indirect(address(1041,17))+indirect(address(1039,18))-indirect(address(1040,18))</f>
        <v>0</v>
      </c>
      <c r="S1041">
        <f>indirect(address(1041,18))+indirect(address(1039,19))-indirect(address(1040,19))</f>
        <v>0</v>
      </c>
      <c r="T1041">
        <f>indirect(address(1041,19))+indirect(address(1039,20))-indirect(address(1040,20))</f>
        <v>0</v>
      </c>
      <c r="U1041">
        <f>indirect(address(1041,20))+indirect(address(1039,21))-indirect(address(1040,21))</f>
        <v>0</v>
      </c>
      <c r="V1041">
        <f>indirect(address(1041,21))+indirect(address(1039,22))-indirect(address(1040,22))</f>
        <v>0</v>
      </c>
      <c r="W1041">
        <f>indirect(address(1041,22))+indirect(address(1039,23))-indirect(address(1040,23))</f>
        <v>0</v>
      </c>
      <c r="X1041">
        <f>indirect(address(1041,23))+indirect(address(1039,24))-indirect(address(1040,24))</f>
        <v>0</v>
      </c>
      <c r="Y1041">
        <f>indirect(address(1041,24))+indirect(address(1039,25))-indirect(address(1040,25))</f>
        <v>0</v>
      </c>
      <c r="Z1041">
        <f>indirect(address(1041,25))+indirect(address(1039,26))-indirect(address(1040,26))</f>
        <v>0</v>
      </c>
      <c r="AA1041">
        <f>indirect(address(1041,26))+indirect(address(1039,27))-indirect(address(1040,27))</f>
        <v>0</v>
      </c>
      <c r="AB1041">
        <f>indirect(address(1041,27))+indirect(address(1039,28))-indirect(address(1040,28))</f>
        <v>0</v>
      </c>
      <c r="AC1041">
        <f>indirect(address(1041,28))+indirect(address(1039,29))-indirect(address(1040,29))</f>
        <v>0</v>
      </c>
      <c r="AD1041">
        <f>indirect(address(1041,29))+indirect(address(1039,30))-indirect(address(1040,30))</f>
        <v>0</v>
      </c>
      <c r="AE1041">
        <f>indirect(address(1041,30))+indirect(address(1039,31))-indirect(address(1040,31))</f>
        <v>0</v>
      </c>
      <c r="AF1041">
        <f>indirect(address(1041,31))+indirect(address(1039,32))-indirect(address(1040,32))</f>
        <v>0</v>
      </c>
      <c r="AG1041">
        <f>indirect(address(1041,32))+indirect(address(1039,33))-indirect(address(1040,33))</f>
        <v>0</v>
      </c>
      <c r="AH1041">
        <f>indirect(address(1041,33))+indirect(address(1039,34))-indirect(address(1040,34))</f>
        <v>0</v>
      </c>
      <c r="AI1041">
        <f>indirect(address(1041,34))+indirect(address(1039,35))-indirect(address(1040,35))</f>
        <v>0</v>
      </c>
      <c r="AJ1041">
        <f>indirect(address(1041,35))+indirect(address(1039,36))-indirect(address(1040,36))</f>
        <v>0</v>
      </c>
      <c r="AK1041">
        <f>indirect(address(1041,36))+indirect(address(1039,37))-indirect(address(1040,37))</f>
        <v>0</v>
      </c>
      <c r="AL1041">
        <f>indirect(address(1041,37))+indirect(address(1039,38))-indirect(address(1040,38))</f>
        <v>0</v>
      </c>
      <c r="AM1041">
        <f>indirect(address(1041,38))+indirect(address(1039,39))-indirect(address(1040,39))</f>
        <v>0</v>
      </c>
      <c r="AN1041">
        <f>indirect(address(1041,39))+indirect(address(1039,40))-indirect(address(1040,40))</f>
        <v>0</v>
      </c>
      <c r="AO1041">
        <f>indirect(address(1041,40))+indirect(address(1039,41))-indirect(address(1040,41))</f>
        <v>0</v>
      </c>
    </row>
    <row r="1042" spans="1:41">
      <c r="I1042" t="s">
        <v>14</v>
      </c>
      <c r="AO1042">
        <f>sum(j1042:an1042)</f>
        <v>0</v>
      </c>
    </row>
    <row r="1043" spans="1:41">
      <c r="I1043" t="s">
        <v>15</v>
      </c>
      <c r="J1043">
        <f>sumif(Plan!B:B,"211-020000-000",Plan!j:j)</f>
        <v>0</v>
      </c>
      <c r="K1043">
        <f>sumif(Plan!B:B,"211-020000-000",Plan!k:k)</f>
        <v>0</v>
      </c>
      <c r="L1043">
        <f>sumif(Plan!B:B,"211-020000-000",Plan!l:l)</f>
        <v>0</v>
      </c>
      <c r="M1043">
        <f>sumif(Plan!B:B,"211-020000-000",Plan!m:m)</f>
        <v>0</v>
      </c>
      <c r="N1043">
        <f>sumif(Plan!B:B,"211-020000-000",Plan!n:n)</f>
        <v>0</v>
      </c>
      <c r="O1043">
        <f>sumif(Plan!B:B,"211-020000-000",Plan!o:o)</f>
        <v>0</v>
      </c>
      <c r="P1043">
        <f>sumif(Plan!B:B,"211-020000-000",Plan!p:p)</f>
        <v>0</v>
      </c>
      <c r="Q1043">
        <f>sumif(Plan!B:B,"211-020000-000",Plan!q:q)</f>
        <v>0</v>
      </c>
      <c r="R1043">
        <f>sumif(Plan!B:B,"211-020000-000",Plan!r:r)</f>
        <v>0</v>
      </c>
      <c r="S1043">
        <f>sumif(Plan!B:B,"211-020000-000",Plan!s:s)</f>
        <v>0</v>
      </c>
      <c r="T1043">
        <f>sumif(Plan!B:B,"211-020000-000",Plan!t:t)</f>
        <v>0</v>
      </c>
      <c r="U1043">
        <f>sumif(Plan!B:B,"211-020000-000",Plan!u:u)</f>
        <v>0</v>
      </c>
      <c r="V1043">
        <f>sumif(Plan!B:B,"211-020000-000",Plan!v:v)</f>
        <v>0</v>
      </c>
      <c r="W1043">
        <f>sumif(Plan!B:B,"211-020000-000",Plan!w:w)</f>
        <v>0</v>
      </c>
      <c r="X1043">
        <f>sumif(Plan!B:B,"211-020000-000",Plan!x:x)</f>
        <v>0</v>
      </c>
      <c r="Y1043">
        <f>sumif(Plan!B:B,"211-020000-000",Plan!y:y)</f>
        <v>0</v>
      </c>
      <c r="Z1043">
        <f>sumif(Plan!B:B,"211-020000-000",Plan!z:z)</f>
        <v>0</v>
      </c>
      <c r="AA1043">
        <f>sumif(Plan!B:B,"211-020000-000",Plan!aa:aa)</f>
        <v>0</v>
      </c>
      <c r="AB1043">
        <f>sumif(Plan!B:B,"211-020000-000",Plan!ab:ab)</f>
        <v>0</v>
      </c>
      <c r="AC1043">
        <f>sumif(Plan!B:B,"211-020000-000",Plan!ac:ac)</f>
        <v>0</v>
      </c>
      <c r="AD1043">
        <f>sumif(Plan!B:B,"211-020000-000",Plan!ad:ad)</f>
        <v>0</v>
      </c>
      <c r="AE1043">
        <f>sumif(Plan!B:B,"211-020000-000",Plan!ae:ae)</f>
        <v>0</v>
      </c>
      <c r="AF1043">
        <f>sumif(Plan!B:B,"211-020000-000",Plan!af:af)</f>
        <v>0</v>
      </c>
      <c r="AG1043">
        <f>sumif(Plan!B:B,"211-020000-000",Plan!ag:ag)</f>
        <v>0</v>
      </c>
      <c r="AH1043">
        <f>sumif(Plan!B:B,"211-020000-000",Plan!ah:ah)</f>
        <v>0</v>
      </c>
      <c r="AI1043">
        <f>sumif(Plan!B:B,"211-020000-000",Plan!ai:ai)</f>
        <v>0</v>
      </c>
      <c r="AJ1043">
        <f>sumif(Plan!B:B,"211-020000-000",Plan!aj:aj)</f>
        <v>0</v>
      </c>
      <c r="AK1043">
        <f>sumif(Plan!B:B,"211-020000-000",Plan!ak:ak)</f>
        <v>0</v>
      </c>
      <c r="AL1043">
        <f>sumif(Plan!B:B,"211-020000-000",Plan!al:al)</f>
        <v>0</v>
      </c>
      <c r="AM1043">
        <f>sumif(Plan!B:B,"211-020000-000",Plan!am:am)</f>
        <v>0</v>
      </c>
      <c r="AN1043">
        <f>sumif(Plan!B:B,"211-020000-000",Plan!an:an)</f>
        <v>0</v>
      </c>
      <c r="AO1043">
        <f>sumif(Plan!B:B,"211-020000-000",Plan!ao:ao)</f>
        <v>0</v>
      </c>
    </row>
    <row r="1044" spans="1:41">
      <c r="A1044" t="s">
        <v>22</v>
      </c>
      <c r="B1044" t="s">
        <v>673</v>
      </c>
      <c r="C1044" t="s">
        <v>674</v>
      </c>
      <c r="E1044">
        <v>1</v>
      </c>
      <c r="F1044" t="s">
        <v>13</v>
      </c>
      <c r="H1044" t="s">
        <v>16</v>
      </c>
      <c r="J1044">
        <f>indirect(address(1044,9))+indirect(address(1042,10))-indirect(address(1043,10))</f>
        <v>0</v>
      </c>
      <c r="K1044">
        <f>indirect(address(1044,10))+indirect(address(1042,11))-indirect(address(1043,11))</f>
        <v>0</v>
      </c>
      <c r="L1044">
        <f>indirect(address(1044,11))+indirect(address(1042,12))-indirect(address(1043,12))</f>
        <v>0</v>
      </c>
      <c r="M1044">
        <f>indirect(address(1044,12))+indirect(address(1042,13))-indirect(address(1043,13))</f>
        <v>0</v>
      </c>
      <c r="N1044">
        <f>indirect(address(1044,13))+indirect(address(1042,14))-indirect(address(1043,14))</f>
        <v>0</v>
      </c>
      <c r="O1044">
        <f>indirect(address(1044,14))+indirect(address(1042,15))-indirect(address(1043,15))</f>
        <v>0</v>
      </c>
      <c r="P1044">
        <f>indirect(address(1044,15))+indirect(address(1042,16))-indirect(address(1043,16))</f>
        <v>0</v>
      </c>
      <c r="Q1044">
        <f>indirect(address(1044,16))+indirect(address(1042,17))-indirect(address(1043,17))</f>
        <v>0</v>
      </c>
      <c r="R1044">
        <f>indirect(address(1044,17))+indirect(address(1042,18))-indirect(address(1043,18))</f>
        <v>0</v>
      </c>
      <c r="S1044">
        <f>indirect(address(1044,18))+indirect(address(1042,19))-indirect(address(1043,19))</f>
        <v>0</v>
      </c>
      <c r="T1044">
        <f>indirect(address(1044,19))+indirect(address(1042,20))-indirect(address(1043,20))</f>
        <v>0</v>
      </c>
      <c r="U1044">
        <f>indirect(address(1044,20))+indirect(address(1042,21))-indirect(address(1043,21))</f>
        <v>0</v>
      </c>
      <c r="V1044">
        <f>indirect(address(1044,21))+indirect(address(1042,22))-indirect(address(1043,22))</f>
        <v>0</v>
      </c>
      <c r="W1044">
        <f>indirect(address(1044,22))+indirect(address(1042,23))-indirect(address(1043,23))</f>
        <v>0</v>
      </c>
      <c r="X1044">
        <f>indirect(address(1044,23))+indirect(address(1042,24))-indirect(address(1043,24))</f>
        <v>0</v>
      </c>
      <c r="Y1044">
        <f>indirect(address(1044,24))+indirect(address(1042,25))-indirect(address(1043,25))</f>
        <v>0</v>
      </c>
      <c r="Z1044">
        <f>indirect(address(1044,25))+indirect(address(1042,26))-indirect(address(1043,26))</f>
        <v>0</v>
      </c>
      <c r="AA1044">
        <f>indirect(address(1044,26))+indirect(address(1042,27))-indirect(address(1043,27))</f>
        <v>0</v>
      </c>
      <c r="AB1044">
        <f>indirect(address(1044,27))+indirect(address(1042,28))-indirect(address(1043,28))</f>
        <v>0</v>
      </c>
      <c r="AC1044">
        <f>indirect(address(1044,28))+indirect(address(1042,29))-indirect(address(1043,29))</f>
        <v>0</v>
      </c>
      <c r="AD1044">
        <f>indirect(address(1044,29))+indirect(address(1042,30))-indirect(address(1043,30))</f>
        <v>0</v>
      </c>
      <c r="AE1044">
        <f>indirect(address(1044,30))+indirect(address(1042,31))-indirect(address(1043,31))</f>
        <v>0</v>
      </c>
      <c r="AF1044">
        <f>indirect(address(1044,31))+indirect(address(1042,32))-indirect(address(1043,32))</f>
        <v>0</v>
      </c>
      <c r="AG1044">
        <f>indirect(address(1044,32))+indirect(address(1042,33))-indirect(address(1043,33))</f>
        <v>0</v>
      </c>
      <c r="AH1044">
        <f>indirect(address(1044,33))+indirect(address(1042,34))-indirect(address(1043,34))</f>
        <v>0</v>
      </c>
      <c r="AI1044">
        <f>indirect(address(1044,34))+indirect(address(1042,35))-indirect(address(1043,35))</f>
        <v>0</v>
      </c>
      <c r="AJ1044">
        <f>indirect(address(1044,35))+indirect(address(1042,36))-indirect(address(1043,36))</f>
        <v>0</v>
      </c>
      <c r="AK1044">
        <f>indirect(address(1044,36))+indirect(address(1042,37))-indirect(address(1043,37))</f>
        <v>0</v>
      </c>
      <c r="AL1044">
        <f>indirect(address(1044,37))+indirect(address(1042,38))-indirect(address(1043,38))</f>
        <v>0</v>
      </c>
      <c r="AM1044">
        <f>indirect(address(1044,38))+indirect(address(1042,39))-indirect(address(1043,39))</f>
        <v>0</v>
      </c>
      <c r="AN1044">
        <f>indirect(address(1044,39))+indirect(address(1042,40))-indirect(address(1043,40))</f>
        <v>0</v>
      </c>
      <c r="AO1044">
        <f>indirect(address(1044,40))+indirect(address(1042,41))-indirect(address(1043,41))</f>
        <v>0</v>
      </c>
    </row>
    <row r="1045" spans="1:41">
      <c r="I1045" t="s">
        <v>14</v>
      </c>
      <c r="AO1045">
        <f>sum(j1045:an1045)</f>
        <v>0</v>
      </c>
    </row>
    <row r="1046" spans="1:41">
      <c r="I1046" t="s">
        <v>15</v>
      </c>
      <c r="J1046">
        <f>sumif(Plan!B:B,"211-020100-000",Plan!j:j)</f>
        <v>0</v>
      </c>
      <c r="K1046">
        <f>sumif(Plan!B:B,"211-020100-000",Plan!k:k)</f>
        <v>0</v>
      </c>
      <c r="L1046">
        <f>sumif(Plan!B:B,"211-020100-000",Plan!l:l)</f>
        <v>0</v>
      </c>
      <c r="M1046">
        <f>sumif(Plan!B:B,"211-020100-000",Plan!m:m)</f>
        <v>0</v>
      </c>
      <c r="N1046">
        <f>sumif(Plan!B:B,"211-020100-000",Plan!n:n)</f>
        <v>0</v>
      </c>
      <c r="O1046">
        <f>sumif(Plan!B:B,"211-020100-000",Plan!o:o)</f>
        <v>0</v>
      </c>
      <c r="P1046">
        <f>sumif(Plan!B:B,"211-020100-000",Plan!p:p)</f>
        <v>0</v>
      </c>
      <c r="Q1046">
        <f>sumif(Plan!B:B,"211-020100-000",Plan!q:q)</f>
        <v>0</v>
      </c>
      <c r="R1046">
        <f>sumif(Plan!B:B,"211-020100-000",Plan!r:r)</f>
        <v>0</v>
      </c>
      <c r="S1046">
        <f>sumif(Plan!B:B,"211-020100-000",Plan!s:s)</f>
        <v>0</v>
      </c>
      <c r="T1046">
        <f>sumif(Plan!B:B,"211-020100-000",Plan!t:t)</f>
        <v>0</v>
      </c>
      <c r="U1046">
        <f>sumif(Plan!B:B,"211-020100-000",Plan!u:u)</f>
        <v>0</v>
      </c>
      <c r="V1046">
        <f>sumif(Plan!B:B,"211-020100-000",Plan!v:v)</f>
        <v>0</v>
      </c>
      <c r="W1046">
        <f>sumif(Plan!B:B,"211-020100-000",Plan!w:w)</f>
        <v>0</v>
      </c>
      <c r="X1046">
        <f>sumif(Plan!B:B,"211-020100-000",Plan!x:x)</f>
        <v>0</v>
      </c>
      <c r="Y1046">
        <f>sumif(Plan!B:B,"211-020100-000",Plan!y:y)</f>
        <v>0</v>
      </c>
      <c r="Z1046">
        <f>sumif(Plan!B:B,"211-020100-000",Plan!z:z)</f>
        <v>0</v>
      </c>
      <c r="AA1046">
        <f>sumif(Plan!B:B,"211-020100-000",Plan!aa:aa)</f>
        <v>0</v>
      </c>
      <c r="AB1046">
        <f>sumif(Plan!B:B,"211-020100-000",Plan!ab:ab)</f>
        <v>0</v>
      </c>
      <c r="AC1046">
        <f>sumif(Plan!B:B,"211-020100-000",Plan!ac:ac)</f>
        <v>0</v>
      </c>
      <c r="AD1046">
        <f>sumif(Plan!B:B,"211-020100-000",Plan!ad:ad)</f>
        <v>0</v>
      </c>
      <c r="AE1046">
        <f>sumif(Plan!B:B,"211-020100-000",Plan!ae:ae)</f>
        <v>0</v>
      </c>
      <c r="AF1046">
        <f>sumif(Plan!B:B,"211-020100-000",Plan!af:af)</f>
        <v>0</v>
      </c>
      <c r="AG1046">
        <f>sumif(Plan!B:B,"211-020100-000",Plan!ag:ag)</f>
        <v>0</v>
      </c>
      <c r="AH1046">
        <f>sumif(Plan!B:B,"211-020100-000",Plan!ah:ah)</f>
        <v>0</v>
      </c>
      <c r="AI1046">
        <f>sumif(Plan!B:B,"211-020100-000",Plan!ai:ai)</f>
        <v>0</v>
      </c>
      <c r="AJ1046">
        <f>sumif(Plan!B:B,"211-020100-000",Plan!aj:aj)</f>
        <v>0</v>
      </c>
      <c r="AK1046">
        <f>sumif(Plan!B:B,"211-020100-000",Plan!ak:ak)</f>
        <v>0</v>
      </c>
      <c r="AL1046">
        <f>sumif(Plan!B:B,"211-020100-000",Plan!al:al)</f>
        <v>0</v>
      </c>
      <c r="AM1046">
        <f>sumif(Plan!B:B,"211-020100-000",Plan!am:am)</f>
        <v>0</v>
      </c>
      <c r="AN1046">
        <f>sumif(Plan!B:B,"211-020100-000",Plan!an:an)</f>
        <v>0</v>
      </c>
      <c r="AO1046">
        <f>sumif(Plan!B:B,"211-020100-000",Plan!ao:ao)</f>
        <v>0</v>
      </c>
    </row>
    <row r="1047" spans="1:41">
      <c r="A1047" t="s">
        <v>22</v>
      </c>
      <c r="B1047" t="s">
        <v>675</v>
      </c>
      <c r="C1047" t="s">
        <v>676</v>
      </c>
      <c r="E1047">
        <v>0.003</v>
      </c>
      <c r="F1047" t="s">
        <v>13</v>
      </c>
      <c r="H1047" t="s">
        <v>16</v>
      </c>
      <c r="J1047">
        <f>indirect(address(1047,9))+indirect(address(1045,10))-indirect(address(1046,10))</f>
        <v>0</v>
      </c>
      <c r="K1047">
        <f>indirect(address(1047,10))+indirect(address(1045,11))-indirect(address(1046,11))</f>
        <v>0</v>
      </c>
      <c r="L1047">
        <f>indirect(address(1047,11))+indirect(address(1045,12))-indirect(address(1046,12))</f>
        <v>0</v>
      </c>
      <c r="M1047">
        <f>indirect(address(1047,12))+indirect(address(1045,13))-indirect(address(1046,13))</f>
        <v>0</v>
      </c>
      <c r="N1047">
        <f>indirect(address(1047,13))+indirect(address(1045,14))-indirect(address(1046,14))</f>
        <v>0</v>
      </c>
      <c r="O1047">
        <f>indirect(address(1047,14))+indirect(address(1045,15))-indirect(address(1046,15))</f>
        <v>0</v>
      </c>
      <c r="P1047">
        <f>indirect(address(1047,15))+indirect(address(1045,16))-indirect(address(1046,16))</f>
        <v>0</v>
      </c>
      <c r="Q1047">
        <f>indirect(address(1047,16))+indirect(address(1045,17))-indirect(address(1046,17))</f>
        <v>0</v>
      </c>
      <c r="R1047">
        <f>indirect(address(1047,17))+indirect(address(1045,18))-indirect(address(1046,18))</f>
        <v>0</v>
      </c>
      <c r="S1047">
        <f>indirect(address(1047,18))+indirect(address(1045,19))-indirect(address(1046,19))</f>
        <v>0</v>
      </c>
      <c r="T1047">
        <f>indirect(address(1047,19))+indirect(address(1045,20))-indirect(address(1046,20))</f>
        <v>0</v>
      </c>
      <c r="U1047">
        <f>indirect(address(1047,20))+indirect(address(1045,21))-indirect(address(1046,21))</f>
        <v>0</v>
      </c>
      <c r="V1047">
        <f>indirect(address(1047,21))+indirect(address(1045,22))-indirect(address(1046,22))</f>
        <v>0</v>
      </c>
      <c r="W1047">
        <f>indirect(address(1047,22))+indirect(address(1045,23))-indirect(address(1046,23))</f>
        <v>0</v>
      </c>
      <c r="X1047">
        <f>indirect(address(1047,23))+indirect(address(1045,24))-indirect(address(1046,24))</f>
        <v>0</v>
      </c>
      <c r="Y1047">
        <f>indirect(address(1047,24))+indirect(address(1045,25))-indirect(address(1046,25))</f>
        <v>0</v>
      </c>
      <c r="Z1047">
        <f>indirect(address(1047,25))+indirect(address(1045,26))-indirect(address(1046,26))</f>
        <v>0</v>
      </c>
      <c r="AA1047">
        <f>indirect(address(1047,26))+indirect(address(1045,27))-indirect(address(1046,27))</f>
        <v>0</v>
      </c>
      <c r="AB1047">
        <f>indirect(address(1047,27))+indirect(address(1045,28))-indirect(address(1046,28))</f>
        <v>0</v>
      </c>
      <c r="AC1047">
        <f>indirect(address(1047,28))+indirect(address(1045,29))-indirect(address(1046,29))</f>
        <v>0</v>
      </c>
      <c r="AD1047">
        <f>indirect(address(1047,29))+indirect(address(1045,30))-indirect(address(1046,30))</f>
        <v>0</v>
      </c>
      <c r="AE1047">
        <f>indirect(address(1047,30))+indirect(address(1045,31))-indirect(address(1046,31))</f>
        <v>0</v>
      </c>
      <c r="AF1047">
        <f>indirect(address(1047,31))+indirect(address(1045,32))-indirect(address(1046,32))</f>
        <v>0</v>
      </c>
      <c r="AG1047">
        <f>indirect(address(1047,32))+indirect(address(1045,33))-indirect(address(1046,33))</f>
        <v>0</v>
      </c>
      <c r="AH1047">
        <f>indirect(address(1047,33))+indirect(address(1045,34))-indirect(address(1046,34))</f>
        <v>0</v>
      </c>
      <c r="AI1047">
        <f>indirect(address(1047,34))+indirect(address(1045,35))-indirect(address(1046,35))</f>
        <v>0</v>
      </c>
      <c r="AJ1047">
        <f>indirect(address(1047,35))+indirect(address(1045,36))-indirect(address(1046,36))</f>
        <v>0</v>
      </c>
      <c r="AK1047">
        <f>indirect(address(1047,36))+indirect(address(1045,37))-indirect(address(1046,37))</f>
        <v>0</v>
      </c>
      <c r="AL1047">
        <f>indirect(address(1047,37))+indirect(address(1045,38))-indirect(address(1046,38))</f>
        <v>0</v>
      </c>
      <c r="AM1047">
        <f>indirect(address(1047,38))+indirect(address(1045,39))-indirect(address(1046,39))</f>
        <v>0</v>
      </c>
      <c r="AN1047">
        <f>indirect(address(1047,39))+indirect(address(1045,40))-indirect(address(1046,40))</f>
        <v>0</v>
      </c>
      <c r="AO1047">
        <f>indirect(address(1047,40))+indirect(address(1045,41))-indirect(address(1046,41))</f>
        <v>0</v>
      </c>
    </row>
    <row r="1048" spans="1:41">
      <c r="I1048" t="s">
        <v>14</v>
      </c>
      <c r="AO1048">
        <f>sum(j1048:an1048)</f>
        <v>0</v>
      </c>
    </row>
    <row r="1049" spans="1:41">
      <c r="I1049" t="s">
        <v>15</v>
      </c>
      <c r="J1049">
        <f>sumif(Plan!B:B,"211-020200-000",Plan!j:j)</f>
        <v>0</v>
      </c>
      <c r="K1049">
        <f>sumif(Plan!B:B,"211-020200-000",Plan!k:k)</f>
        <v>0</v>
      </c>
      <c r="L1049">
        <f>sumif(Plan!B:B,"211-020200-000",Plan!l:l)</f>
        <v>0</v>
      </c>
      <c r="M1049">
        <f>sumif(Plan!B:B,"211-020200-000",Plan!m:m)</f>
        <v>0</v>
      </c>
      <c r="N1049">
        <f>sumif(Plan!B:B,"211-020200-000",Plan!n:n)</f>
        <v>0</v>
      </c>
      <c r="O1049">
        <f>sumif(Plan!B:B,"211-020200-000",Plan!o:o)</f>
        <v>0</v>
      </c>
      <c r="P1049">
        <f>sumif(Plan!B:B,"211-020200-000",Plan!p:p)</f>
        <v>0</v>
      </c>
      <c r="Q1049">
        <f>sumif(Plan!B:B,"211-020200-000",Plan!q:q)</f>
        <v>0</v>
      </c>
      <c r="R1049">
        <f>sumif(Plan!B:B,"211-020200-000",Plan!r:r)</f>
        <v>0</v>
      </c>
      <c r="S1049">
        <f>sumif(Plan!B:B,"211-020200-000",Plan!s:s)</f>
        <v>0</v>
      </c>
      <c r="T1049">
        <f>sumif(Plan!B:B,"211-020200-000",Plan!t:t)</f>
        <v>0</v>
      </c>
      <c r="U1049">
        <f>sumif(Plan!B:B,"211-020200-000",Plan!u:u)</f>
        <v>0</v>
      </c>
      <c r="V1049">
        <f>sumif(Plan!B:B,"211-020200-000",Plan!v:v)</f>
        <v>0</v>
      </c>
      <c r="W1049">
        <f>sumif(Plan!B:B,"211-020200-000",Plan!w:w)</f>
        <v>0</v>
      </c>
      <c r="X1049">
        <f>sumif(Plan!B:B,"211-020200-000",Plan!x:x)</f>
        <v>0</v>
      </c>
      <c r="Y1049">
        <f>sumif(Plan!B:B,"211-020200-000",Plan!y:y)</f>
        <v>0</v>
      </c>
      <c r="Z1049">
        <f>sumif(Plan!B:B,"211-020200-000",Plan!z:z)</f>
        <v>0</v>
      </c>
      <c r="AA1049">
        <f>sumif(Plan!B:B,"211-020200-000",Plan!aa:aa)</f>
        <v>0</v>
      </c>
      <c r="AB1049">
        <f>sumif(Plan!B:B,"211-020200-000",Plan!ab:ab)</f>
        <v>0</v>
      </c>
      <c r="AC1049">
        <f>sumif(Plan!B:B,"211-020200-000",Plan!ac:ac)</f>
        <v>0</v>
      </c>
      <c r="AD1049">
        <f>sumif(Plan!B:B,"211-020200-000",Plan!ad:ad)</f>
        <v>0</v>
      </c>
      <c r="AE1049">
        <f>sumif(Plan!B:B,"211-020200-000",Plan!ae:ae)</f>
        <v>0</v>
      </c>
      <c r="AF1049">
        <f>sumif(Plan!B:B,"211-020200-000",Plan!af:af)</f>
        <v>0</v>
      </c>
      <c r="AG1049">
        <f>sumif(Plan!B:B,"211-020200-000",Plan!ag:ag)</f>
        <v>0</v>
      </c>
      <c r="AH1049">
        <f>sumif(Plan!B:B,"211-020200-000",Plan!ah:ah)</f>
        <v>0</v>
      </c>
      <c r="AI1049">
        <f>sumif(Plan!B:B,"211-020200-000",Plan!ai:ai)</f>
        <v>0</v>
      </c>
      <c r="AJ1049">
        <f>sumif(Plan!B:B,"211-020200-000",Plan!aj:aj)</f>
        <v>0</v>
      </c>
      <c r="AK1049">
        <f>sumif(Plan!B:B,"211-020200-000",Plan!ak:ak)</f>
        <v>0</v>
      </c>
      <c r="AL1049">
        <f>sumif(Plan!B:B,"211-020200-000",Plan!al:al)</f>
        <v>0</v>
      </c>
      <c r="AM1049">
        <f>sumif(Plan!B:B,"211-020200-000",Plan!am:am)</f>
        <v>0</v>
      </c>
      <c r="AN1049">
        <f>sumif(Plan!B:B,"211-020200-000",Plan!an:an)</f>
        <v>0</v>
      </c>
      <c r="AO1049">
        <f>sumif(Plan!B:B,"211-020200-000",Plan!ao:ao)</f>
        <v>0</v>
      </c>
    </row>
    <row r="1050" spans="1:41">
      <c r="A1050" t="s">
        <v>22</v>
      </c>
      <c r="B1050" t="s">
        <v>677</v>
      </c>
      <c r="C1050" t="s">
        <v>678</v>
      </c>
      <c r="E1050">
        <v>0.003</v>
      </c>
      <c r="F1050" t="s">
        <v>13</v>
      </c>
      <c r="H1050" t="s">
        <v>16</v>
      </c>
      <c r="J1050">
        <f>indirect(address(1050,9))+indirect(address(1048,10))-indirect(address(1049,10))</f>
        <v>0</v>
      </c>
      <c r="K1050">
        <f>indirect(address(1050,10))+indirect(address(1048,11))-indirect(address(1049,11))</f>
        <v>0</v>
      </c>
      <c r="L1050">
        <f>indirect(address(1050,11))+indirect(address(1048,12))-indirect(address(1049,12))</f>
        <v>0</v>
      </c>
      <c r="M1050">
        <f>indirect(address(1050,12))+indirect(address(1048,13))-indirect(address(1049,13))</f>
        <v>0</v>
      </c>
      <c r="N1050">
        <f>indirect(address(1050,13))+indirect(address(1048,14))-indirect(address(1049,14))</f>
        <v>0</v>
      </c>
      <c r="O1050">
        <f>indirect(address(1050,14))+indirect(address(1048,15))-indirect(address(1049,15))</f>
        <v>0</v>
      </c>
      <c r="P1050">
        <f>indirect(address(1050,15))+indirect(address(1048,16))-indirect(address(1049,16))</f>
        <v>0</v>
      </c>
      <c r="Q1050">
        <f>indirect(address(1050,16))+indirect(address(1048,17))-indirect(address(1049,17))</f>
        <v>0</v>
      </c>
      <c r="R1050">
        <f>indirect(address(1050,17))+indirect(address(1048,18))-indirect(address(1049,18))</f>
        <v>0</v>
      </c>
      <c r="S1050">
        <f>indirect(address(1050,18))+indirect(address(1048,19))-indirect(address(1049,19))</f>
        <v>0</v>
      </c>
      <c r="T1050">
        <f>indirect(address(1050,19))+indirect(address(1048,20))-indirect(address(1049,20))</f>
        <v>0</v>
      </c>
      <c r="U1050">
        <f>indirect(address(1050,20))+indirect(address(1048,21))-indirect(address(1049,21))</f>
        <v>0</v>
      </c>
      <c r="V1050">
        <f>indirect(address(1050,21))+indirect(address(1048,22))-indirect(address(1049,22))</f>
        <v>0</v>
      </c>
      <c r="W1050">
        <f>indirect(address(1050,22))+indirect(address(1048,23))-indirect(address(1049,23))</f>
        <v>0</v>
      </c>
      <c r="X1050">
        <f>indirect(address(1050,23))+indirect(address(1048,24))-indirect(address(1049,24))</f>
        <v>0</v>
      </c>
      <c r="Y1050">
        <f>indirect(address(1050,24))+indirect(address(1048,25))-indirect(address(1049,25))</f>
        <v>0</v>
      </c>
      <c r="Z1050">
        <f>indirect(address(1050,25))+indirect(address(1048,26))-indirect(address(1049,26))</f>
        <v>0</v>
      </c>
      <c r="AA1050">
        <f>indirect(address(1050,26))+indirect(address(1048,27))-indirect(address(1049,27))</f>
        <v>0</v>
      </c>
      <c r="AB1050">
        <f>indirect(address(1050,27))+indirect(address(1048,28))-indirect(address(1049,28))</f>
        <v>0</v>
      </c>
      <c r="AC1050">
        <f>indirect(address(1050,28))+indirect(address(1048,29))-indirect(address(1049,29))</f>
        <v>0</v>
      </c>
      <c r="AD1050">
        <f>indirect(address(1050,29))+indirect(address(1048,30))-indirect(address(1049,30))</f>
        <v>0</v>
      </c>
      <c r="AE1050">
        <f>indirect(address(1050,30))+indirect(address(1048,31))-indirect(address(1049,31))</f>
        <v>0</v>
      </c>
      <c r="AF1050">
        <f>indirect(address(1050,31))+indirect(address(1048,32))-indirect(address(1049,32))</f>
        <v>0</v>
      </c>
      <c r="AG1050">
        <f>indirect(address(1050,32))+indirect(address(1048,33))-indirect(address(1049,33))</f>
        <v>0</v>
      </c>
      <c r="AH1050">
        <f>indirect(address(1050,33))+indirect(address(1048,34))-indirect(address(1049,34))</f>
        <v>0</v>
      </c>
      <c r="AI1050">
        <f>indirect(address(1050,34))+indirect(address(1048,35))-indirect(address(1049,35))</f>
        <v>0</v>
      </c>
      <c r="AJ1050">
        <f>indirect(address(1050,35))+indirect(address(1048,36))-indirect(address(1049,36))</f>
        <v>0</v>
      </c>
      <c r="AK1050">
        <f>indirect(address(1050,36))+indirect(address(1048,37))-indirect(address(1049,37))</f>
        <v>0</v>
      </c>
      <c r="AL1050">
        <f>indirect(address(1050,37))+indirect(address(1048,38))-indirect(address(1049,38))</f>
        <v>0</v>
      </c>
      <c r="AM1050">
        <f>indirect(address(1050,38))+indirect(address(1048,39))-indirect(address(1049,39))</f>
        <v>0</v>
      </c>
      <c r="AN1050">
        <f>indirect(address(1050,39))+indirect(address(1048,40))-indirect(address(1049,40))</f>
        <v>0</v>
      </c>
      <c r="AO1050">
        <f>indirect(address(1050,40))+indirect(address(1048,41))-indirect(address(1049,41))</f>
        <v>0</v>
      </c>
    </row>
    <row r="1051" spans="1:41">
      <c r="I1051" t="s">
        <v>14</v>
      </c>
      <c r="AO1051">
        <f>sum(j1051:an1051)</f>
        <v>0</v>
      </c>
    </row>
    <row r="1052" spans="1:41">
      <c r="I1052" t="s">
        <v>15</v>
      </c>
      <c r="J1052">
        <f>sumif(Plan!B:B,"211-020200-000",Plan!j:j)</f>
        <v>0</v>
      </c>
      <c r="K1052">
        <f>sumif(Plan!B:B,"211-020200-000",Plan!k:k)</f>
        <v>0</v>
      </c>
      <c r="L1052">
        <f>sumif(Plan!B:B,"211-020200-000",Plan!l:l)</f>
        <v>0</v>
      </c>
      <c r="M1052">
        <f>sumif(Plan!B:B,"211-020200-000",Plan!m:m)</f>
        <v>0</v>
      </c>
      <c r="N1052">
        <f>sumif(Plan!B:B,"211-020200-000",Plan!n:n)</f>
        <v>0</v>
      </c>
      <c r="O1052">
        <f>sumif(Plan!B:B,"211-020200-000",Plan!o:o)</f>
        <v>0</v>
      </c>
      <c r="P1052">
        <f>sumif(Plan!B:B,"211-020200-000",Plan!p:p)</f>
        <v>0</v>
      </c>
      <c r="Q1052">
        <f>sumif(Plan!B:B,"211-020200-000",Plan!q:q)</f>
        <v>0</v>
      </c>
      <c r="R1052">
        <f>sumif(Plan!B:B,"211-020200-000",Plan!r:r)</f>
        <v>0</v>
      </c>
      <c r="S1052">
        <f>sumif(Plan!B:B,"211-020200-000",Plan!s:s)</f>
        <v>0</v>
      </c>
      <c r="T1052">
        <f>sumif(Plan!B:B,"211-020200-000",Plan!t:t)</f>
        <v>0</v>
      </c>
      <c r="U1052">
        <f>sumif(Plan!B:B,"211-020200-000",Plan!u:u)</f>
        <v>0</v>
      </c>
      <c r="V1052">
        <f>sumif(Plan!B:B,"211-020200-000",Plan!v:v)</f>
        <v>0</v>
      </c>
      <c r="W1052">
        <f>sumif(Plan!B:B,"211-020200-000",Plan!w:w)</f>
        <v>0</v>
      </c>
      <c r="X1052">
        <f>sumif(Plan!B:B,"211-020200-000",Plan!x:x)</f>
        <v>0</v>
      </c>
      <c r="Y1052">
        <f>sumif(Plan!B:B,"211-020200-000",Plan!y:y)</f>
        <v>0</v>
      </c>
      <c r="Z1052">
        <f>sumif(Plan!B:B,"211-020200-000",Plan!z:z)</f>
        <v>0</v>
      </c>
      <c r="AA1052">
        <f>sumif(Plan!B:B,"211-020200-000",Plan!aa:aa)</f>
        <v>0</v>
      </c>
      <c r="AB1052">
        <f>sumif(Plan!B:B,"211-020200-000",Plan!ab:ab)</f>
        <v>0</v>
      </c>
      <c r="AC1052">
        <f>sumif(Plan!B:B,"211-020200-000",Plan!ac:ac)</f>
        <v>0</v>
      </c>
      <c r="AD1052">
        <f>sumif(Plan!B:B,"211-020200-000",Plan!ad:ad)</f>
        <v>0</v>
      </c>
      <c r="AE1052">
        <f>sumif(Plan!B:B,"211-020200-000",Plan!ae:ae)</f>
        <v>0</v>
      </c>
      <c r="AF1052">
        <f>sumif(Plan!B:B,"211-020200-000",Plan!af:af)</f>
        <v>0</v>
      </c>
      <c r="AG1052">
        <f>sumif(Plan!B:B,"211-020200-000",Plan!ag:ag)</f>
        <v>0</v>
      </c>
      <c r="AH1052">
        <f>sumif(Plan!B:B,"211-020200-000",Plan!ah:ah)</f>
        <v>0</v>
      </c>
      <c r="AI1052">
        <f>sumif(Plan!B:B,"211-020200-000",Plan!ai:ai)</f>
        <v>0</v>
      </c>
      <c r="AJ1052">
        <f>sumif(Plan!B:B,"211-020200-000",Plan!aj:aj)</f>
        <v>0</v>
      </c>
      <c r="AK1052">
        <f>sumif(Plan!B:B,"211-020200-000",Plan!ak:ak)</f>
        <v>0</v>
      </c>
      <c r="AL1052">
        <f>sumif(Plan!B:B,"211-020200-000",Plan!al:al)</f>
        <v>0</v>
      </c>
      <c r="AM1052">
        <f>sumif(Plan!B:B,"211-020200-000",Plan!am:am)</f>
        <v>0</v>
      </c>
      <c r="AN1052">
        <f>sumif(Plan!B:B,"211-020200-000",Plan!an:an)</f>
        <v>0</v>
      </c>
      <c r="AO1052">
        <f>sumif(Plan!B:B,"211-020200-000",Plan!ao:ao)</f>
        <v>0</v>
      </c>
    </row>
    <row r="1053" spans="1:41">
      <c r="A1053" t="s">
        <v>43</v>
      </c>
      <c r="B1053" t="s">
        <v>677</v>
      </c>
      <c r="C1053" t="s">
        <v>678</v>
      </c>
      <c r="E1053">
        <v>0.012987013</v>
      </c>
      <c r="F1053" t="s">
        <v>13</v>
      </c>
      <c r="H1053" t="s">
        <v>16</v>
      </c>
      <c r="J1053">
        <f>indirect(address(1053,9))+indirect(address(1051,10))-indirect(address(1052,10))</f>
        <v>0</v>
      </c>
      <c r="K1053">
        <f>indirect(address(1053,10))+indirect(address(1051,11))-indirect(address(1052,11))</f>
        <v>0</v>
      </c>
      <c r="L1053">
        <f>indirect(address(1053,11))+indirect(address(1051,12))-indirect(address(1052,12))</f>
        <v>0</v>
      </c>
      <c r="M1053">
        <f>indirect(address(1053,12))+indirect(address(1051,13))-indirect(address(1052,13))</f>
        <v>0</v>
      </c>
      <c r="N1053">
        <f>indirect(address(1053,13))+indirect(address(1051,14))-indirect(address(1052,14))</f>
        <v>0</v>
      </c>
      <c r="O1053">
        <f>indirect(address(1053,14))+indirect(address(1051,15))-indirect(address(1052,15))</f>
        <v>0</v>
      </c>
      <c r="P1053">
        <f>indirect(address(1053,15))+indirect(address(1051,16))-indirect(address(1052,16))</f>
        <v>0</v>
      </c>
      <c r="Q1053">
        <f>indirect(address(1053,16))+indirect(address(1051,17))-indirect(address(1052,17))</f>
        <v>0</v>
      </c>
      <c r="R1053">
        <f>indirect(address(1053,17))+indirect(address(1051,18))-indirect(address(1052,18))</f>
        <v>0</v>
      </c>
      <c r="S1053">
        <f>indirect(address(1053,18))+indirect(address(1051,19))-indirect(address(1052,19))</f>
        <v>0</v>
      </c>
      <c r="T1053">
        <f>indirect(address(1053,19))+indirect(address(1051,20))-indirect(address(1052,20))</f>
        <v>0</v>
      </c>
      <c r="U1053">
        <f>indirect(address(1053,20))+indirect(address(1051,21))-indirect(address(1052,21))</f>
        <v>0</v>
      </c>
      <c r="V1053">
        <f>indirect(address(1053,21))+indirect(address(1051,22))-indirect(address(1052,22))</f>
        <v>0</v>
      </c>
      <c r="W1053">
        <f>indirect(address(1053,22))+indirect(address(1051,23))-indirect(address(1052,23))</f>
        <v>0</v>
      </c>
      <c r="X1053">
        <f>indirect(address(1053,23))+indirect(address(1051,24))-indirect(address(1052,24))</f>
        <v>0</v>
      </c>
      <c r="Y1053">
        <f>indirect(address(1053,24))+indirect(address(1051,25))-indirect(address(1052,25))</f>
        <v>0</v>
      </c>
      <c r="Z1053">
        <f>indirect(address(1053,25))+indirect(address(1051,26))-indirect(address(1052,26))</f>
        <v>0</v>
      </c>
      <c r="AA1053">
        <f>indirect(address(1053,26))+indirect(address(1051,27))-indirect(address(1052,27))</f>
        <v>0</v>
      </c>
      <c r="AB1053">
        <f>indirect(address(1053,27))+indirect(address(1051,28))-indirect(address(1052,28))</f>
        <v>0</v>
      </c>
      <c r="AC1053">
        <f>indirect(address(1053,28))+indirect(address(1051,29))-indirect(address(1052,29))</f>
        <v>0</v>
      </c>
      <c r="AD1053">
        <f>indirect(address(1053,29))+indirect(address(1051,30))-indirect(address(1052,30))</f>
        <v>0</v>
      </c>
      <c r="AE1053">
        <f>indirect(address(1053,30))+indirect(address(1051,31))-indirect(address(1052,31))</f>
        <v>0</v>
      </c>
      <c r="AF1053">
        <f>indirect(address(1053,31))+indirect(address(1051,32))-indirect(address(1052,32))</f>
        <v>0</v>
      </c>
      <c r="AG1053">
        <f>indirect(address(1053,32))+indirect(address(1051,33))-indirect(address(1052,33))</f>
        <v>0</v>
      </c>
      <c r="AH1053">
        <f>indirect(address(1053,33))+indirect(address(1051,34))-indirect(address(1052,34))</f>
        <v>0</v>
      </c>
      <c r="AI1053">
        <f>indirect(address(1053,34))+indirect(address(1051,35))-indirect(address(1052,35))</f>
        <v>0</v>
      </c>
      <c r="AJ1053">
        <f>indirect(address(1053,35))+indirect(address(1051,36))-indirect(address(1052,36))</f>
        <v>0</v>
      </c>
      <c r="AK1053">
        <f>indirect(address(1053,36))+indirect(address(1051,37))-indirect(address(1052,37))</f>
        <v>0</v>
      </c>
      <c r="AL1053">
        <f>indirect(address(1053,37))+indirect(address(1051,38))-indirect(address(1052,38))</f>
        <v>0</v>
      </c>
      <c r="AM1053">
        <f>indirect(address(1053,38))+indirect(address(1051,39))-indirect(address(1052,39))</f>
        <v>0</v>
      </c>
      <c r="AN1053">
        <f>indirect(address(1053,39))+indirect(address(1051,40))-indirect(address(1052,40))</f>
        <v>0</v>
      </c>
      <c r="AO1053">
        <f>indirect(address(1053,40))+indirect(address(1051,41))-indirect(address(1052,41))</f>
        <v>0</v>
      </c>
    </row>
    <row r="1054" spans="1:41">
      <c r="I1054" t="s">
        <v>14</v>
      </c>
      <c r="AO1054">
        <f>sum(j1054:an1054)</f>
        <v>0</v>
      </c>
    </row>
    <row r="1055" spans="1:41">
      <c r="I1055" t="s">
        <v>15</v>
      </c>
      <c r="J1055">
        <f>sumif(Plan!B:B,"211-020200-000",Plan!j:j)</f>
        <v>0</v>
      </c>
      <c r="K1055">
        <f>sumif(Plan!B:B,"211-020200-000",Plan!k:k)</f>
        <v>0</v>
      </c>
      <c r="L1055">
        <f>sumif(Plan!B:B,"211-020200-000",Plan!l:l)</f>
        <v>0</v>
      </c>
      <c r="M1055">
        <f>sumif(Plan!B:B,"211-020200-000",Plan!m:m)</f>
        <v>0</v>
      </c>
      <c r="N1055">
        <f>sumif(Plan!B:B,"211-020200-000",Plan!n:n)</f>
        <v>0</v>
      </c>
      <c r="O1055">
        <f>sumif(Plan!B:B,"211-020200-000",Plan!o:o)</f>
        <v>0</v>
      </c>
      <c r="P1055">
        <f>sumif(Plan!B:B,"211-020200-000",Plan!p:p)</f>
        <v>0</v>
      </c>
      <c r="Q1055">
        <f>sumif(Plan!B:B,"211-020200-000",Plan!q:q)</f>
        <v>0</v>
      </c>
      <c r="R1055">
        <f>sumif(Plan!B:B,"211-020200-000",Plan!r:r)</f>
        <v>0</v>
      </c>
      <c r="S1055">
        <f>sumif(Plan!B:B,"211-020200-000",Plan!s:s)</f>
        <v>0</v>
      </c>
      <c r="T1055">
        <f>sumif(Plan!B:B,"211-020200-000",Plan!t:t)</f>
        <v>0</v>
      </c>
      <c r="U1055">
        <f>sumif(Plan!B:B,"211-020200-000",Plan!u:u)</f>
        <v>0</v>
      </c>
      <c r="V1055">
        <f>sumif(Plan!B:B,"211-020200-000",Plan!v:v)</f>
        <v>0</v>
      </c>
      <c r="W1055">
        <f>sumif(Plan!B:B,"211-020200-000",Plan!w:w)</f>
        <v>0</v>
      </c>
      <c r="X1055">
        <f>sumif(Plan!B:B,"211-020200-000",Plan!x:x)</f>
        <v>0</v>
      </c>
      <c r="Y1055">
        <f>sumif(Plan!B:B,"211-020200-000",Plan!y:y)</f>
        <v>0</v>
      </c>
      <c r="Z1055">
        <f>sumif(Plan!B:B,"211-020200-000",Plan!z:z)</f>
        <v>0</v>
      </c>
      <c r="AA1055">
        <f>sumif(Plan!B:B,"211-020200-000",Plan!aa:aa)</f>
        <v>0</v>
      </c>
      <c r="AB1055">
        <f>sumif(Plan!B:B,"211-020200-000",Plan!ab:ab)</f>
        <v>0</v>
      </c>
      <c r="AC1055">
        <f>sumif(Plan!B:B,"211-020200-000",Plan!ac:ac)</f>
        <v>0</v>
      </c>
      <c r="AD1055">
        <f>sumif(Plan!B:B,"211-020200-000",Plan!ad:ad)</f>
        <v>0</v>
      </c>
      <c r="AE1055">
        <f>sumif(Plan!B:B,"211-020200-000",Plan!ae:ae)</f>
        <v>0</v>
      </c>
      <c r="AF1055">
        <f>sumif(Plan!B:B,"211-020200-000",Plan!af:af)</f>
        <v>0</v>
      </c>
      <c r="AG1055">
        <f>sumif(Plan!B:B,"211-020200-000",Plan!ag:ag)</f>
        <v>0</v>
      </c>
      <c r="AH1055">
        <f>sumif(Plan!B:B,"211-020200-000",Plan!ah:ah)</f>
        <v>0</v>
      </c>
      <c r="AI1055">
        <f>sumif(Plan!B:B,"211-020200-000",Plan!ai:ai)</f>
        <v>0</v>
      </c>
      <c r="AJ1055">
        <f>sumif(Plan!B:B,"211-020200-000",Plan!aj:aj)</f>
        <v>0</v>
      </c>
      <c r="AK1055">
        <f>sumif(Plan!B:B,"211-020200-000",Plan!ak:ak)</f>
        <v>0</v>
      </c>
      <c r="AL1055">
        <f>sumif(Plan!B:B,"211-020200-000",Plan!al:al)</f>
        <v>0</v>
      </c>
      <c r="AM1055">
        <f>sumif(Plan!B:B,"211-020200-000",Plan!am:am)</f>
        <v>0</v>
      </c>
      <c r="AN1055">
        <f>sumif(Plan!B:B,"211-020200-000",Plan!an:an)</f>
        <v>0</v>
      </c>
      <c r="AO1055">
        <f>sumif(Plan!B:B,"211-020200-000",Plan!ao:ao)</f>
        <v>0</v>
      </c>
    </row>
    <row r="1056" spans="1:41">
      <c r="A1056" t="s">
        <v>22</v>
      </c>
      <c r="B1056" t="s">
        <v>677</v>
      </c>
      <c r="C1056" t="s">
        <v>680</v>
      </c>
      <c r="E1056">
        <v>1</v>
      </c>
      <c r="F1056" t="s">
        <v>13</v>
      </c>
      <c r="H1056" t="s">
        <v>16</v>
      </c>
      <c r="J1056">
        <f>indirect(address(1056,9))+indirect(address(1054,10))-indirect(address(1055,10))</f>
        <v>0</v>
      </c>
      <c r="K1056">
        <f>indirect(address(1056,10))+indirect(address(1054,11))-indirect(address(1055,11))</f>
        <v>0</v>
      </c>
      <c r="L1056">
        <f>indirect(address(1056,11))+indirect(address(1054,12))-indirect(address(1055,12))</f>
        <v>0</v>
      </c>
      <c r="M1056">
        <f>indirect(address(1056,12))+indirect(address(1054,13))-indirect(address(1055,13))</f>
        <v>0</v>
      </c>
      <c r="N1056">
        <f>indirect(address(1056,13))+indirect(address(1054,14))-indirect(address(1055,14))</f>
        <v>0</v>
      </c>
      <c r="O1056">
        <f>indirect(address(1056,14))+indirect(address(1054,15))-indirect(address(1055,15))</f>
        <v>0</v>
      </c>
      <c r="P1056">
        <f>indirect(address(1056,15))+indirect(address(1054,16))-indirect(address(1055,16))</f>
        <v>0</v>
      </c>
      <c r="Q1056">
        <f>indirect(address(1056,16))+indirect(address(1054,17))-indirect(address(1055,17))</f>
        <v>0</v>
      </c>
      <c r="R1056">
        <f>indirect(address(1056,17))+indirect(address(1054,18))-indirect(address(1055,18))</f>
        <v>0</v>
      </c>
      <c r="S1056">
        <f>indirect(address(1056,18))+indirect(address(1054,19))-indirect(address(1055,19))</f>
        <v>0</v>
      </c>
      <c r="T1056">
        <f>indirect(address(1056,19))+indirect(address(1054,20))-indirect(address(1055,20))</f>
        <v>0</v>
      </c>
      <c r="U1056">
        <f>indirect(address(1056,20))+indirect(address(1054,21))-indirect(address(1055,21))</f>
        <v>0</v>
      </c>
      <c r="V1056">
        <f>indirect(address(1056,21))+indirect(address(1054,22))-indirect(address(1055,22))</f>
        <v>0</v>
      </c>
      <c r="W1056">
        <f>indirect(address(1056,22))+indirect(address(1054,23))-indirect(address(1055,23))</f>
        <v>0</v>
      </c>
      <c r="X1056">
        <f>indirect(address(1056,23))+indirect(address(1054,24))-indirect(address(1055,24))</f>
        <v>0</v>
      </c>
      <c r="Y1056">
        <f>indirect(address(1056,24))+indirect(address(1054,25))-indirect(address(1055,25))</f>
        <v>0</v>
      </c>
      <c r="Z1056">
        <f>indirect(address(1056,25))+indirect(address(1054,26))-indirect(address(1055,26))</f>
        <v>0</v>
      </c>
      <c r="AA1056">
        <f>indirect(address(1056,26))+indirect(address(1054,27))-indirect(address(1055,27))</f>
        <v>0</v>
      </c>
      <c r="AB1056">
        <f>indirect(address(1056,27))+indirect(address(1054,28))-indirect(address(1055,28))</f>
        <v>0</v>
      </c>
      <c r="AC1056">
        <f>indirect(address(1056,28))+indirect(address(1054,29))-indirect(address(1055,29))</f>
        <v>0</v>
      </c>
      <c r="AD1056">
        <f>indirect(address(1056,29))+indirect(address(1054,30))-indirect(address(1055,30))</f>
        <v>0</v>
      </c>
      <c r="AE1056">
        <f>indirect(address(1056,30))+indirect(address(1054,31))-indirect(address(1055,31))</f>
        <v>0</v>
      </c>
      <c r="AF1056">
        <f>indirect(address(1056,31))+indirect(address(1054,32))-indirect(address(1055,32))</f>
        <v>0</v>
      </c>
      <c r="AG1056">
        <f>indirect(address(1056,32))+indirect(address(1054,33))-indirect(address(1055,33))</f>
        <v>0</v>
      </c>
      <c r="AH1056">
        <f>indirect(address(1056,33))+indirect(address(1054,34))-indirect(address(1055,34))</f>
        <v>0</v>
      </c>
      <c r="AI1056">
        <f>indirect(address(1056,34))+indirect(address(1054,35))-indirect(address(1055,35))</f>
        <v>0</v>
      </c>
      <c r="AJ1056">
        <f>indirect(address(1056,35))+indirect(address(1054,36))-indirect(address(1055,36))</f>
        <v>0</v>
      </c>
      <c r="AK1056">
        <f>indirect(address(1056,36))+indirect(address(1054,37))-indirect(address(1055,37))</f>
        <v>0</v>
      </c>
      <c r="AL1056">
        <f>indirect(address(1056,37))+indirect(address(1054,38))-indirect(address(1055,38))</f>
        <v>0</v>
      </c>
      <c r="AM1056">
        <f>indirect(address(1056,38))+indirect(address(1054,39))-indirect(address(1055,39))</f>
        <v>0</v>
      </c>
      <c r="AN1056">
        <f>indirect(address(1056,39))+indirect(address(1054,40))-indirect(address(1055,40))</f>
        <v>0</v>
      </c>
      <c r="AO1056">
        <f>indirect(address(1056,40))+indirect(address(1054,41))-indirect(address(1055,41))</f>
        <v>0</v>
      </c>
    </row>
    <row r="1057" spans="1:41">
      <c r="I1057" t="s">
        <v>14</v>
      </c>
      <c r="AO1057">
        <f>sum(j1057:an1057)</f>
        <v>0</v>
      </c>
    </row>
    <row r="1058" spans="1:41">
      <c r="I1058" t="s">
        <v>15</v>
      </c>
      <c r="J1058">
        <f>sumif(Plan!B:B,"906-094000-100",Plan!j:j)</f>
        <v>0</v>
      </c>
      <c r="K1058">
        <f>sumif(Plan!B:B,"906-094000-100",Plan!k:k)</f>
        <v>0</v>
      </c>
      <c r="L1058">
        <f>sumif(Plan!B:B,"906-094000-100",Plan!l:l)</f>
        <v>0</v>
      </c>
      <c r="M1058">
        <f>sumif(Plan!B:B,"906-094000-100",Plan!m:m)</f>
        <v>0</v>
      </c>
      <c r="N1058">
        <f>sumif(Plan!B:B,"906-094000-100",Plan!n:n)</f>
        <v>0</v>
      </c>
      <c r="O1058">
        <f>sumif(Plan!B:B,"906-094000-100",Plan!o:o)</f>
        <v>0</v>
      </c>
      <c r="P1058">
        <f>sumif(Plan!B:B,"906-094000-100",Plan!p:p)</f>
        <v>0</v>
      </c>
      <c r="Q1058">
        <f>sumif(Plan!B:B,"906-094000-100",Plan!q:q)</f>
        <v>0</v>
      </c>
      <c r="R1058">
        <f>sumif(Plan!B:B,"906-094000-100",Plan!r:r)</f>
        <v>0</v>
      </c>
      <c r="S1058">
        <f>sumif(Plan!B:B,"906-094000-100",Plan!s:s)</f>
        <v>0</v>
      </c>
      <c r="T1058">
        <f>sumif(Plan!B:B,"906-094000-100",Plan!t:t)</f>
        <v>0</v>
      </c>
      <c r="U1058">
        <f>sumif(Plan!B:B,"906-094000-100",Plan!u:u)</f>
        <v>0</v>
      </c>
      <c r="V1058">
        <f>sumif(Plan!B:B,"906-094000-100",Plan!v:v)</f>
        <v>0</v>
      </c>
      <c r="W1058">
        <f>sumif(Plan!B:B,"906-094000-100",Plan!w:w)</f>
        <v>0</v>
      </c>
      <c r="X1058">
        <f>sumif(Plan!B:B,"906-094000-100",Plan!x:x)</f>
        <v>0</v>
      </c>
      <c r="Y1058">
        <f>sumif(Plan!B:B,"906-094000-100",Plan!y:y)</f>
        <v>0</v>
      </c>
      <c r="Z1058">
        <f>sumif(Plan!B:B,"906-094000-100",Plan!z:z)</f>
        <v>0</v>
      </c>
      <c r="AA1058">
        <f>sumif(Plan!B:B,"906-094000-100",Plan!aa:aa)</f>
        <v>0</v>
      </c>
      <c r="AB1058">
        <f>sumif(Plan!B:B,"906-094000-100",Plan!ab:ab)</f>
        <v>0</v>
      </c>
      <c r="AC1058">
        <f>sumif(Plan!B:B,"906-094000-100",Plan!ac:ac)</f>
        <v>0</v>
      </c>
      <c r="AD1058">
        <f>sumif(Plan!B:B,"906-094000-100",Plan!ad:ad)</f>
        <v>0</v>
      </c>
      <c r="AE1058">
        <f>sumif(Plan!B:B,"906-094000-100",Plan!ae:ae)</f>
        <v>0</v>
      </c>
      <c r="AF1058">
        <f>sumif(Plan!B:B,"906-094000-100",Plan!af:af)</f>
        <v>0</v>
      </c>
      <c r="AG1058">
        <f>sumif(Plan!B:B,"906-094000-100",Plan!ag:ag)</f>
        <v>0</v>
      </c>
      <c r="AH1058">
        <f>sumif(Plan!B:B,"906-094000-100",Plan!ah:ah)</f>
        <v>0</v>
      </c>
      <c r="AI1058">
        <f>sumif(Plan!B:B,"906-094000-100",Plan!ai:ai)</f>
        <v>0</v>
      </c>
      <c r="AJ1058">
        <f>sumif(Plan!B:B,"906-094000-100",Plan!aj:aj)</f>
        <v>0</v>
      </c>
      <c r="AK1058">
        <f>sumif(Plan!B:B,"906-094000-100",Plan!ak:ak)</f>
        <v>0</v>
      </c>
      <c r="AL1058">
        <f>sumif(Plan!B:B,"906-094000-100",Plan!al:al)</f>
        <v>0</v>
      </c>
      <c r="AM1058">
        <f>sumif(Plan!B:B,"906-094000-100",Plan!am:am)</f>
        <v>0</v>
      </c>
      <c r="AN1058">
        <f>sumif(Plan!B:B,"906-094000-100",Plan!an:an)</f>
        <v>0</v>
      </c>
      <c r="AO1058">
        <f>sumif(Plan!B:B,"906-094000-100",Plan!ao:ao)</f>
        <v>0</v>
      </c>
    </row>
    <row r="1059" spans="1:41">
      <c r="A1059" t="s">
        <v>17</v>
      </c>
      <c r="B1059" t="s">
        <v>683</v>
      </c>
      <c r="C1059" t="s">
        <v>684</v>
      </c>
      <c r="E1059">
        <v>1</v>
      </c>
      <c r="F1059" t="s">
        <v>13</v>
      </c>
      <c r="H1059" t="s">
        <v>16</v>
      </c>
      <c r="J1059">
        <f>indirect(address(1059,9))+indirect(address(1057,10))-indirect(address(1058,10))</f>
        <v>0</v>
      </c>
      <c r="K1059">
        <f>indirect(address(1059,10))+indirect(address(1057,11))-indirect(address(1058,11))</f>
        <v>0</v>
      </c>
      <c r="L1059">
        <f>indirect(address(1059,11))+indirect(address(1057,12))-indirect(address(1058,12))</f>
        <v>0</v>
      </c>
      <c r="M1059">
        <f>indirect(address(1059,12))+indirect(address(1057,13))-indirect(address(1058,13))</f>
        <v>0</v>
      </c>
      <c r="N1059">
        <f>indirect(address(1059,13))+indirect(address(1057,14))-indirect(address(1058,14))</f>
        <v>0</v>
      </c>
      <c r="O1059">
        <f>indirect(address(1059,14))+indirect(address(1057,15))-indirect(address(1058,15))</f>
        <v>0</v>
      </c>
      <c r="P1059">
        <f>indirect(address(1059,15))+indirect(address(1057,16))-indirect(address(1058,16))</f>
        <v>0</v>
      </c>
      <c r="Q1059">
        <f>indirect(address(1059,16))+indirect(address(1057,17))-indirect(address(1058,17))</f>
        <v>0</v>
      </c>
      <c r="R1059">
        <f>indirect(address(1059,17))+indirect(address(1057,18))-indirect(address(1058,18))</f>
        <v>0</v>
      </c>
      <c r="S1059">
        <f>indirect(address(1059,18))+indirect(address(1057,19))-indirect(address(1058,19))</f>
        <v>0</v>
      </c>
      <c r="T1059">
        <f>indirect(address(1059,19))+indirect(address(1057,20))-indirect(address(1058,20))</f>
        <v>0</v>
      </c>
      <c r="U1059">
        <f>indirect(address(1059,20))+indirect(address(1057,21))-indirect(address(1058,21))</f>
        <v>0</v>
      </c>
      <c r="V1059">
        <f>indirect(address(1059,21))+indirect(address(1057,22))-indirect(address(1058,22))</f>
        <v>0</v>
      </c>
      <c r="W1059">
        <f>indirect(address(1059,22))+indirect(address(1057,23))-indirect(address(1058,23))</f>
        <v>0</v>
      </c>
      <c r="X1059">
        <f>indirect(address(1059,23))+indirect(address(1057,24))-indirect(address(1058,24))</f>
        <v>0</v>
      </c>
      <c r="Y1059">
        <f>indirect(address(1059,24))+indirect(address(1057,25))-indirect(address(1058,25))</f>
        <v>0</v>
      </c>
      <c r="Z1059">
        <f>indirect(address(1059,25))+indirect(address(1057,26))-indirect(address(1058,26))</f>
        <v>0</v>
      </c>
      <c r="AA1059">
        <f>indirect(address(1059,26))+indirect(address(1057,27))-indirect(address(1058,27))</f>
        <v>0</v>
      </c>
      <c r="AB1059">
        <f>indirect(address(1059,27))+indirect(address(1057,28))-indirect(address(1058,28))</f>
        <v>0</v>
      </c>
      <c r="AC1059">
        <f>indirect(address(1059,28))+indirect(address(1057,29))-indirect(address(1058,29))</f>
        <v>0</v>
      </c>
      <c r="AD1059">
        <f>indirect(address(1059,29))+indirect(address(1057,30))-indirect(address(1058,30))</f>
        <v>0</v>
      </c>
      <c r="AE1059">
        <f>indirect(address(1059,30))+indirect(address(1057,31))-indirect(address(1058,31))</f>
        <v>0</v>
      </c>
      <c r="AF1059">
        <f>indirect(address(1059,31))+indirect(address(1057,32))-indirect(address(1058,32))</f>
        <v>0</v>
      </c>
      <c r="AG1059">
        <f>indirect(address(1059,32))+indirect(address(1057,33))-indirect(address(1058,33))</f>
        <v>0</v>
      </c>
      <c r="AH1059">
        <f>indirect(address(1059,33))+indirect(address(1057,34))-indirect(address(1058,34))</f>
        <v>0</v>
      </c>
      <c r="AI1059">
        <f>indirect(address(1059,34))+indirect(address(1057,35))-indirect(address(1058,35))</f>
        <v>0</v>
      </c>
      <c r="AJ1059">
        <f>indirect(address(1059,35))+indirect(address(1057,36))-indirect(address(1058,36))</f>
        <v>0</v>
      </c>
      <c r="AK1059">
        <f>indirect(address(1059,36))+indirect(address(1057,37))-indirect(address(1058,37))</f>
        <v>0</v>
      </c>
      <c r="AL1059">
        <f>indirect(address(1059,37))+indirect(address(1057,38))-indirect(address(1058,38))</f>
        <v>0</v>
      </c>
      <c r="AM1059">
        <f>indirect(address(1059,38))+indirect(address(1057,39))-indirect(address(1058,39))</f>
        <v>0</v>
      </c>
      <c r="AN1059">
        <f>indirect(address(1059,39))+indirect(address(1057,40))-indirect(address(1058,40))</f>
        <v>0</v>
      </c>
      <c r="AO1059">
        <f>indirect(address(1059,40))+indirect(address(1057,41))-indirect(address(1058,41))</f>
        <v>0</v>
      </c>
    </row>
    <row r="1060" spans="1:41">
      <c r="I1060" t="s">
        <v>14</v>
      </c>
      <c r="AO1060">
        <f>sum(j1060:an1060)</f>
        <v>0</v>
      </c>
    </row>
    <row r="1061" spans="1:41">
      <c r="I1061" t="s">
        <v>15</v>
      </c>
      <c r="J1061">
        <f>sumif(Plan!B:B,"221-020400-000",Plan!j:j)</f>
        <v>0</v>
      </c>
      <c r="K1061">
        <f>sumif(Plan!B:B,"221-020400-000",Plan!k:k)</f>
        <v>0</v>
      </c>
      <c r="L1061">
        <f>sumif(Plan!B:B,"221-020400-000",Plan!l:l)</f>
        <v>0</v>
      </c>
      <c r="M1061">
        <f>sumif(Plan!B:B,"221-020400-000",Plan!m:m)</f>
        <v>0</v>
      </c>
      <c r="N1061">
        <f>sumif(Plan!B:B,"221-020400-000",Plan!n:n)</f>
        <v>0</v>
      </c>
      <c r="O1061">
        <f>sumif(Plan!B:B,"221-020400-000",Plan!o:o)</f>
        <v>0</v>
      </c>
      <c r="P1061">
        <f>sumif(Plan!B:B,"221-020400-000",Plan!p:p)</f>
        <v>0</v>
      </c>
      <c r="Q1061">
        <f>sumif(Plan!B:B,"221-020400-000",Plan!q:q)</f>
        <v>0</v>
      </c>
      <c r="R1061">
        <f>sumif(Plan!B:B,"221-020400-000",Plan!r:r)</f>
        <v>0</v>
      </c>
      <c r="S1061">
        <f>sumif(Plan!B:B,"221-020400-000",Plan!s:s)</f>
        <v>0</v>
      </c>
      <c r="T1061">
        <f>sumif(Plan!B:B,"221-020400-000",Plan!t:t)</f>
        <v>0</v>
      </c>
      <c r="U1061">
        <f>sumif(Plan!B:B,"221-020400-000",Plan!u:u)</f>
        <v>0</v>
      </c>
      <c r="V1061">
        <f>sumif(Plan!B:B,"221-020400-000",Plan!v:v)</f>
        <v>0</v>
      </c>
      <c r="W1061">
        <f>sumif(Plan!B:B,"221-020400-000",Plan!w:w)</f>
        <v>0</v>
      </c>
      <c r="X1061">
        <f>sumif(Plan!B:B,"221-020400-000",Plan!x:x)</f>
        <v>0</v>
      </c>
      <c r="Y1061">
        <f>sumif(Plan!B:B,"221-020400-000",Plan!y:y)</f>
        <v>0</v>
      </c>
      <c r="Z1061">
        <f>sumif(Plan!B:B,"221-020400-000",Plan!z:z)</f>
        <v>0</v>
      </c>
      <c r="AA1061">
        <f>sumif(Plan!B:B,"221-020400-000",Plan!aa:aa)</f>
        <v>0</v>
      </c>
      <c r="AB1061">
        <f>sumif(Plan!B:B,"221-020400-000",Plan!ab:ab)</f>
        <v>0</v>
      </c>
      <c r="AC1061">
        <f>sumif(Plan!B:B,"221-020400-000",Plan!ac:ac)</f>
        <v>0</v>
      </c>
      <c r="AD1061">
        <f>sumif(Plan!B:B,"221-020400-000",Plan!ad:ad)</f>
        <v>0</v>
      </c>
      <c r="AE1061">
        <f>sumif(Plan!B:B,"221-020400-000",Plan!ae:ae)</f>
        <v>0</v>
      </c>
      <c r="AF1061">
        <f>sumif(Plan!B:B,"221-020400-000",Plan!af:af)</f>
        <v>0</v>
      </c>
      <c r="AG1061">
        <f>sumif(Plan!B:B,"221-020400-000",Plan!ag:ag)</f>
        <v>0</v>
      </c>
      <c r="AH1061">
        <f>sumif(Plan!B:B,"221-020400-000",Plan!ah:ah)</f>
        <v>0</v>
      </c>
      <c r="AI1061">
        <f>sumif(Plan!B:B,"221-020400-000",Plan!ai:ai)</f>
        <v>0</v>
      </c>
      <c r="AJ1061">
        <f>sumif(Plan!B:B,"221-020400-000",Plan!aj:aj)</f>
        <v>0</v>
      </c>
      <c r="AK1061">
        <f>sumif(Plan!B:B,"221-020400-000",Plan!ak:ak)</f>
        <v>0</v>
      </c>
      <c r="AL1061">
        <f>sumif(Plan!B:B,"221-020400-000",Plan!al:al)</f>
        <v>0</v>
      </c>
      <c r="AM1061">
        <f>sumif(Plan!B:B,"221-020400-000",Plan!am:am)</f>
        <v>0</v>
      </c>
      <c r="AN1061">
        <f>sumif(Plan!B:B,"221-020400-000",Plan!an:an)</f>
        <v>0</v>
      </c>
      <c r="AO1061">
        <f>sumif(Plan!B:B,"221-020400-000",Plan!ao:ao)</f>
        <v>0</v>
      </c>
    </row>
    <row r="1062" spans="1:41">
      <c r="A1062" t="s">
        <v>22</v>
      </c>
      <c r="B1062" t="s">
        <v>685</v>
      </c>
      <c r="C1062" t="s">
        <v>686</v>
      </c>
      <c r="E1062">
        <v>1</v>
      </c>
      <c r="F1062" t="s">
        <v>13</v>
      </c>
      <c r="H1062" t="s">
        <v>16</v>
      </c>
      <c r="J1062">
        <f>indirect(address(1062,9))+indirect(address(1060,10))-indirect(address(1061,10))</f>
        <v>0</v>
      </c>
      <c r="K1062">
        <f>indirect(address(1062,10))+indirect(address(1060,11))-indirect(address(1061,11))</f>
        <v>0</v>
      </c>
      <c r="L1062">
        <f>indirect(address(1062,11))+indirect(address(1060,12))-indirect(address(1061,12))</f>
        <v>0</v>
      </c>
      <c r="M1062">
        <f>indirect(address(1062,12))+indirect(address(1060,13))-indirect(address(1061,13))</f>
        <v>0</v>
      </c>
      <c r="N1062">
        <f>indirect(address(1062,13))+indirect(address(1060,14))-indirect(address(1061,14))</f>
        <v>0</v>
      </c>
      <c r="O1062">
        <f>indirect(address(1062,14))+indirect(address(1060,15))-indirect(address(1061,15))</f>
        <v>0</v>
      </c>
      <c r="P1062">
        <f>indirect(address(1062,15))+indirect(address(1060,16))-indirect(address(1061,16))</f>
        <v>0</v>
      </c>
      <c r="Q1062">
        <f>indirect(address(1062,16))+indirect(address(1060,17))-indirect(address(1061,17))</f>
        <v>0</v>
      </c>
      <c r="R1062">
        <f>indirect(address(1062,17))+indirect(address(1060,18))-indirect(address(1061,18))</f>
        <v>0</v>
      </c>
      <c r="S1062">
        <f>indirect(address(1062,18))+indirect(address(1060,19))-indirect(address(1061,19))</f>
        <v>0</v>
      </c>
      <c r="T1062">
        <f>indirect(address(1062,19))+indirect(address(1060,20))-indirect(address(1061,20))</f>
        <v>0</v>
      </c>
      <c r="U1062">
        <f>indirect(address(1062,20))+indirect(address(1060,21))-indirect(address(1061,21))</f>
        <v>0</v>
      </c>
      <c r="V1062">
        <f>indirect(address(1062,21))+indirect(address(1060,22))-indirect(address(1061,22))</f>
        <v>0</v>
      </c>
      <c r="W1062">
        <f>indirect(address(1062,22))+indirect(address(1060,23))-indirect(address(1061,23))</f>
        <v>0</v>
      </c>
      <c r="X1062">
        <f>indirect(address(1062,23))+indirect(address(1060,24))-indirect(address(1061,24))</f>
        <v>0</v>
      </c>
      <c r="Y1062">
        <f>indirect(address(1062,24))+indirect(address(1060,25))-indirect(address(1061,25))</f>
        <v>0</v>
      </c>
      <c r="Z1062">
        <f>indirect(address(1062,25))+indirect(address(1060,26))-indirect(address(1061,26))</f>
        <v>0</v>
      </c>
      <c r="AA1062">
        <f>indirect(address(1062,26))+indirect(address(1060,27))-indirect(address(1061,27))</f>
        <v>0</v>
      </c>
      <c r="AB1062">
        <f>indirect(address(1062,27))+indirect(address(1060,28))-indirect(address(1061,28))</f>
        <v>0</v>
      </c>
      <c r="AC1062">
        <f>indirect(address(1062,28))+indirect(address(1060,29))-indirect(address(1061,29))</f>
        <v>0</v>
      </c>
      <c r="AD1062">
        <f>indirect(address(1062,29))+indirect(address(1060,30))-indirect(address(1061,30))</f>
        <v>0</v>
      </c>
      <c r="AE1062">
        <f>indirect(address(1062,30))+indirect(address(1060,31))-indirect(address(1061,31))</f>
        <v>0</v>
      </c>
      <c r="AF1062">
        <f>indirect(address(1062,31))+indirect(address(1060,32))-indirect(address(1061,32))</f>
        <v>0</v>
      </c>
      <c r="AG1062">
        <f>indirect(address(1062,32))+indirect(address(1060,33))-indirect(address(1061,33))</f>
        <v>0</v>
      </c>
      <c r="AH1062">
        <f>indirect(address(1062,33))+indirect(address(1060,34))-indirect(address(1061,34))</f>
        <v>0</v>
      </c>
      <c r="AI1062">
        <f>indirect(address(1062,34))+indirect(address(1060,35))-indirect(address(1061,35))</f>
        <v>0</v>
      </c>
      <c r="AJ1062">
        <f>indirect(address(1062,35))+indirect(address(1060,36))-indirect(address(1061,36))</f>
        <v>0</v>
      </c>
      <c r="AK1062">
        <f>indirect(address(1062,36))+indirect(address(1060,37))-indirect(address(1061,37))</f>
        <v>0</v>
      </c>
      <c r="AL1062">
        <f>indirect(address(1062,37))+indirect(address(1060,38))-indirect(address(1061,38))</f>
        <v>0</v>
      </c>
      <c r="AM1062">
        <f>indirect(address(1062,38))+indirect(address(1060,39))-indirect(address(1061,39))</f>
        <v>0</v>
      </c>
      <c r="AN1062">
        <f>indirect(address(1062,39))+indirect(address(1060,40))-indirect(address(1061,40))</f>
        <v>0</v>
      </c>
      <c r="AO1062">
        <f>indirect(address(1062,40))+indirect(address(1060,41))-indirect(address(1061,41))</f>
        <v>0</v>
      </c>
    </row>
    <row r="1063" spans="1:41">
      <c r="I1063" t="s">
        <v>14</v>
      </c>
      <c r="AO1063">
        <f>sum(j1063:an1063)</f>
        <v>0</v>
      </c>
    </row>
    <row r="1064" spans="1:41">
      <c r="I1064" t="s">
        <v>15</v>
      </c>
      <c r="J1064">
        <f>sumif(Plan!B:B,"221-020500-000",Plan!j:j)</f>
        <v>0</v>
      </c>
      <c r="K1064">
        <f>sumif(Plan!B:B,"221-020500-000",Plan!k:k)</f>
        <v>0</v>
      </c>
      <c r="L1064">
        <f>sumif(Plan!B:B,"221-020500-000",Plan!l:l)</f>
        <v>0</v>
      </c>
      <c r="M1064">
        <f>sumif(Plan!B:B,"221-020500-000",Plan!m:m)</f>
        <v>0</v>
      </c>
      <c r="N1064">
        <f>sumif(Plan!B:B,"221-020500-000",Plan!n:n)</f>
        <v>0</v>
      </c>
      <c r="O1064">
        <f>sumif(Plan!B:B,"221-020500-000",Plan!o:o)</f>
        <v>0</v>
      </c>
      <c r="P1064">
        <f>sumif(Plan!B:B,"221-020500-000",Plan!p:p)</f>
        <v>0</v>
      </c>
      <c r="Q1064">
        <f>sumif(Plan!B:B,"221-020500-000",Plan!q:q)</f>
        <v>0</v>
      </c>
      <c r="R1064">
        <f>sumif(Plan!B:B,"221-020500-000",Plan!r:r)</f>
        <v>0</v>
      </c>
      <c r="S1064">
        <f>sumif(Plan!B:B,"221-020500-000",Plan!s:s)</f>
        <v>0</v>
      </c>
      <c r="T1064">
        <f>sumif(Plan!B:B,"221-020500-000",Plan!t:t)</f>
        <v>0</v>
      </c>
      <c r="U1064">
        <f>sumif(Plan!B:B,"221-020500-000",Plan!u:u)</f>
        <v>0</v>
      </c>
      <c r="V1064">
        <f>sumif(Plan!B:B,"221-020500-000",Plan!v:v)</f>
        <v>0</v>
      </c>
      <c r="W1064">
        <f>sumif(Plan!B:B,"221-020500-000",Plan!w:w)</f>
        <v>0</v>
      </c>
      <c r="X1064">
        <f>sumif(Plan!B:B,"221-020500-000",Plan!x:x)</f>
        <v>0</v>
      </c>
      <c r="Y1064">
        <f>sumif(Plan!B:B,"221-020500-000",Plan!y:y)</f>
        <v>0</v>
      </c>
      <c r="Z1064">
        <f>sumif(Plan!B:B,"221-020500-000",Plan!z:z)</f>
        <v>0</v>
      </c>
      <c r="AA1064">
        <f>sumif(Plan!B:B,"221-020500-000",Plan!aa:aa)</f>
        <v>0</v>
      </c>
      <c r="AB1064">
        <f>sumif(Plan!B:B,"221-020500-000",Plan!ab:ab)</f>
        <v>0</v>
      </c>
      <c r="AC1064">
        <f>sumif(Plan!B:B,"221-020500-000",Plan!ac:ac)</f>
        <v>0</v>
      </c>
      <c r="AD1064">
        <f>sumif(Plan!B:B,"221-020500-000",Plan!ad:ad)</f>
        <v>0</v>
      </c>
      <c r="AE1064">
        <f>sumif(Plan!B:B,"221-020500-000",Plan!ae:ae)</f>
        <v>0</v>
      </c>
      <c r="AF1064">
        <f>sumif(Plan!B:B,"221-020500-000",Plan!af:af)</f>
        <v>0</v>
      </c>
      <c r="AG1064">
        <f>sumif(Plan!B:B,"221-020500-000",Plan!ag:ag)</f>
        <v>0</v>
      </c>
      <c r="AH1064">
        <f>sumif(Plan!B:B,"221-020500-000",Plan!ah:ah)</f>
        <v>0</v>
      </c>
      <c r="AI1064">
        <f>sumif(Plan!B:B,"221-020500-000",Plan!ai:ai)</f>
        <v>0</v>
      </c>
      <c r="AJ1064">
        <f>sumif(Plan!B:B,"221-020500-000",Plan!aj:aj)</f>
        <v>0</v>
      </c>
      <c r="AK1064">
        <f>sumif(Plan!B:B,"221-020500-000",Plan!ak:ak)</f>
        <v>0</v>
      </c>
      <c r="AL1064">
        <f>sumif(Plan!B:B,"221-020500-000",Plan!al:al)</f>
        <v>0</v>
      </c>
      <c r="AM1064">
        <f>sumif(Plan!B:B,"221-020500-000",Plan!am:am)</f>
        <v>0</v>
      </c>
      <c r="AN1064">
        <f>sumif(Plan!B:B,"221-020500-000",Plan!an:an)</f>
        <v>0</v>
      </c>
      <c r="AO1064">
        <f>sumif(Plan!B:B,"221-020500-000",Plan!ao:ao)</f>
        <v>0</v>
      </c>
    </row>
    <row r="1065" spans="1:41">
      <c r="A1065" t="s">
        <v>22</v>
      </c>
      <c r="B1065" t="s">
        <v>687</v>
      </c>
      <c r="C1065" t="s">
        <v>688</v>
      </c>
      <c r="E1065">
        <v>1</v>
      </c>
      <c r="F1065" t="s">
        <v>13</v>
      </c>
      <c r="H1065" t="s">
        <v>16</v>
      </c>
      <c r="J1065">
        <f>indirect(address(1065,9))+indirect(address(1063,10))-indirect(address(1064,10))</f>
        <v>0</v>
      </c>
      <c r="K1065">
        <f>indirect(address(1065,10))+indirect(address(1063,11))-indirect(address(1064,11))</f>
        <v>0</v>
      </c>
      <c r="L1065">
        <f>indirect(address(1065,11))+indirect(address(1063,12))-indirect(address(1064,12))</f>
        <v>0</v>
      </c>
      <c r="M1065">
        <f>indirect(address(1065,12))+indirect(address(1063,13))-indirect(address(1064,13))</f>
        <v>0</v>
      </c>
      <c r="N1065">
        <f>indirect(address(1065,13))+indirect(address(1063,14))-indirect(address(1064,14))</f>
        <v>0</v>
      </c>
      <c r="O1065">
        <f>indirect(address(1065,14))+indirect(address(1063,15))-indirect(address(1064,15))</f>
        <v>0</v>
      </c>
      <c r="P1065">
        <f>indirect(address(1065,15))+indirect(address(1063,16))-indirect(address(1064,16))</f>
        <v>0</v>
      </c>
      <c r="Q1065">
        <f>indirect(address(1065,16))+indirect(address(1063,17))-indirect(address(1064,17))</f>
        <v>0</v>
      </c>
      <c r="R1065">
        <f>indirect(address(1065,17))+indirect(address(1063,18))-indirect(address(1064,18))</f>
        <v>0</v>
      </c>
      <c r="S1065">
        <f>indirect(address(1065,18))+indirect(address(1063,19))-indirect(address(1064,19))</f>
        <v>0</v>
      </c>
      <c r="T1065">
        <f>indirect(address(1065,19))+indirect(address(1063,20))-indirect(address(1064,20))</f>
        <v>0</v>
      </c>
      <c r="U1065">
        <f>indirect(address(1065,20))+indirect(address(1063,21))-indirect(address(1064,21))</f>
        <v>0</v>
      </c>
      <c r="V1065">
        <f>indirect(address(1065,21))+indirect(address(1063,22))-indirect(address(1064,22))</f>
        <v>0</v>
      </c>
      <c r="W1065">
        <f>indirect(address(1065,22))+indirect(address(1063,23))-indirect(address(1064,23))</f>
        <v>0</v>
      </c>
      <c r="X1065">
        <f>indirect(address(1065,23))+indirect(address(1063,24))-indirect(address(1064,24))</f>
        <v>0</v>
      </c>
      <c r="Y1065">
        <f>indirect(address(1065,24))+indirect(address(1063,25))-indirect(address(1064,25))</f>
        <v>0</v>
      </c>
      <c r="Z1065">
        <f>indirect(address(1065,25))+indirect(address(1063,26))-indirect(address(1064,26))</f>
        <v>0</v>
      </c>
      <c r="AA1065">
        <f>indirect(address(1065,26))+indirect(address(1063,27))-indirect(address(1064,27))</f>
        <v>0</v>
      </c>
      <c r="AB1065">
        <f>indirect(address(1065,27))+indirect(address(1063,28))-indirect(address(1064,28))</f>
        <v>0</v>
      </c>
      <c r="AC1065">
        <f>indirect(address(1065,28))+indirect(address(1063,29))-indirect(address(1064,29))</f>
        <v>0</v>
      </c>
      <c r="AD1065">
        <f>indirect(address(1065,29))+indirect(address(1063,30))-indirect(address(1064,30))</f>
        <v>0</v>
      </c>
      <c r="AE1065">
        <f>indirect(address(1065,30))+indirect(address(1063,31))-indirect(address(1064,31))</f>
        <v>0</v>
      </c>
      <c r="AF1065">
        <f>indirect(address(1065,31))+indirect(address(1063,32))-indirect(address(1064,32))</f>
        <v>0</v>
      </c>
      <c r="AG1065">
        <f>indirect(address(1065,32))+indirect(address(1063,33))-indirect(address(1064,33))</f>
        <v>0</v>
      </c>
      <c r="AH1065">
        <f>indirect(address(1065,33))+indirect(address(1063,34))-indirect(address(1064,34))</f>
        <v>0</v>
      </c>
      <c r="AI1065">
        <f>indirect(address(1065,34))+indirect(address(1063,35))-indirect(address(1064,35))</f>
        <v>0</v>
      </c>
      <c r="AJ1065">
        <f>indirect(address(1065,35))+indirect(address(1063,36))-indirect(address(1064,36))</f>
        <v>0</v>
      </c>
      <c r="AK1065">
        <f>indirect(address(1065,36))+indirect(address(1063,37))-indirect(address(1064,37))</f>
        <v>0</v>
      </c>
      <c r="AL1065">
        <f>indirect(address(1065,37))+indirect(address(1063,38))-indirect(address(1064,38))</f>
        <v>0</v>
      </c>
      <c r="AM1065">
        <f>indirect(address(1065,38))+indirect(address(1063,39))-indirect(address(1064,39))</f>
        <v>0</v>
      </c>
      <c r="AN1065">
        <f>indirect(address(1065,39))+indirect(address(1063,40))-indirect(address(1064,40))</f>
        <v>0</v>
      </c>
      <c r="AO1065">
        <f>indirect(address(1065,40))+indirect(address(1063,41))-indirect(address(1064,41))</f>
        <v>0</v>
      </c>
    </row>
    <row r="1066" spans="1:41">
      <c r="I1066" t="s">
        <v>14</v>
      </c>
      <c r="AO1066">
        <f>sum(j1066:an1066)</f>
        <v>0</v>
      </c>
    </row>
    <row r="1067" spans="1:41">
      <c r="I1067" t="s">
        <v>15</v>
      </c>
      <c r="J1067">
        <f>sumif(Plan!B:B,"906-257000-110",Plan!j:j)</f>
        <v>0</v>
      </c>
      <c r="K1067">
        <f>sumif(Plan!B:B,"906-257000-110",Plan!k:k)</f>
        <v>0</v>
      </c>
      <c r="L1067">
        <f>sumif(Plan!B:B,"906-257000-110",Plan!l:l)</f>
        <v>0</v>
      </c>
      <c r="M1067">
        <f>sumif(Plan!B:B,"906-257000-110",Plan!m:m)</f>
        <v>0</v>
      </c>
      <c r="N1067">
        <f>sumif(Plan!B:B,"906-257000-110",Plan!n:n)</f>
        <v>0</v>
      </c>
      <c r="O1067">
        <f>sumif(Plan!B:B,"906-257000-110",Plan!o:o)</f>
        <v>0</v>
      </c>
      <c r="P1067">
        <f>sumif(Plan!B:B,"906-257000-110",Plan!p:p)</f>
        <v>0</v>
      </c>
      <c r="Q1067">
        <f>sumif(Plan!B:B,"906-257000-110",Plan!q:q)</f>
        <v>0</v>
      </c>
      <c r="R1067">
        <f>sumif(Plan!B:B,"906-257000-110",Plan!r:r)</f>
        <v>0</v>
      </c>
      <c r="S1067">
        <f>sumif(Plan!B:B,"906-257000-110",Plan!s:s)</f>
        <v>0</v>
      </c>
      <c r="T1067">
        <f>sumif(Plan!B:B,"906-257000-110",Plan!t:t)</f>
        <v>0</v>
      </c>
      <c r="U1067">
        <f>sumif(Plan!B:B,"906-257000-110",Plan!u:u)</f>
        <v>0</v>
      </c>
      <c r="V1067">
        <f>sumif(Plan!B:B,"906-257000-110",Plan!v:v)</f>
        <v>0</v>
      </c>
      <c r="W1067">
        <f>sumif(Plan!B:B,"906-257000-110",Plan!w:w)</f>
        <v>0</v>
      </c>
      <c r="X1067">
        <f>sumif(Plan!B:B,"906-257000-110",Plan!x:x)</f>
        <v>0</v>
      </c>
      <c r="Y1067">
        <f>sumif(Plan!B:B,"906-257000-110",Plan!y:y)</f>
        <v>0</v>
      </c>
      <c r="Z1067">
        <f>sumif(Plan!B:B,"906-257000-110",Plan!z:z)</f>
        <v>0</v>
      </c>
      <c r="AA1067">
        <f>sumif(Plan!B:B,"906-257000-110",Plan!aa:aa)</f>
        <v>0</v>
      </c>
      <c r="AB1067">
        <f>sumif(Plan!B:B,"906-257000-110",Plan!ab:ab)</f>
        <v>0</v>
      </c>
      <c r="AC1067">
        <f>sumif(Plan!B:B,"906-257000-110",Plan!ac:ac)</f>
        <v>0</v>
      </c>
      <c r="AD1067">
        <f>sumif(Plan!B:B,"906-257000-110",Plan!ad:ad)</f>
        <v>0</v>
      </c>
      <c r="AE1067">
        <f>sumif(Plan!B:B,"906-257000-110",Plan!ae:ae)</f>
        <v>0</v>
      </c>
      <c r="AF1067">
        <f>sumif(Plan!B:B,"906-257000-110",Plan!af:af)</f>
        <v>0</v>
      </c>
      <c r="AG1067">
        <f>sumif(Plan!B:B,"906-257000-110",Plan!ag:ag)</f>
        <v>0</v>
      </c>
      <c r="AH1067">
        <f>sumif(Plan!B:B,"906-257000-110",Plan!ah:ah)</f>
        <v>0</v>
      </c>
      <c r="AI1067">
        <f>sumif(Plan!B:B,"906-257000-110",Plan!ai:ai)</f>
        <v>0</v>
      </c>
      <c r="AJ1067">
        <f>sumif(Plan!B:B,"906-257000-110",Plan!aj:aj)</f>
        <v>0</v>
      </c>
      <c r="AK1067">
        <f>sumif(Plan!B:B,"906-257000-110",Plan!ak:ak)</f>
        <v>0</v>
      </c>
      <c r="AL1067">
        <f>sumif(Plan!B:B,"906-257000-110",Plan!al:al)</f>
        <v>0</v>
      </c>
      <c r="AM1067">
        <f>sumif(Plan!B:B,"906-257000-110",Plan!am:am)</f>
        <v>0</v>
      </c>
      <c r="AN1067">
        <f>sumif(Plan!B:B,"906-257000-110",Plan!an:an)</f>
        <v>0</v>
      </c>
      <c r="AO1067">
        <f>sumif(Plan!B:B,"906-257000-110",Plan!ao:ao)</f>
        <v>0</v>
      </c>
    </row>
    <row r="1068" spans="1:41">
      <c r="A1068" t="s">
        <v>17</v>
      </c>
      <c r="B1068" t="s">
        <v>691</v>
      </c>
      <c r="C1068" t="s">
        <v>692</v>
      </c>
      <c r="E1068">
        <v>1</v>
      </c>
      <c r="F1068" t="s">
        <v>13</v>
      </c>
      <c r="H1068" t="s">
        <v>16</v>
      </c>
      <c r="J1068">
        <f>indirect(address(1068,9))+indirect(address(1066,10))-indirect(address(1067,10))</f>
        <v>0</v>
      </c>
      <c r="K1068">
        <f>indirect(address(1068,10))+indirect(address(1066,11))-indirect(address(1067,11))</f>
        <v>0</v>
      </c>
      <c r="L1068">
        <f>indirect(address(1068,11))+indirect(address(1066,12))-indirect(address(1067,12))</f>
        <v>0</v>
      </c>
      <c r="M1068">
        <f>indirect(address(1068,12))+indirect(address(1066,13))-indirect(address(1067,13))</f>
        <v>0</v>
      </c>
      <c r="N1068">
        <f>indirect(address(1068,13))+indirect(address(1066,14))-indirect(address(1067,14))</f>
        <v>0</v>
      </c>
      <c r="O1068">
        <f>indirect(address(1068,14))+indirect(address(1066,15))-indirect(address(1067,15))</f>
        <v>0</v>
      </c>
      <c r="P1068">
        <f>indirect(address(1068,15))+indirect(address(1066,16))-indirect(address(1067,16))</f>
        <v>0</v>
      </c>
      <c r="Q1068">
        <f>indirect(address(1068,16))+indirect(address(1066,17))-indirect(address(1067,17))</f>
        <v>0</v>
      </c>
      <c r="R1068">
        <f>indirect(address(1068,17))+indirect(address(1066,18))-indirect(address(1067,18))</f>
        <v>0</v>
      </c>
      <c r="S1068">
        <f>indirect(address(1068,18))+indirect(address(1066,19))-indirect(address(1067,19))</f>
        <v>0</v>
      </c>
      <c r="T1068">
        <f>indirect(address(1068,19))+indirect(address(1066,20))-indirect(address(1067,20))</f>
        <v>0</v>
      </c>
      <c r="U1068">
        <f>indirect(address(1068,20))+indirect(address(1066,21))-indirect(address(1067,21))</f>
        <v>0</v>
      </c>
      <c r="V1068">
        <f>indirect(address(1068,21))+indirect(address(1066,22))-indirect(address(1067,22))</f>
        <v>0</v>
      </c>
      <c r="W1068">
        <f>indirect(address(1068,22))+indirect(address(1066,23))-indirect(address(1067,23))</f>
        <v>0</v>
      </c>
      <c r="X1068">
        <f>indirect(address(1068,23))+indirect(address(1066,24))-indirect(address(1067,24))</f>
        <v>0</v>
      </c>
      <c r="Y1068">
        <f>indirect(address(1068,24))+indirect(address(1066,25))-indirect(address(1067,25))</f>
        <v>0</v>
      </c>
      <c r="Z1068">
        <f>indirect(address(1068,25))+indirect(address(1066,26))-indirect(address(1067,26))</f>
        <v>0</v>
      </c>
      <c r="AA1068">
        <f>indirect(address(1068,26))+indirect(address(1066,27))-indirect(address(1067,27))</f>
        <v>0</v>
      </c>
      <c r="AB1068">
        <f>indirect(address(1068,27))+indirect(address(1066,28))-indirect(address(1067,28))</f>
        <v>0</v>
      </c>
      <c r="AC1068">
        <f>indirect(address(1068,28))+indirect(address(1066,29))-indirect(address(1067,29))</f>
        <v>0</v>
      </c>
      <c r="AD1068">
        <f>indirect(address(1068,29))+indirect(address(1066,30))-indirect(address(1067,30))</f>
        <v>0</v>
      </c>
      <c r="AE1068">
        <f>indirect(address(1068,30))+indirect(address(1066,31))-indirect(address(1067,31))</f>
        <v>0</v>
      </c>
      <c r="AF1068">
        <f>indirect(address(1068,31))+indirect(address(1066,32))-indirect(address(1067,32))</f>
        <v>0</v>
      </c>
      <c r="AG1068">
        <f>indirect(address(1068,32))+indirect(address(1066,33))-indirect(address(1067,33))</f>
        <v>0</v>
      </c>
      <c r="AH1068">
        <f>indirect(address(1068,33))+indirect(address(1066,34))-indirect(address(1067,34))</f>
        <v>0</v>
      </c>
      <c r="AI1068">
        <f>indirect(address(1068,34))+indirect(address(1066,35))-indirect(address(1067,35))</f>
        <v>0</v>
      </c>
      <c r="AJ1068">
        <f>indirect(address(1068,35))+indirect(address(1066,36))-indirect(address(1067,36))</f>
        <v>0</v>
      </c>
      <c r="AK1068">
        <f>indirect(address(1068,36))+indirect(address(1066,37))-indirect(address(1067,37))</f>
        <v>0</v>
      </c>
      <c r="AL1068">
        <f>indirect(address(1068,37))+indirect(address(1066,38))-indirect(address(1067,38))</f>
        <v>0</v>
      </c>
      <c r="AM1068">
        <f>indirect(address(1068,38))+indirect(address(1066,39))-indirect(address(1067,39))</f>
        <v>0</v>
      </c>
      <c r="AN1068">
        <f>indirect(address(1068,39))+indirect(address(1066,40))-indirect(address(1067,40))</f>
        <v>0</v>
      </c>
      <c r="AO1068">
        <f>indirect(address(1068,40))+indirect(address(1066,41))-indirect(address(1067,41))</f>
        <v>0</v>
      </c>
    </row>
    <row r="1069" spans="1:41">
      <c r="I1069" t="s">
        <v>14</v>
      </c>
      <c r="AO1069">
        <f>sum(j1069:an1069)</f>
        <v>0</v>
      </c>
    </row>
    <row r="1070" spans="1:41">
      <c r="I1070" t="s">
        <v>15</v>
      </c>
      <c r="J1070">
        <f>sumif(Plan!B:B,"211-019900-000",Plan!j:j)</f>
        <v>0</v>
      </c>
      <c r="K1070">
        <f>sumif(Plan!B:B,"211-019900-000",Plan!k:k)</f>
        <v>0</v>
      </c>
      <c r="L1070">
        <f>sumif(Plan!B:B,"211-019900-000",Plan!l:l)</f>
        <v>0</v>
      </c>
      <c r="M1070">
        <f>sumif(Plan!B:B,"211-019900-000",Plan!m:m)</f>
        <v>0</v>
      </c>
      <c r="N1070">
        <f>sumif(Plan!B:B,"211-019900-000",Plan!n:n)</f>
        <v>0</v>
      </c>
      <c r="O1070">
        <f>sumif(Plan!B:B,"211-019900-000",Plan!o:o)</f>
        <v>0</v>
      </c>
      <c r="P1070">
        <f>sumif(Plan!B:B,"211-019900-000",Plan!p:p)</f>
        <v>0</v>
      </c>
      <c r="Q1070">
        <f>sumif(Plan!B:B,"211-019900-000",Plan!q:q)</f>
        <v>0</v>
      </c>
      <c r="R1070">
        <f>sumif(Plan!B:B,"211-019900-000",Plan!r:r)</f>
        <v>0</v>
      </c>
      <c r="S1070">
        <f>sumif(Plan!B:B,"211-019900-000",Plan!s:s)</f>
        <v>0</v>
      </c>
      <c r="T1070">
        <f>sumif(Plan!B:B,"211-019900-000",Plan!t:t)</f>
        <v>0</v>
      </c>
      <c r="U1070">
        <f>sumif(Plan!B:B,"211-019900-000",Plan!u:u)</f>
        <v>0</v>
      </c>
      <c r="V1070">
        <f>sumif(Plan!B:B,"211-019900-000",Plan!v:v)</f>
        <v>0</v>
      </c>
      <c r="W1070">
        <f>sumif(Plan!B:B,"211-019900-000",Plan!w:w)</f>
        <v>0</v>
      </c>
      <c r="X1070">
        <f>sumif(Plan!B:B,"211-019900-000",Plan!x:x)</f>
        <v>0</v>
      </c>
      <c r="Y1070">
        <f>sumif(Plan!B:B,"211-019900-000",Plan!y:y)</f>
        <v>0</v>
      </c>
      <c r="Z1070">
        <f>sumif(Plan!B:B,"211-019900-000",Plan!z:z)</f>
        <v>0</v>
      </c>
      <c r="AA1070">
        <f>sumif(Plan!B:B,"211-019900-000",Plan!aa:aa)</f>
        <v>0</v>
      </c>
      <c r="AB1070">
        <f>sumif(Plan!B:B,"211-019900-000",Plan!ab:ab)</f>
        <v>0</v>
      </c>
      <c r="AC1070">
        <f>sumif(Plan!B:B,"211-019900-000",Plan!ac:ac)</f>
        <v>0</v>
      </c>
      <c r="AD1070">
        <f>sumif(Plan!B:B,"211-019900-000",Plan!ad:ad)</f>
        <v>0</v>
      </c>
      <c r="AE1070">
        <f>sumif(Plan!B:B,"211-019900-000",Plan!ae:ae)</f>
        <v>0</v>
      </c>
      <c r="AF1070">
        <f>sumif(Plan!B:B,"211-019900-000",Plan!af:af)</f>
        <v>0</v>
      </c>
      <c r="AG1070">
        <f>sumif(Plan!B:B,"211-019900-000",Plan!ag:ag)</f>
        <v>0</v>
      </c>
      <c r="AH1070">
        <f>sumif(Plan!B:B,"211-019900-000",Plan!ah:ah)</f>
        <v>0</v>
      </c>
      <c r="AI1070">
        <f>sumif(Plan!B:B,"211-019900-000",Plan!ai:ai)</f>
        <v>0</v>
      </c>
      <c r="AJ1070">
        <f>sumif(Plan!B:B,"211-019900-000",Plan!aj:aj)</f>
        <v>0</v>
      </c>
      <c r="AK1070">
        <f>sumif(Plan!B:B,"211-019900-000",Plan!ak:ak)</f>
        <v>0</v>
      </c>
      <c r="AL1070">
        <f>sumif(Plan!B:B,"211-019900-000",Plan!al:al)</f>
        <v>0</v>
      </c>
      <c r="AM1070">
        <f>sumif(Plan!B:B,"211-019900-000",Plan!am:am)</f>
        <v>0</v>
      </c>
      <c r="AN1070">
        <f>sumif(Plan!B:B,"211-019900-000",Plan!an:an)</f>
        <v>0</v>
      </c>
      <c r="AO1070">
        <f>sumif(Plan!B:B,"211-019900-000",Plan!ao:ao)</f>
        <v>0</v>
      </c>
    </row>
    <row r="1071" spans="1:41">
      <c r="A1071" t="s">
        <v>22</v>
      </c>
      <c r="B1071" t="s">
        <v>693</v>
      </c>
      <c r="C1071" t="s">
        <v>694</v>
      </c>
      <c r="E1071">
        <v>1</v>
      </c>
      <c r="F1071" t="s">
        <v>13</v>
      </c>
      <c r="H1071" t="s">
        <v>16</v>
      </c>
      <c r="J1071">
        <f>indirect(address(1071,9))+indirect(address(1069,10))-indirect(address(1070,10))</f>
        <v>0</v>
      </c>
      <c r="K1071">
        <f>indirect(address(1071,10))+indirect(address(1069,11))-indirect(address(1070,11))</f>
        <v>0</v>
      </c>
      <c r="L1071">
        <f>indirect(address(1071,11))+indirect(address(1069,12))-indirect(address(1070,12))</f>
        <v>0</v>
      </c>
      <c r="M1071">
        <f>indirect(address(1071,12))+indirect(address(1069,13))-indirect(address(1070,13))</f>
        <v>0</v>
      </c>
      <c r="N1071">
        <f>indirect(address(1071,13))+indirect(address(1069,14))-indirect(address(1070,14))</f>
        <v>0</v>
      </c>
      <c r="O1071">
        <f>indirect(address(1071,14))+indirect(address(1069,15))-indirect(address(1070,15))</f>
        <v>0</v>
      </c>
      <c r="P1071">
        <f>indirect(address(1071,15))+indirect(address(1069,16))-indirect(address(1070,16))</f>
        <v>0</v>
      </c>
      <c r="Q1071">
        <f>indirect(address(1071,16))+indirect(address(1069,17))-indirect(address(1070,17))</f>
        <v>0</v>
      </c>
      <c r="R1071">
        <f>indirect(address(1071,17))+indirect(address(1069,18))-indirect(address(1070,18))</f>
        <v>0</v>
      </c>
      <c r="S1071">
        <f>indirect(address(1071,18))+indirect(address(1069,19))-indirect(address(1070,19))</f>
        <v>0</v>
      </c>
      <c r="T1071">
        <f>indirect(address(1071,19))+indirect(address(1069,20))-indirect(address(1070,20))</f>
        <v>0</v>
      </c>
      <c r="U1071">
        <f>indirect(address(1071,20))+indirect(address(1069,21))-indirect(address(1070,21))</f>
        <v>0</v>
      </c>
      <c r="V1071">
        <f>indirect(address(1071,21))+indirect(address(1069,22))-indirect(address(1070,22))</f>
        <v>0</v>
      </c>
      <c r="W1071">
        <f>indirect(address(1071,22))+indirect(address(1069,23))-indirect(address(1070,23))</f>
        <v>0</v>
      </c>
      <c r="X1071">
        <f>indirect(address(1071,23))+indirect(address(1069,24))-indirect(address(1070,24))</f>
        <v>0</v>
      </c>
      <c r="Y1071">
        <f>indirect(address(1071,24))+indirect(address(1069,25))-indirect(address(1070,25))</f>
        <v>0</v>
      </c>
      <c r="Z1071">
        <f>indirect(address(1071,25))+indirect(address(1069,26))-indirect(address(1070,26))</f>
        <v>0</v>
      </c>
      <c r="AA1071">
        <f>indirect(address(1071,26))+indirect(address(1069,27))-indirect(address(1070,27))</f>
        <v>0</v>
      </c>
      <c r="AB1071">
        <f>indirect(address(1071,27))+indirect(address(1069,28))-indirect(address(1070,28))</f>
        <v>0</v>
      </c>
      <c r="AC1071">
        <f>indirect(address(1071,28))+indirect(address(1069,29))-indirect(address(1070,29))</f>
        <v>0</v>
      </c>
      <c r="AD1071">
        <f>indirect(address(1071,29))+indirect(address(1069,30))-indirect(address(1070,30))</f>
        <v>0</v>
      </c>
      <c r="AE1071">
        <f>indirect(address(1071,30))+indirect(address(1069,31))-indirect(address(1070,31))</f>
        <v>0</v>
      </c>
      <c r="AF1071">
        <f>indirect(address(1071,31))+indirect(address(1069,32))-indirect(address(1070,32))</f>
        <v>0</v>
      </c>
      <c r="AG1071">
        <f>indirect(address(1071,32))+indirect(address(1069,33))-indirect(address(1070,33))</f>
        <v>0</v>
      </c>
      <c r="AH1071">
        <f>indirect(address(1071,33))+indirect(address(1069,34))-indirect(address(1070,34))</f>
        <v>0</v>
      </c>
      <c r="AI1071">
        <f>indirect(address(1071,34))+indirect(address(1069,35))-indirect(address(1070,35))</f>
        <v>0</v>
      </c>
      <c r="AJ1071">
        <f>indirect(address(1071,35))+indirect(address(1069,36))-indirect(address(1070,36))</f>
        <v>0</v>
      </c>
      <c r="AK1071">
        <f>indirect(address(1071,36))+indirect(address(1069,37))-indirect(address(1070,37))</f>
        <v>0</v>
      </c>
      <c r="AL1071">
        <f>indirect(address(1071,37))+indirect(address(1069,38))-indirect(address(1070,38))</f>
        <v>0</v>
      </c>
      <c r="AM1071">
        <f>indirect(address(1071,38))+indirect(address(1069,39))-indirect(address(1070,39))</f>
        <v>0</v>
      </c>
      <c r="AN1071">
        <f>indirect(address(1071,39))+indirect(address(1069,40))-indirect(address(1070,40))</f>
        <v>0</v>
      </c>
      <c r="AO1071">
        <f>indirect(address(1071,40))+indirect(address(1069,41))-indirect(address(1070,41))</f>
        <v>0</v>
      </c>
    </row>
    <row r="1072" spans="1:41">
      <c r="I1072" t="s">
        <v>14</v>
      </c>
      <c r="AO1072">
        <f>sum(j1072:an1072)</f>
        <v>0</v>
      </c>
    </row>
    <row r="1073" spans="1:41">
      <c r="I1073" t="s">
        <v>15</v>
      </c>
      <c r="J1073">
        <f>sumif(Plan!B:B,"906-246458-110",Plan!j:j)</f>
        <v>0</v>
      </c>
      <c r="K1073">
        <f>sumif(Plan!B:B,"906-246458-110",Plan!k:k)</f>
        <v>0</v>
      </c>
      <c r="L1073">
        <f>sumif(Plan!B:B,"906-246458-110",Plan!l:l)</f>
        <v>0</v>
      </c>
      <c r="M1073">
        <f>sumif(Plan!B:B,"906-246458-110",Plan!m:m)</f>
        <v>0</v>
      </c>
      <c r="N1073">
        <f>sumif(Plan!B:B,"906-246458-110",Plan!n:n)</f>
        <v>0</v>
      </c>
      <c r="O1073">
        <f>sumif(Plan!B:B,"906-246458-110",Plan!o:o)</f>
        <v>0</v>
      </c>
      <c r="P1073">
        <f>sumif(Plan!B:B,"906-246458-110",Plan!p:p)</f>
        <v>0</v>
      </c>
      <c r="Q1073">
        <f>sumif(Plan!B:B,"906-246458-110",Plan!q:q)</f>
        <v>0</v>
      </c>
      <c r="R1073">
        <f>sumif(Plan!B:B,"906-246458-110",Plan!r:r)</f>
        <v>0</v>
      </c>
      <c r="S1073">
        <f>sumif(Plan!B:B,"906-246458-110",Plan!s:s)</f>
        <v>0</v>
      </c>
      <c r="T1073">
        <f>sumif(Plan!B:B,"906-246458-110",Plan!t:t)</f>
        <v>0</v>
      </c>
      <c r="U1073">
        <f>sumif(Plan!B:B,"906-246458-110",Plan!u:u)</f>
        <v>0</v>
      </c>
      <c r="V1073">
        <f>sumif(Plan!B:B,"906-246458-110",Plan!v:v)</f>
        <v>0</v>
      </c>
      <c r="W1073">
        <f>sumif(Plan!B:B,"906-246458-110",Plan!w:w)</f>
        <v>0</v>
      </c>
      <c r="X1073">
        <f>sumif(Plan!B:B,"906-246458-110",Plan!x:x)</f>
        <v>0</v>
      </c>
      <c r="Y1073">
        <f>sumif(Plan!B:B,"906-246458-110",Plan!y:y)</f>
        <v>0</v>
      </c>
      <c r="Z1073">
        <f>sumif(Plan!B:B,"906-246458-110",Plan!z:z)</f>
        <v>0</v>
      </c>
      <c r="AA1073">
        <f>sumif(Plan!B:B,"906-246458-110",Plan!aa:aa)</f>
        <v>0</v>
      </c>
      <c r="AB1073">
        <f>sumif(Plan!B:B,"906-246458-110",Plan!ab:ab)</f>
        <v>0</v>
      </c>
      <c r="AC1073">
        <f>sumif(Plan!B:B,"906-246458-110",Plan!ac:ac)</f>
        <v>0</v>
      </c>
      <c r="AD1073">
        <f>sumif(Plan!B:B,"906-246458-110",Plan!ad:ad)</f>
        <v>0</v>
      </c>
      <c r="AE1073">
        <f>sumif(Plan!B:B,"906-246458-110",Plan!ae:ae)</f>
        <v>0</v>
      </c>
      <c r="AF1073">
        <f>sumif(Plan!B:B,"906-246458-110",Plan!af:af)</f>
        <v>0</v>
      </c>
      <c r="AG1073">
        <f>sumif(Plan!B:B,"906-246458-110",Plan!ag:ag)</f>
        <v>0</v>
      </c>
      <c r="AH1073">
        <f>sumif(Plan!B:B,"906-246458-110",Plan!ah:ah)</f>
        <v>0</v>
      </c>
      <c r="AI1073">
        <f>sumif(Plan!B:B,"906-246458-110",Plan!ai:ai)</f>
        <v>0</v>
      </c>
      <c r="AJ1073">
        <f>sumif(Plan!B:B,"906-246458-110",Plan!aj:aj)</f>
        <v>0</v>
      </c>
      <c r="AK1073">
        <f>sumif(Plan!B:B,"906-246458-110",Plan!ak:ak)</f>
        <v>0</v>
      </c>
      <c r="AL1073">
        <f>sumif(Plan!B:B,"906-246458-110",Plan!al:al)</f>
        <v>0</v>
      </c>
      <c r="AM1073">
        <f>sumif(Plan!B:B,"906-246458-110",Plan!am:am)</f>
        <v>0</v>
      </c>
      <c r="AN1073">
        <f>sumif(Plan!B:B,"906-246458-110",Plan!an:an)</f>
        <v>0</v>
      </c>
      <c r="AO1073">
        <f>sumif(Plan!B:B,"906-246458-110",Plan!ao:ao)</f>
        <v>0</v>
      </c>
    </row>
    <row r="1074" spans="1:41">
      <c r="A1074" t="s">
        <v>17</v>
      </c>
      <c r="B1074" t="s">
        <v>697</v>
      </c>
      <c r="C1074" t="s">
        <v>698</v>
      </c>
      <c r="E1074">
        <v>1</v>
      </c>
      <c r="F1074" t="s">
        <v>13</v>
      </c>
      <c r="H1074" t="s">
        <v>16</v>
      </c>
      <c r="J1074">
        <f>indirect(address(1074,9))+indirect(address(1072,10))-indirect(address(1073,10))</f>
        <v>0</v>
      </c>
      <c r="K1074">
        <f>indirect(address(1074,10))+indirect(address(1072,11))-indirect(address(1073,11))</f>
        <v>0</v>
      </c>
      <c r="L1074">
        <f>indirect(address(1074,11))+indirect(address(1072,12))-indirect(address(1073,12))</f>
        <v>0</v>
      </c>
      <c r="M1074">
        <f>indirect(address(1074,12))+indirect(address(1072,13))-indirect(address(1073,13))</f>
        <v>0</v>
      </c>
      <c r="N1074">
        <f>indirect(address(1074,13))+indirect(address(1072,14))-indirect(address(1073,14))</f>
        <v>0</v>
      </c>
      <c r="O1074">
        <f>indirect(address(1074,14))+indirect(address(1072,15))-indirect(address(1073,15))</f>
        <v>0</v>
      </c>
      <c r="P1074">
        <f>indirect(address(1074,15))+indirect(address(1072,16))-indirect(address(1073,16))</f>
        <v>0</v>
      </c>
      <c r="Q1074">
        <f>indirect(address(1074,16))+indirect(address(1072,17))-indirect(address(1073,17))</f>
        <v>0</v>
      </c>
      <c r="R1074">
        <f>indirect(address(1074,17))+indirect(address(1072,18))-indirect(address(1073,18))</f>
        <v>0</v>
      </c>
      <c r="S1074">
        <f>indirect(address(1074,18))+indirect(address(1072,19))-indirect(address(1073,19))</f>
        <v>0</v>
      </c>
      <c r="T1074">
        <f>indirect(address(1074,19))+indirect(address(1072,20))-indirect(address(1073,20))</f>
        <v>0</v>
      </c>
      <c r="U1074">
        <f>indirect(address(1074,20))+indirect(address(1072,21))-indirect(address(1073,21))</f>
        <v>0</v>
      </c>
      <c r="V1074">
        <f>indirect(address(1074,21))+indirect(address(1072,22))-indirect(address(1073,22))</f>
        <v>0</v>
      </c>
      <c r="W1074">
        <f>indirect(address(1074,22))+indirect(address(1072,23))-indirect(address(1073,23))</f>
        <v>0</v>
      </c>
      <c r="X1074">
        <f>indirect(address(1074,23))+indirect(address(1072,24))-indirect(address(1073,24))</f>
        <v>0</v>
      </c>
      <c r="Y1074">
        <f>indirect(address(1074,24))+indirect(address(1072,25))-indirect(address(1073,25))</f>
        <v>0</v>
      </c>
      <c r="Z1074">
        <f>indirect(address(1074,25))+indirect(address(1072,26))-indirect(address(1073,26))</f>
        <v>0</v>
      </c>
      <c r="AA1074">
        <f>indirect(address(1074,26))+indirect(address(1072,27))-indirect(address(1073,27))</f>
        <v>0</v>
      </c>
      <c r="AB1074">
        <f>indirect(address(1074,27))+indirect(address(1072,28))-indirect(address(1073,28))</f>
        <v>0</v>
      </c>
      <c r="AC1074">
        <f>indirect(address(1074,28))+indirect(address(1072,29))-indirect(address(1073,29))</f>
        <v>0</v>
      </c>
      <c r="AD1074">
        <f>indirect(address(1074,29))+indirect(address(1072,30))-indirect(address(1073,30))</f>
        <v>0</v>
      </c>
      <c r="AE1074">
        <f>indirect(address(1074,30))+indirect(address(1072,31))-indirect(address(1073,31))</f>
        <v>0</v>
      </c>
      <c r="AF1074">
        <f>indirect(address(1074,31))+indirect(address(1072,32))-indirect(address(1073,32))</f>
        <v>0</v>
      </c>
      <c r="AG1074">
        <f>indirect(address(1074,32))+indirect(address(1072,33))-indirect(address(1073,33))</f>
        <v>0</v>
      </c>
      <c r="AH1074">
        <f>indirect(address(1074,33))+indirect(address(1072,34))-indirect(address(1073,34))</f>
        <v>0</v>
      </c>
      <c r="AI1074">
        <f>indirect(address(1074,34))+indirect(address(1072,35))-indirect(address(1073,35))</f>
        <v>0</v>
      </c>
      <c r="AJ1074">
        <f>indirect(address(1074,35))+indirect(address(1072,36))-indirect(address(1073,36))</f>
        <v>0</v>
      </c>
      <c r="AK1074">
        <f>indirect(address(1074,36))+indirect(address(1072,37))-indirect(address(1073,37))</f>
        <v>0</v>
      </c>
      <c r="AL1074">
        <f>indirect(address(1074,37))+indirect(address(1072,38))-indirect(address(1073,38))</f>
        <v>0</v>
      </c>
      <c r="AM1074">
        <f>indirect(address(1074,38))+indirect(address(1072,39))-indirect(address(1073,39))</f>
        <v>0</v>
      </c>
      <c r="AN1074">
        <f>indirect(address(1074,39))+indirect(address(1072,40))-indirect(address(1073,40))</f>
        <v>0</v>
      </c>
      <c r="AO1074">
        <f>indirect(address(1074,40))+indirect(address(1072,41))-indirect(address(1073,41))</f>
        <v>0</v>
      </c>
    </row>
    <row r="1075" spans="1:41">
      <c r="I1075" t="s">
        <v>14</v>
      </c>
      <c r="AO1075">
        <f>sum(j1075:an1075)</f>
        <v>0</v>
      </c>
    </row>
    <row r="1076" spans="1:41">
      <c r="I1076" t="s">
        <v>15</v>
      </c>
      <c r="J1076">
        <f>sumif(Plan!B:B,"211-020300-000",Plan!j:j)</f>
        <v>0</v>
      </c>
      <c r="K1076">
        <f>sumif(Plan!B:B,"211-020300-000",Plan!k:k)</f>
        <v>0</v>
      </c>
      <c r="L1076">
        <f>sumif(Plan!B:B,"211-020300-000",Plan!l:l)</f>
        <v>0</v>
      </c>
      <c r="M1076">
        <f>sumif(Plan!B:B,"211-020300-000",Plan!m:m)</f>
        <v>0</v>
      </c>
      <c r="N1076">
        <f>sumif(Plan!B:B,"211-020300-000",Plan!n:n)</f>
        <v>0</v>
      </c>
      <c r="O1076">
        <f>sumif(Plan!B:B,"211-020300-000",Plan!o:o)</f>
        <v>0</v>
      </c>
      <c r="P1076">
        <f>sumif(Plan!B:B,"211-020300-000",Plan!p:p)</f>
        <v>0</v>
      </c>
      <c r="Q1076">
        <f>sumif(Plan!B:B,"211-020300-000",Plan!q:q)</f>
        <v>0</v>
      </c>
      <c r="R1076">
        <f>sumif(Plan!B:B,"211-020300-000",Plan!r:r)</f>
        <v>0</v>
      </c>
      <c r="S1076">
        <f>sumif(Plan!B:B,"211-020300-000",Plan!s:s)</f>
        <v>0</v>
      </c>
      <c r="T1076">
        <f>sumif(Plan!B:B,"211-020300-000",Plan!t:t)</f>
        <v>0</v>
      </c>
      <c r="U1076">
        <f>sumif(Plan!B:B,"211-020300-000",Plan!u:u)</f>
        <v>0</v>
      </c>
      <c r="V1076">
        <f>sumif(Plan!B:B,"211-020300-000",Plan!v:v)</f>
        <v>0</v>
      </c>
      <c r="W1076">
        <f>sumif(Plan!B:B,"211-020300-000",Plan!w:w)</f>
        <v>0</v>
      </c>
      <c r="X1076">
        <f>sumif(Plan!B:B,"211-020300-000",Plan!x:x)</f>
        <v>0</v>
      </c>
      <c r="Y1076">
        <f>sumif(Plan!B:B,"211-020300-000",Plan!y:y)</f>
        <v>0</v>
      </c>
      <c r="Z1076">
        <f>sumif(Plan!B:B,"211-020300-000",Plan!z:z)</f>
        <v>0</v>
      </c>
      <c r="AA1076">
        <f>sumif(Plan!B:B,"211-020300-000",Plan!aa:aa)</f>
        <v>0</v>
      </c>
      <c r="AB1076">
        <f>sumif(Plan!B:B,"211-020300-000",Plan!ab:ab)</f>
        <v>0</v>
      </c>
      <c r="AC1076">
        <f>sumif(Plan!B:B,"211-020300-000",Plan!ac:ac)</f>
        <v>0</v>
      </c>
      <c r="AD1076">
        <f>sumif(Plan!B:B,"211-020300-000",Plan!ad:ad)</f>
        <v>0</v>
      </c>
      <c r="AE1076">
        <f>sumif(Plan!B:B,"211-020300-000",Plan!ae:ae)</f>
        <v>0</v>
      </c>
      <c r="AF1076">
        <f>sumif(Plan!B:B,"211-020300-000",Plan!af:af)</f>
        <v>0</v>
      </c>
      <c r="AG1076">
        <f>sumif(Plan!B:B,"211-020300-000",Plan!ag:ag)</f>
        <v>0</v>
      </c>
      <c r="AH1076">
        <f>sumif(Plan!B:B,"211-020300-000",Plan!ah:ah)</f>
        <v>0</v>
      </c>
      <c r="AI1076">
        <f>sumif(Plan!B:B,"211-020300-000",Plan!ai:ai)</f>
        <v>0</v>
      </c>
      <c r="AJ1076">
        <f>sumif(Plan!B:B,"211-020300-000",Plan!aj:aj)</f>
        <v>0</v>
      </c>
      <c r="AK1076">
        <f>sumif(Plan!B:B,"211-020300-000",Plan!ak:ak)</f>
        <v>0</v>
      </c>
      <c r="AL1076">
        <f>sumif(Plan!B:B,"211-020300-000",Plan!al:al)</f>
        <v>0</v>
      </c>
      <c r="AM1076">
        <f>sumif(Plan!B:B,"211-020300-000",Plan!am:am)</f>
        <v>0</v>
      </c>
      <c r="AN1076">
        <f>sumif(Plan!B:B,"211-020300-000",Plan!an:an)</f>
        <v>0</v>
      </c>
      <c r="AO1076">
        <f>sumif(Plan!B:B,"211-020300-000",Plan!ao:ao)</f>
        <v>0</v>
      </c>
    </row>
    <row r="1077" spans="1:41">
      <c r="A1077" t="s">
        <v>22</v>
      </c>
      <c r="B1077" t="s">
        <v>699</v>
      </c>
      <c r="C1077" t="s">
        <v>700</v>
      </c>
      <c r="E1077">
        <v>0.002</v>
      </c>
      <c r="F1077" t="s">
        <v>13</v>
      </c>
      <c r="H1077" t="s">
        <v>16</v>
      </c>
      <c r="J1077">
        <f>indirect(address(1077,9))+indirect(address(1075,10))-indirect(address(1076,10))</f>
        <v>0</v>
      </c>
      <c r="K1077">
        <f>indirect(address(1077,10))+indirect(address(1075,11))-indirect(address(1076,11))</f>
        <v>0</v>
      </c>
      <c r="L1077">
        <f>indirect(address(1077,11))+indirect(address(1075,12))-indirect(address(1076,12))</f>
        <v>0</v>
      </c>
      <c r="M1077">
        <f>indirect(address(1077,12))+indirect(address(1075,13))-indirect(address(1076,13))</f>
        <v>0</v>
      </c>
      <c r="N1077">
        <f>indirect(address(1077,13))+indirect(address(1075,14))-indirect(address(1076,14))</f>
        <v>0</v>
      </c>
      <c r="O1077">
        <f>indirect(address(1077,14))+indirect(address(1075,15))-indirect(address(1076,15))</f>
        <v>0</v>
      </c>
      <c r="P1077">
        <f>indirect(address(1077,15))+indirect(address(1075,16))-indirect(address(1076,16))</f>
        <v>0</v>
      </c>
      <c r="Q1077">
        <f>indirect(address(1077,16))+indirect(address(1075,17))-indirect(address(1076,17))</f>
        <v>0</v>
      </c>
      <c r="R1077">
        <f>indirect(address(1077,17))+indirect(address(1075,18))-indirect(address(1076,18))</f>
        <v>0</v>
      </c>
      <c r="S1077">
        <f>indirect(address(1077,18))+indirect(address(1075,19))-indirect(address(1076,19))</f>
        <v>0</v>
      </c>
      <c r="T1077">
        <f>indirect(address(1077,19))+indirect(address(1075,20))-indirect(address(1076,20))</f>
        <v>0</v>
      </c>
      <c r="U1077">
        <f>indirect(address(1077,20))+indirect(address(1075,21))-indirect(address(1076,21))</f>
        <v>0</v>
      </c>
      <c r="V1077">
        <f>indirect(address(1077,21))+indirect(address(1075,22))-indirect(address(1076,22))</f>
        <v>0</v>
      </c>
      <c r="W1077">
        <f>indirect(address(1077,22))+indirect(address(1075,23))-indirect(address(1076,23))</f>
        <v>0</v>
      </c>
      <c r="X1077">
        <f>indirect(address(1077,23))+indirect(address(1075,24))-indirect(address(1076,24))</f>
        <v>0</v>
      </c>
      <c r="Y1077">
        <f>indirect(address(1077,24))+indirect(address(1075,25))-indirect(address(1076,25))</f>
        <v>0</v>
      </c>
      <c r="Z1077">
        <f>indirect(address(1077,25))+indirect(address(1075,26))-indirect(address(1076,26))</f>
        <v>0</v>
      </c>
      <c r="AA1077">
        <f>indirect(address(1077,26))+indirect(address(1075,27))-indirect(address(1076,27))</f>
        <v>0</v>
      </c>
      <c r="AB1077">
        <f>indirect(address(1077,27))+indirect(address(1075,28))-indirect(address(1076,28))</f>
        <v>0</v>
      </c>
      <c r="AC1077">
        <f>indirect(address(1077,28))+indirect(address(1075,29))-indirect(address(1076,29))</f>
        <v>0</v>
      </c>
      <c r="AD1077">
        <f>indirect(address(1077,29))+indirect(address(1075,30))-indirect(address(1076,30))</f>
        <v>0</v>
      </c>
      <c r="AE1077">
        <f>indirect(address(1077,30))+indirect(address(1075,31))-indirect(address(1076,31))</f>
        <v>0</v>
      </c>
      <c r="AF1077">
        <f>indirect(address(1077,31))+indirect(address(1075,32))-indirect(address(1076,32))</f>
        <v>0</v>
      </c>
      <c r="AG1077">
        <f>indirect(address(1077,32))+indirect(address(1075,33))-indirect(address(1076,33))</f>
        <v>0</v>
      </c>
      <c r="AH1077">
        <f>indirect(address(1077,33))+indirect(address(1075,34))-indirect(address(1076,34))</f>
        <v>0</v>
      </c>
      <c r="AI1077">
        <f>indirect(address(1077,34))+indirect(address(1075,35))-indirect(address(1076,35))</f>
        <v>0</v>
      </c>
      <c r="AJ1077">
        <f>indirect(address(1077,35))+indirect(address(1075,36))-indirect(address(1076,36))</f>
        <v>0</v>
      </c>
      <c r="AK1077">
        <f>indirect(address(1077,36))+indirect(address(1075,37))-indirect(address(1076,37))</f>
        <v>0</v>
      </c>
      <c r="AL1077">
        <f>indirect(address(1077,37))+indirect(address(1075,38))-indirect(address(1076,38))</f>
        <v>0</v>
      </c>
      <c r="AM1077">
        <f>indirect(address(1077,38))+indirect(address(1075,39))-indirect(address(1076,39))</f>
        <v>0</v>
      </c>
      <c r="AN1077">
        <f>indirect(address(1077,39))+indirect(address(1075,40))-indirect(address(1076,40))</f>
        <v>0</v>
      </c>
      <c r="AO1077">
        <f>indirect(address(1077,40))+indirect(address(1075,41))-indirect(address(1076,41))</f>
        <v>0</v>
      </c>
    </row>
    <row r="1078" spans="1:41">
      <c r="I1078" t="s">
        <v>14</v>
      </c>
      <c r="AO1078">
        <f>sum(j1078:an1078)</f>
        <v>0</v>
      </c>
    </row>
    <row r="1079" spans="1:41">
      <c r="I1079" t="s">
        <v>15</v>
      </c>
      <c r="J1079">
        <f>sumif(Plan!B:B,"211-020400-000",Plan!j:j)</f>
        <v>0</v>
      </c>
      <c r="K1079">
        <f>sumif(Plan!B:B,"211-020400-000",Plan!k:k)</f>
        <v>0</v>
      </c>
      <c r="L1079">
        <f>sumif(Plan!B:B,"211-020400-000",Plan!l:l)</f>
        <v>0</v>
      </c>
      <c r="M1079">
        <f>sumif(Plan!B:B,"211-020400-000",Plan!m:m)</f>
        <v>0</v>
      </c>
      <c r="N1079">
        <f>sumif(Plan!B:B,"211-020400-000",Plan!n:n)</f>
        <v>0</v>
      </c>
      <c r="O1079">
        <f>sumif(Plan!B:B,"211-020400-000",Plan!o:o)</f>
        <v>0</v>
      </c>
      <c r="P1079">
        <f>sumif(Plan!B:B,"211-020400-000",Plan!p:p)</f>
        <v>0</v>
      </c>
      <c r="Q1079">
        <f>sumif(Plan!B:B,"211-020400-000",Plan!q:q)</f>
        <v>0</v>
      </c>
      <c r="R1079">
        <f>sumif(Plan!B:B,"211-020400-000",Plan!r:r)</f>
        <v>0</v>
      </c>
      <c r="S1079">
        <f>sumif(Plan!B:B,"211-020400-000",Plan!s:s)</f>
        <v>0</v>
      </c>
      <c r="T1079">
        <f>sumif(Plan!B:B,"211-020400-000",Plan!t:t)</f>
        <v>0</v>
      </c>
      <c r="U1079">
        <f>sumif(Plan!B:B,"211-020400-000",Plan!u:u)</f>
        <v>0</v>
      </c>
      <c r="V1079">
        <f>sumif(Plan!B:B,"211-020400-000",Plan!v:v)</f>
        <v>0</v>
      </c>
      <c r="W1079">
        <f>sumif(Plan!B:B,"211-020400-000",Plan!w:w)</f>
        <v>0</v>
      </c>
      <c r="X1079">
        <f>sumif(Plan!B:B,"211-020400-000",Plan!x:x)</f>
        <v>0</v>
      </c>
      <c r="Y1079">
        <f>sumif(Plan!B:B,"211-020400-000",Plan!y:y)</f>
        <v>0</v>
      </c>
      <c r="Z1079">
        <f>sumif(Plan!B:B,"211-020400-000",Plan!z:z)</f>
        <v>0</v>
      </c>
      <c r="AA1079">
        <f>sumif(Plan!B:B,"211-020400-000",Plan!aa:aa)</f>
        <v>0</v>
      </c>
      <c r="AB1079">
        <f>sumif(Plan!B:B,"211-020400-000",Plan!ab:ab)</f>
        <v>0</v>
      </c>
      <c r="AC1079">
        <f>sumif(Plan!B:B,"211-020400-000",Plan!ac:ac)</f>
        <v>0</v>
      </c>
      <c r="AD1079">
        <f>sumif(Plan!B:B,"211-020400-000",Plan!ad:ad)</f>
        <v>0</v>
      </c>
      <c r="AE1079">
        <f>sumif(Plan!B:B,"211-020400-000",Plan!ae:ae)</f>
        <v>0</v>
      </c>
      <c r="AF1079">
        <f>sumif(Plan!B:B,"211-020400-000",Plan!af:af)</f>
        <v>0</v>
      </c>
      <c r="AG1079">
        <f>sumif(Plan!B:B,"211-020400-000",Plan!ag:ag)</f>
        <v>0</v>
      </c>
      <c r="AH1079">
        <f>sumif(Plan!B:B,"211-020400-000",Plan!ah:ah)</f>
        <v>0</v>
      </c>
      <c r="AI1079">
        <f>sumif(Plan!B:B,"211-020400-000",Plan!ai:ai)</f>
        <v>0</v>
      </c>
      <c r="AJ1079">
        <f>sumif(Plan!B:B,"211-020400-000",Plan!aj:aj)</f>
        <v>0</v>
      </c>
      <c r="AK1079">
        <f>sumif(Plan!B:B,"211-020400-000",Plan!ak:ak)</f>
        <v>0</v>
      </c>
      <c r="AL1079">
        <f>sumif(Plan!B:B,"211-020400-000",Plan!al:al)</f>
        <v>0</v>
      </c>
      <c r="AM1079">
        <f>sumif(Plan!B:B,"211-020400-000",Plan!am:am)</f>
        <v>0</v>
      </c>
      <c r="AN1079">
        <f>sumif(Plan!B:B,"211-020400-000",Plan!an:an)</f>
        <v>0</v>
      </c>
      <c r="AO1079">
        <f>sumif(Plan!B:B,"211-020400-000",Plan!ao:ao)</f>
        <v>0</v>
      </c>
    </row>
    <row r="1080" spans="1:41">
      <c r="A1080" t="s">
        <v>22</v>
      </c>
      <c r="B1080" t="s">
        <v>701</v>
      </c>
      <c r="C1080" t="s">
        <v>702</v>
      </c>
      <c r="E1080">
        <v>0.003</v>
      </c>
      <c r="F1080" t="s">
        <v>13</v>
      </c>
      <c r="H1080" t="s">
        <v>16</v>
      </c>
      <c r="J1080">
        <f>indirect(address(1080,9))+indirect(address(1078,10))-indirect(address(1079,10))</f>
        <v>0</v>
      </c>
      <c r="K1080">
        <f>indirect(address(1080,10))+indirect(address(1078,11))-indirect(address(1079,11))</f>
        <v>0</v>
      </c>
      <c r="L1080">
        <f>indirect(address(1080,11))+indirect(address(1078,12))-indirect(address(1079,12))</f>
        <v>0</v>
      </c>
      <c r="M1080">
        <f>indirect(address(1080,12))+indirect(address(1078,13))-indirect(address(1079,13))</f>
        <v>0</v>
      </c>
      <c r="N1080">
        <f>indirect(address(1080,13))+indirect(address(1078,14))-indirect(address(1079,14))</f>
        <v>0</v>
      </c>
      <c r="O1080">
        <f>indirect(address(1080,14))+indirect(address(1078,15))-indirect(address(1079,15))</f>
        <v>0</v>
      </c>
      <c r="P1080">
        <f>indirect(address(1080,15))+indirect(address(1078,16))-indirect(address(1079,16))</f>
        <v>0</v>
      </c>
      <c r="Q1080">
        <f>indirect(address(1080,16))+indirect(address(1078,17))-indirect(address(1079,17))</f>
        <v>0</v>
      </c>
      <c r="R1080">
        <f>indirect(address(1080,17))+indirect(address(1078,18))-indirect(address(1079,18))</f>
        <v>0</v>
      </c>
      <c r="S1080">
        <f>indirect(address(1080,18))+indirect(address(1078,19))-indirect(address(1079,19))</f>
        <v>0</v>
      </c>
      <c r="T1080">
        <f>indirect(address(1080,19))+indirect(address(1078,20))-indirect(address(1079,20))</f>
        <v>0</v>
      </c>
      <c r="U1080">
        <f>indirect(address(1080,20))+indirect(address(1078,21))-indirect(address(1079,21))</f>
        <v>0</v>
      </c>
      <c r="V1080">
        <f>indirect(address(1080,21))+indirect(address(1078,22))-indirect(address(1079,22))</f>
        <v>0</v>
      </c>
      <c r="W1080">
        <f>indirect(address(1080,22))+indirect(address(1078,23))-indirect(address(1079,23))</f>
        <v>0</v>
      </c>
      <c r="X1080">
        <f>indirect(address(1080,23))+indirect(address(1078,24))-indirect(address(1079,24))</f>
        <v>0</v>
      </c>
      <c r="Y1080">
        <f>indirect(address(1080,24))+indirect(address(1078,25))-indirect(address(1079,25))</f>
        <v>0</v>
      </c>
      <c r="Z1080">
        <f>indirect(address(1080,25))+indirect(address(1078,26))-indirect(address(1079,26))</f>
        <v>0</v>
      </c>
      <c r="AA1080">
        <f>indirect(address(1080,26))+indirect(address(1078,27))-indirect(address(1079,27))</f>
        <v>0</v>
      </c>
      <c r="AB1080">
        <f>indirect(address(1080,27))+indirect(address(1078,28))-indirect(address(1079,28))</f>
        <v>0</v>
      </c>
      <c r="AC1080">
        <f>indirect(address(1080,28))+indirect(address(1078,29))-indirect(address(1079,29))</f>
        <v>0</v>
      </c>
      <c r="AD1080">
        <f>indirect(address(1080,29))+indirect(address(1078,30))-indirect(address(1079,30))</f>
        <v>0</v>
      </c>
      <c r="AE1080">
        <f>indirect(address(1080,30))+indirect(address(1078,31))-indirect(address(1079,31))</f>
        <v>0</v>
      </c>
      <c r="AF1080">
        <f>indirect(address(1080,31))+indirect(address(1078,32))-indirect(address(1079,32))</f>
        <v>0</v>
      </c>
      <c r="AG1080">
        <f>indirect(address(1080,32))+indirect(address(1078,33))-indirect(address(1079,33))</f>
        <v>0</v>
      </c>
      <c r="AH1080">
        <f>indirect(address(1080,33))+indirect(address(1078,34))-indirect(address(1079,34))</f>
        <v>0</v>
      </c>
      <c r="AI1080">
        <f>indirect(address(1080,34))+indirect(address(1078,35))-indirect(address(1079,35))</f>
        <v>0</v>
      </c>
      <c r="AJ1080">
        <f>indirect(address(1080,35))+indirect(address(1078,36))-indirect(address(1079,36))</f>
        <v>0</v>
      </c>
      <c r="AK1080">
        <f>indirect(address(1080,36))+indirect(address(1078,37))-indirect(address(1079,37))</f>
        <v>0</v>
      </c>
      <c r="AL1080">
        <f>indirect(address(1080,37))+indirect(address(1078,38))-indirect(address(1079,38))</f>
        <v>0</v>
      </c>
      <c r="AM1080">
        <f>indirect(address(1080,38))+indirect(address(1078,39))-indirect(address(1079,39))</f>
        <v>0</v>
      </c>
      <c r="AN1080">
        <f>indirect(address(1080,39))+indirect(address(1078,40))-indirect(address(1079,40))</f>
        <v>0</v>
      </c>
      <c r="AO1080">
        <f>indirect(address(1080,40))+indirect(address(1078,41))-indirect(address(1079,41))</f>
        <v>0</v>
      </c>
    </row>
    <row r="1081" spans="1:41">
      <c r="I1081" t="s">
        <v>14</v>
      </c>
      <c r="AO1081">
        <f>sum(j1081:an1081)</f>
        <v>0</v>
      </c>
    </row>
    <row r="1082" spans="1:41">
      <c r="I1082" t="s">
        <v>15</v>
      </c>
      <c r="J1082">
        <f>sumif(Plan!B:B,"211-020500-000",Plan!j:j)</f>
        <v>0</v>
      </c>
      <c r="K1082">
        <f>sumif(Plan!B:B,"211-020500-000",Plan!k:k)</f>
        <v>0</v>
      </c>
      <c r="L1082">
        <f>sumif(Plan!B:B,"211-020500-000",Plan!l:l)</f>
        <v>0</v>
      </c>
      <c r="M1082">
        <f>sumif(Plan!B:B,"211-020500-000",Plan!m:m)</f>
        <v>0</v>
      </c>
      <c r="N1082">
        <f>sumif(Plan!B:B,"211-020500-000",Plan!n:n)</f>
        <v>0</v>
      </c>
      <c r="O1082">
        <f>sumif(Plan!B:B,"211-020500-000",Plan!o:o)</f>
        <v>0</v>
      </c>
      <c r="P1082">
        <f>sumif(Plan!B:B,"211-020500-000",Plan!p:p)</f>
        <v>0</v>
      </c>
      <c r="Q1082">
        <f>sumif(Plan!B:B,"211-020500-000",Plan!q:q)</f>
        <v>0</v>
      </c>
      <c r="R1082">
        <f>sumif(Plan!B:B,"211-020500-000",Plan!r:r)</f>
        <v>0</v>
      </c>
      <c r="S1082">
        <f>sumif(Plan!B:B,"211-020500-000",Plan!s:s)</f>
        <v>0</v>
      </c>
      <c r="T1082">
        <f>sumif(Plan!B:B,"211-020500-000",Plan!t:t)</f>
        <v>0</v>
      </c>
      <c r="U1082">
        <f>sumif(Plan!B:B,"211-020500-000",Plan!u:u)</f>
        <v>0</v>
      </c>
      <c r="V1082">
        <f>sumif(Plan!B:B,"211-020500-000",Plan!v:v)</f>
        <v>0</v>
      </c>
      <c r="W1082">
        <f>sumif(Plan!B:B,"211-020500-000",Plan!w:w)</f>
        <v>0</v>
      </c>
      <c r="X1082">
        <f>sumif(Plan!B:B,"211-020500-000",Plan!x:x)</f>
        <v>0</v>
      </c>
      <c r="Y1082">
        <f>sumif(Plan!B:B,"211-020500-000",Plan!y:y)</f>
        <v>0</v>
      </c>
      <c r="Z1082">
        <f>sumif(Plan!B:B,"211-020500-000",Plan!z:z)</f>
        <v>0</v>
      </c>
      <c r="AA1082">
        <f>sumif(Plan!B:B,"211-020500-000",Plan!aa:aa)</f>
        <v>0</v>
      </c>
      <c r="AB1082">
        <f>sumif(Plan!B:B,"211-020500-000",Plan!ab:ab)</f>
        <v>0</v>
      </c>
      <c r="AC1082">
        <f>sumif(Plan!B:B,"211-020500-000",Plan!ac:ac)</f>
        <v>0</v>
      </c>
      <c r="AD1082">
        <f>sumif(Plan!B:B,"211-020500-000",Plan!ad:ad)</f>
        <v>0</v>
      </c>
      <c r="AE1082">
        <f>sumif(Plan!B:B,"211-020500-000",Plan!ae:ae)</f>
        <v>0</v>
      </c>
      <c r="AF1082">
        <f>sumif(Plan!B:B,"211-020500-000",Plan!af:af)</f>
        <v>0</v>
      </c>
      <c r="AG1082">
        <f>sumif(Plan!B:B,"211-020500-000",Plan!ag:ag)</f>
        <v>0</v>
      </c>
      <c r="AH1082">
        <f>sumif(Plan!B:B,"211-020500-000",Plan!ah:ah)</f>
        <v>0</v>
      </c>
      <c r="AI1082">
        <f>sumif(Plan!B:B,"211-020500-000",Plan!ai:ai)</f>
        <v>0</v>
      </c>
      <c r="AJ1082">
        <f>sumif(Plan!B:B,"211-020500-000",Plan!aj:aj)</f>
        <v>0</v>
      </c>
      <c r="AK1082">
        <f>sumif(Plan!B:B,"211-020500-000",Plan!ak:ak)</f>
        <v>0</v>
      </c>
      <c r="AL1082">
        <f>sumif(Plan!B:B,"211-020500-000",Plan!al:al)</f>
        <v>0</v>
      </c>
      <c r="AM1082">
        <f>sumif(Plan!B:B,"211-020500-000",Plan!am:am)</f>
        <v>0</v>
      </c>
      <c r="AN1082">
        <f>sumif(Plan!B:B,"211-020500-000",Plan!an:an)</f>
        <v>0</v>
      </c>
      <c r="AO1082">
        <f>sumif(Plan!B:B,"211-020500-000",Plan!ao:ao)</f>
        <v>0</v>
      </c>
    </row>
    <row r="1083" spans="1:41">
      <c r="A1083" t="s">
        <v>22</v>
      </c>
      <c r="B1083" t="s">
        <v>703</v>
      </c>
      <c r="C1083" t="s">
        <v>704</v>
      </c>
      <c r="E1083">
        <v>2</v>
      </c>
      <c r="F1083" t="s">
        <v>13</v>
      </c>
      <c r="H1083" t="s">
        <v>16</v>
      </c>
      <c r="J1083">
        <f>indirect(address(1083,9))+indirect(address(1081,10))-indirect(address(1082,10))</f>
        <v>0</v>
      </c>
      <c r="K1083">
        <f>indirect(address(1083,10))+indirect(address(1081,11))-indirect(address(1082,11))</f>
        <v>0</v>
      </c>
      <c r="L1083">
        <f>indirect(address(1083,11))+indirect(address(1081,12))-indirect(address(1082,12))</f>
        <v>0</v>
      </c>
      <c r="M1083">
        <f>indirect(address(1083,12))+indirect(address(1081,13))-indirect(address(1082,13))</f>
        <v>0</v>
      </c>
      <c r="N1083">
        <f>indirect(address(1083,13))+indirect(address(1081,14))-indirect(address(1082,14))</f>
        <v>0</v>
      </c>
      <c r="O1083">
        <f>indirect(address(1083,14))+indirect(address(1081,15))-indirect(address(1082,15))</f>
        <v>0</v>
      </c>
      <c r="P1083">
        <f>indirect(address(1083,15))+indirect(address(1081,16))-indirect(address(1082,16))</f>
        <v>0</v>
      </c>
      <c r="Q1083">
        <f>indirect(address(1083,16))+indirect(address(1081,17))-indirect(address(1082,17))</f>
        <v>0</v>
      </c>
      <c r="R1083">
        <f>indirect(address(1083,17))+indirect(address(1081,18))-indirect(address(1082,18))</f>
        <v>0</v>
      </c>
      <c r="S1083">
        <f>indirect(address(1083,18))+indirect(address(1081,19))-indirect(address(1082,19))</f>
        <v>0</v>
      </c>
      <c r="T1083">
        <f>indirect(address(1083,19))+indirect(address(1081,20))-indirect(address(1082,20))</f>
        <v>0</v>
      </c>
      <c r="U1083">
        <f>indirect(address(1083,20))+indirect(address(1081,21))-indirect(address(1082,21))</f>
        <v>0</v>
      </c>
      <c r="V1083">
        <f>indirect(address(1083,21))+indirect(address(1081,22))-indirect(address(1082,22))</f>
        <v>0</v>
      </c>
      <c r="W1083">
        <f>indirect(address(1083,22))+indirect(address(1081,23))-indirect(address(1082,23))</f>
        <v>0</v>
      </c>
      <c r="X1083">
        <f>indirect(address(1083,23))+indirect(address(1081,24))-indirect(address(1082,24))</f>
        <v>0</v>
      </c>
      <c r="Y1083">
        <f>indirect(address(1083,24))+indirect(address(1081,25))-indirect(address(1082,25))</f>
        <v>0</v>
      </c>
      <c r="Z1083">
        <f>indirect(address(1083,25))+indirect(address(1081,26))-indirect(address(1082,26))</f>
        <v>0</v>
      </c>
      <c r="AA1083">
        <f>indirect(address(1083,26))+indirect(address(1081,27))-indirect(address(1082,27))</f>
        <v>0</v>
      </c>
      <c r="AB1083">
        <f>indirect(address(1083,27))+indirect(address(1081,28))-indirect(address(1082,28))</f>
        <v>0</v>
      </c>
      <c r="AC1083">
        <f>indirect(address(1083,28))+indirect(address(1081,29))-indirect(address(1082,29))</f>
        <v>0</v>
      </c>
      <c r="AD1083">
        <f>indirect(address(1083,29))+indirect(address(1081,30))-indirect(address(1082,30))</f>
        <v>0</v>
      </c>
      <c r="AE1083">
        <f>indirect(address(1083,30))+indirect(address(1081,31))-indirect(address(1082,31))</f>
        <v>0</v>
      </c>
      <c r="AF1083">
        <f>indirect(address(1083,31))+indirect(address(1081,32))-indirect(address(1082,32))</f>
        <v>0</v>
      </c>
      <c r="AG1083">
        <f>indirect(address(1083,32))+indirect(address(1081,33))-indirect(address(1082,33))</f>
        <v>0</v>
      </c>
      <c r="AH1083">
        <f>indirect(address(1083,33))+indirect(address(1081,34))-indirect(address(1082,34))</f>
        <v>0</v>
      </c>
      <c r="AI1083">
        <f>indirect(address(1083,34))+indirect(address(1081,35))-indirect(address(1082,35))</f>
        <v>0</v>
      </c>
      <c r="AJ1083">
        <f>indirect(address(1083,35))+indirect(address(1081,36))-indirect(address(1082,36))</f>
        <v>0</v>
      </c>
      <c r="AK1083">
        <f>indirect(address(1083,36))+indirect(address(1081,37))-indirect(address(1082,37))</f>
        <v>0</v>
      </c>
      <c r="AL1083">
        <f>indirect(address(1083,37))+indirect(address(1081,38))-indirect(address(1082,38))</f>
        <v>0</v>
      </c>
      <c r="AM1083">
        <f>indirect(address(1083,38))+indirect(address(1081,39))-indirect(address(1082,39))</f>
        <v>0</v>
      </c>
      <c r="AN1083">
        <f>indirect(address(1083,39))+indirect(address(1081,40))-indirect(address(1082,40))</f>
        <v>0</v>
      </c>
      <c r="AO1083">
        <f>indirect(address(1083,40))+indirect(address(1081,41))-indirect(address(1082,41))</f>
        <v>0</v>
      </c>
    </row>
    <row r="1084" spans="1:41">
      <c r="I1084" t="s">
        <v>14</v>
      </c>
      <c r="AO1084">
        <f>sum(j1084:an1084)</f>
        <v>0</v>
      </c>
    </row>
    <row r="1085" spans="1:41">
      <c r="I1085" t="s">
        <v>15</v>
      </c>
      <c r="J1085">
        <f>sumif(Plan!B:B,"211-020600-000",Plan!j:j)</f>
        <v>0</v>
      </c>
      <c r="K1085">
        <f>sumif(Plan!B:B,"211-020600-000",Plan!k:k)</f>
        <v>0</v>
      </c>
      <c r="L1085">
        <f>sumif(Plan!B:B,"211-020600-000",Plan!l:l)</f>
        <v>0</v>
      </c>
      <c r="M1085">
        <f>sumif(Plan!B:B,"211-020600-000",Plan!m:m)</f>
        <v>0</v>
      </c>
      <c r="N1085">
        <f>sumif(Plan!B:B,"211-020600-000",Plan!n:n)</f>
        <v>0</v>
      </c>
      <c r="O1085">
        <f>sumif(Plan!B:B,"211-020600-000",Plan!o:o)</f>
        <v>0</v>
      </c>
      <c r="P1085">
        <f>sumif(Plan!B:B,"211-020600-000",Plan!p:p)</f>
        <v>0</v>
      </c>
      <c r="Q1085">
        <f>sumif(Plan!B:B,"211-020600-000",Plan!q:q)</f>
        <v>0</v>
      </c>
      <c r="R1085">
        <f>sumif(Plan!B:B,"211-020600-000",Plan!r:r)</f>
        <v>0</v>
      </c>
      <c r="S1085">
        <f>sumif(Plan!B:B,"211-020600-000",Plan!s:s)</f>
        <v>0</v>
      </c>
      <c r="T1085">
        <f>sumif(Plan!B:B,"211-020600-000",Plan!t:t)</f>
        <v>0</v>
      </c>
      <c r="U1085">
        <f>sumif(Plan!B:B,"211-020600-000",Plan!u:u)</f>
        <v>0</v>
      </c>
      <c r="V1085">
        <f>sumif(Plan!B:B,"211-020600-000",Plan!v:v)</f>
        <v>0</v>
      </c>
      <c r="W1085">
        <f>sumif(Plan!B:B,"211-020600-000",Plan!w:w)</f>
        <v>0</v>
      </c>
      <c r="X1085">
        <f>sumif(Plan!B:B,"211-020600-000",Plan!x:x)</f>
        <v>0</v>
      </c>
      <c r="Y1085">
        <f>sumif(Plan!B:B,"211-020600-000",Plan!y:y)</f>
        <v>0</v>
      </c>
      <c r="Z1085">
        <f>sumif(Plan!B:B,"211-020600-000",Plan!z:z)</f>
        <v>0</v>
      </c>
      <c r="AA1085">
        <f>sumif(Plan!B:B,"211-020600-000",Plan!aa:aa)</f>
        <v>0</v>
      </c>
      <c r="AB1085">
        <f>sumif(Plan!B:B,"211-020600-000",Plan!ab:ab)</f>
        <v>0</v>
      </c>
      <c r="AC1085">
        <f>sumif(Plan!B:B,"211-020600-000",Plan!ac:ac)</f>
        <v>0</v>
      </c>
      <c r="AD1085">
        <f>sumif(Plan!B:B,"211-020600-000",Plan!ad:ad)</f>
        <v>0</v>
      </c>
      <c r="AE1085">
        <f>sumif(Plan!B:B,"211-020600-000",Plan!ae:ae)</f>
        <v>0</v>
      </c>
      <c r="AF1085">
        <f>sumif(Plan!B:B,"211-020600-000",Plan!af:af)</f>
        <v>0</v>
      </c>
      <c r="AG1085">
        <f>sumif(Plan!B:B,"211-020600-000",Plan!ag:ag)</f>
        <v>0</v>
      </c>
      <c r="AH1085">
        <f>sumif(Plan!B:B,"211-020600-000",Plan!ah:ah)</f>
        <v>0</v>
      </c>
      <c r="AI1085">
        <f>sumif(Plan!B:B,"211-020600-000",Plan!ai:ai)</f>
        <v>0</v>
      </c>
      <c r="AJ1085">
        <f>sumif(Plan!B:B,"211-020600-000",Plan!aj:aj)</f>
        <v>0</v>
      </c>
      <c r="AK1085">
        <f>sumif(Plan!B:B,"211-020600-000",Plan!ak:ak)</f>
        <v>0</v>
      </c>
      <c r="AL1085">
        <f>sumif(Plan!B:B,"211-020600-000",Plan!al:al)</f>
        <v>0</v>
      </c>
      <c r="AM1085">
        <f>sumif(Plan!B:B,"211-020600-000",Plan!am:am)</f>
        <v>0</v>
      </c>
      <c r="AN1085">
        <f>sumif(Plan!B:B,"211-020600-000",Plan!an:an)</f>
        <v>0</v>
      </c>
      <c r="AO1085">
        <f>sumif(Plan!B:B,"211-020600-000",Plan!ao:ao)</f>
        <v>0</v>
      </c>
    </row>
    <row r="1086" spans="1:41">
      <c r="A1086" t="s">
        <v>22</v>
      </c>
      <c r="B1086" t="s">
        <v>705</v>
      </c>
      <c r="C1086" t="s">
        <v>706</v>
      </c>
      <c r="E1086">
        <v>1</v>
      </c>
      <c r="F1086" t="s">
        <v>13</v>
      </c>
      <c r="H1086" t="s">
        <v>16</v>
      </c>
      <c r="J1086">
        <f>indirect(address(1086,9))+indirect(address(1084,10))-indirect(address(1085,10))</f>
        <v>0</v>
      </c>
      <c r="K1086">
        <f>indirect(address(1086,10))+indirect(address(1084,11))-indirect(address(1085,11))</f>
        <v>0</v>
      </c>
      <c r="L1086">
        <f>indirect(address(1086,11))+indirect(address(1084,12))-indirect(address(1085,12))</f>
        <v>0</v>
      </c>
      <c r="M1086">
        <f>indirect(address(1086,12))+indirect(address(1084,13))-indirect(address(1085,13))</f>
        <v>0</v>
      </c>
      <c r="N1086">
        <f>indirect(address(1086,13))+indirect(address(1084,14))-indirect(address(1085,14))</f>
        <v>0</v>
      </c>
      <c r="O1086">
        <f>indirect(address(1086,14))+indirect(address(1084,15))-indirect(address(1085,15))</f>
        <v>0</v>
      </c>
      <c r="P1086">
        <f>indirect(address(1086,15))+indirect(address(1084,16))-indirect(address(1085,16))</f>
        <v>0</v>
      </c>
      <c r="Q1086">
        <f>indirect(address(1086,16))+indirect(address(1084,17))-indirect(address(1085,17))</f>
        <v>0</v>
      </c>
      <c r="R1086">
        <f>indirect(address(1086,17))+indirect(address(1084,18))-indirect(address(1085,18))</f>
        <v>0</v>
      </c>
      <c r="S1086">
        <f>indirect(address(1086,18))+indirect(address(1084,19))-indirect(address(1085,19))</f>
        <v>0</v>
      </c>
      <c r="T1086">
        <f>indirect(address(1086,19))+indirect(address(1084,20))-indirect(address(1085,20))</f>
        <v>0</v>
      </c>
      <c r="U1086">
        <f>indirect(address(1086,20))+indirect(address(1084,21))-indirect(address(1085,21))</f>
        <v>0</v>
      </c>
      <c r="V1086">
        <f>indirect(address(1086,21))+indirect(address(1084,22))-indirect(address(1085,22))</f>
        <v>0</v>
      </c>
      <c r="W1086">
        <f>indirect(address(1086,22))+indirect(address(1084,23))-indirect(address(1085,23))</f>
        <v>0</v>
      </c>
      <c r="X1086">
        <f>indirect(address(1086,23))+indirect(address(1084,24))-indirect(address(1085,24))</f>
        <v>0</v>
      </c>
      <c r="Y1086">
        <f>indirect(address(1086,24))+indirect(address(1084,25))-indirect(address(1085,25))</f>
        <v>0</v>
      </c>
      <c r="Z1086">
        <f>indirect(address(1086,25))+indirect(address(1084,26))-indirect(address(1085,26))</f>
        <v>0</v>
      </c>
      <c r="AA1086">
        <f>indirect(address(1086,26))+indirect(address(1084,27))-indirect(address(1085,27))</f>
        <v>0</v>
      </c>
      <c r="AB1086">
        <f>indirect(address(1086,27))+indirect(address(1084,28))-indirect(address(1085,28))</f>
        <v>0</v>
      </c>
      <c r="AC1086">
        <f>indirect(address(1086,28))+indirect(address(1084,29))-indirect(address(1085,29))</f>
        <v>0</v>
      </c>
      <c r="AD1086">
        <f>indirect(address(1086,29))+indirect(address(1084,30))-indirect(address(1085,30))</f>
        <v>0</v>
      </c>
      <c r="AE1086">
        <f>indirect(address(1086,30))+indirect(address(1084,31))-indirect(address(1085,31))</f>
        <v>0</v>
      </c>
      <c r="AF1086">
        <f>indirect(address(1086,31))+indirect(address(1084,32))-indirect(address(1085,32))</f>
        <v>0</v>
      </c>
      <c r="AG1086">
        <f>indirect(address(1086,32))+indirect(address(1084,33))-indirect(address(1085,33))</f>
        <v>0</v>
      </c>
      <c r="AH1086">
        <f>indirect(address(1086,33))+indirect(address(1084,34))-indirect(address(1085,34))</f>
        <v>0</v>
      </c>
      <c r="AI1086">
        <f>indirect(address(1086,34))+indirect(address(1084,35))-indirect(address(1085,35))</f>
        <v>0</v>
      </c>
      <c r="AJ1086">
        <f>indirect(address(1086,35))+indirect(address(1084,36))-indirect(address(1085,36))</f>
        <v>0</v>
      </c>
      <c r="AK1086">
        <f>indirect(address(1086,36))+indirect(address(1084,37))-indirect(address(1085,37))</f>
        <v>0</v>
      </c>
      <c r="AL1086">
        <f>indirect(address(1086,37))+indirect(address(1084,38))-indirect(address(1085,38))</f>
        <v>0</v>
      </c>
      <c r="AM1086">
        <f>indirect(address(1086,38))+indirect(address(1084,39))-indirect(address(1085,39))</f>
        <v>0</v>
      </c>
      <c r="AN1086">
        <f>indirect(address(1086,39))+indirect(address(1084,40))-indirect(address(1085,40))</f>
        <v>0</v>
      </c>
      <c r="AO1086">
        <f>indirect(address(1086,40))+indirect(address(1084,41))-indirect(address(1085,41))</f>
        <v>0</v>
      </c>
    </row>
    <row r="1087" spans="1:41">
      <c r="I1087" t="s">
        <v>14</v>
      </c>
      <c r="AO1087">
        <f>sum(j1087:an1087)</f>
        <v>0</v>
      </c>
    </row>
    <row r="1088" spans="1:41">
      <c r="I1088" t="s">
        <v>15</v>
      </c>
      <c r="J1088">
        <f>sumif(Plan!B:B,"806-488000-110",Plan!j:j)</f>
        <v>0</v>
      </c>
      <c r="K1088">
        <f>sumif(Plan!B:B,"806-488000-110",Plan!k:k)</f>
        <v>0</v>
      </c>
      <c r="L1088">
        <f>sumif(Plan!B:B,"806-488000-110",Plan!l:l)</f>
        <v>0</v>
      </c>
      <c r="M1088">
        <f>sumif(Plan!B:B,"806-488000-110",Plan!m:m)</f>
        <v>0</v>
      </c>
      <c r="N1088">
        <f>sumif(Plan!B:B,"806-488000-110",Plan!n:n)</f>
        <v>0</v>
      </c>
      <c r="O1088">
        <f>sumif(Plan!B:B,"806-488000-110",Plan!o:o)</f>
        <v>0</v>
      </c>
      <c r="P1088">
        <f>sumif(Plan!B:B,"806-488000-110",Plan!p:p)</f>
        <v>0</v>
      </c>
      <c r="Q1088">
        <f>sumif(Plan!B:B,"806-488000-110",Plan!q:q)</f>
        <v>0</v>
      </c>
      <c r="R1088">
        <f>sumif(Plan!B:B,"806-488000-110",Plan!r:r)</f>
        <v>0</v>
      </c>
      <c r="S1088">
        <f>sumif(Plan!B:B,"806-488000-110",Plan!s:s)</f>
        <v>0</v>
      </c>
      <c r="T1088">
        <f>sumif(Plan!B:B,"806-488000-110",Plan!t:t)</f>
        <v>0</v>
      </c>
      <c r="U1088">
        <f>sumif(Plan!B:B,"806-488000-110",Plan!u:u)</f>
        <v>0</v>
      </c>
      <c r="V1088">
        <f>sumif(Plan!B:B,"806-488000-110",Plan!v:v)</f>
        <v>0</v>
      </c>
      <c r="W1088">
        <f>sumif(Plan!B:B,"806-488000-110",Plan!w:w)</f>
        <v>0</v>
      </c>
      <c r="X1088">
        <f>sumif(Plan!B:B,"806-488000-110",Plan!x:x)</f>
        <v>0</v>
      </c>
      <c r="Y1088">
        <f>sumif(Plan!B:B,"806-488000-110",Plan!y:y)</f>
        <v>0</v>
      </c>
      <c r="Z1088">
        <f>sumif(Plan!B:B,"806-488000-110",Plan!z:z)</f>
        <v>0</v>
      </c>
      <c r="AA1088">
        <f>sumif(Plan!B:B,"806-488000-110",Plan!aa:aa)</f>
        <v>0</v>
      </c>
      <c r="AB1088">
        <f>sumif(Plan!B:B,"806-488000-110",Plan!ab:ab)</f>
        <v>0</v>
      </c>
      <c r="AC1088">
        <f>sumif(Plan!B:B,"806-488000-110",Plan!ac:ac)</f>
        <v>0</v>
      </c>
      <c r="AD1088">
        <f>sumif(Plan!B:B,"806-488000-110",Plan!ad:ad)</f>
        <v>0</v>
      </c>
      <c r="AE1088">
        <f>sumif(Plan!B:B,"806-488000-110",Plan!ae:ae)</f>
        <v>0</v>
      </c>
      <c r="AF1088">
        <f>sumif(Plan!B:B,"806-488000-110",Plan!af:af)</f>
        <v>0</v>
      </c>
      <c r="AG1088">
        <f>sumif(Plan!B:B,"806-488000-110",Plan!ag:ag)</f>
        <v>0</v>
      </c>
      <c r="AH1088">
        <f>sumif(Plan!B:B,"806-488000-110",Plan!ah:ah)</f>
        <v>0</v>
      </c>
      <c r="AI1088">
        <f>sumif(Plan!B:B,"806-488000-110",Plan!ai:ai)</f>
        <v>0</v>
      </c>
      <c r="AJ1088">
        <f>sumif(Plan!B:B,"806-488000-110",Plan!aj:aj)</f>
        <v>0</v>
      </c>
      <c r="AK1088">
        <f>sumif(Plan!B:B,"806-488000-110",Plan!ak:ak)</f>
        <v>0</v>
      </c>
      <c r="AL1088">
        <f>sumif(Plan!B:B,"806-488000-110",Plan!al:al)</f>
        <v>0</v>
      </c>
      <c r="AM1088">
        <f>sumif(Plan!B:B,"806-488000-110",Plan!am:am)</f>
        <v>0</v>
      </c>
      <c r="AN1088">
        <f>sumif(Plan!B:B,"806-488000-110",Plan!an:an)</f>
        <v>0</v>
      </c>
      <c r="AO1088">
        <f>sumif(Plan!B:B,"806-488000-110",Plan!ao:ao)</f>
        <v>0</v>
      </c>
    </row>
    <row r="1089" spans="1:41">
      <c r="A1089" t="s">
        <v>17</v>
      </c>
      <c r="B1089" t="s">
        <v>709</v>
      </c>
      <c r="C1089" t="s">
        <v>710</v>
      </c>
      <c r="E1089">
        <v>1</v>
      </c>
      <c r="F1089" t="s">
        <v>13</v>
      </c>
      <c r="H1089" t="s">
        <v>16</v>
      </c>
      <c r="J1089">
        <f>indirect(address(1089,9))+indirect(address(1087,10))-indirect(address(1088,10))</f>
        <v>0</v>
      </c>
      <c r="K1089">
        <f>indirect(address(1089,10))+indirect(address(1087,11))-indirect(address(1088,11))</f>
        <v>0</v>
      </c>
      <c r="L1089">
        <f>indirect(address(1089,11))+indirect(address(1087,12))-indirect(address(1088,12))</f>
        <v>0</v>
      </c>
      <c r="M1089">
        <f>indirect(address(1089,12))+indirect(address(1087,13))-indirect(address(1088,13))</f>
        <v>0</v>
      </c>
      <c r="N1089">
        <f>indirect(address(1089,13))+indirect(address(1087,14))-indirect(address(1088,14))</f>
        <v>0</v>
      </c>
      <c r="O1089">
        <f>indirect(address(1089,14))+indirect(address(1087,15))-indirect(address(1088,15))</f>
        <v>0</v>
      </c>
      <c r="P1089">
        <f>indirect(address(1089,15))+indirect(address(1087,16))-indirect(address(1088,16))</f>
        <v>0</v>
      </c>
      <c r="Q1089">
        <f>indirect(address(1089,16))+indirect(address(1087,17))-indirect(address(1088,17))</f>
        <v>0</v>
      </c>
      <c r="R1089">
        <f>indirect(address(1089,17))+indirect(address(1087,18))-indirect(address(1088,18))</f>
        <v>0</v>
      </c>
      <c r="S1089">
        <f>indirect(address(1089,18))+indirect(address(1087,19))-indirect(address(1088,19))</f>
        <v>0</v>
      </c>
      <c r="T1089">
        <f>indirect(address(1089,19))+indirect(address(1087,20))-indirect(address(1088,20))</f>
        <v>0</v>
      </c>
      <c r="U1089">
        <f>indirect(address(1089,20))+indirect(address(1087,21))-indirect(address(1088,21))</f>
        <v>0</v>
      </c>
      <c r="V1089">
        <f>indirect(address(1089,21))+indirect(address(1087,22))-indirect(address(1088,22))</f>
        <v>0</v>
      </c>
      <c r="W1089">
        <f>indirect(address(1089,22))+indirect(address(1087,23))-indirect(address(1088,23))</f>
        <v>0</v>
      </c>
      <c r="X1089">
        <f>indirect(address(1089,23))+indirect(address(1087,24))-indirect(address(1088,24))</f>
        <v>0</v>
      </c>
      <c r="Y1089">
        <f>indirect(address(1089,24))+indirect(address(1087,25))-indirect(address(1088,25))</f>
        <v>0</v>
      </c>
      <c r="Z1089">
        <f>indirect(address(1089,25))+indirect(address(1087,26))-indirect(address(1088,26))</f>
        <v>0</v>
      </c>
      <c r="AA1089">
        <f>indirect(address(1089,26))+indirect(address(1087,27))-indirect(address(1088,27))</f>
        <v>0</v>
      </c>
      <c r="AB1089">
        <f>indirect(address(1089,27))+indirect(address(1087,28))-indirect(address(1088,28))</f>
        <v>0</v>
      </c>
      <c r="AC1089">
        <f>indirect(address(1089,28))+indirect(address(1087,29))-indirect(address(1088,29))</f>
        <v>0</v>
      </c>
      <c r="AD1089">
        <f>indirect(address(1089,29))+indirect(address(1087,30))-indirect(address(1088,30))</f>
        <v>0</v>
      </c>
      <c r="AE1089">
        <f>indirect(address(1089,30))+indirect(address(1087,31))-indirect(address(1088,31))</f>
        <v>0</v>
      </c>
      <c r="AF1089">
        <f>indirect(address(1089,31))+indirect(address(1087,32))-indirect(address(1088,32))</f>
        <v>0</v>
      </c>
      <c r="AG1089">
        <f>indirect(address(1089,32))+indirect(address(1087,33))-indirect(address(1088,33))</f>
        <v>0</v>
      </c>
      <c r="AH1089">
        <f>indirect(address(1089,33))+indirect(address(1087,34))-indirect(address(1088,34))</f>
        <v>0</v>
      </c>
      <c r="AI1089">
        <f>indirect(address(1089,34))+indirect(address(1087,35))-indirect(address(1088,35))</f>
        <v>0</v>
      </c>
      <c r="AJ1089">
        <f>indirect(address(1089,35))+indirect(address(1087,36))-indirect(address(1088,36))</f>
        <v>0</v>
      </c>
      <c r="AK1089">
        <f>indirect(address(1089,36))+indirect(address(1087,37))-indirect(address(1088,37))</f>
        <v>0</v>
      </c>
      <c r="AL1089">
        <f>indirect(address(1089,37))+indirect(address(1087,38))-indirect(address(1088,38))</f>
        <v>0</v>
      </c>
      <c r="AM1089">
        <f>indirect(address(1089,38))+indirect(address(1087,39))-indirect(address(1088,39))</f>
        <v>0</v>
      </c>
      <c r="AN1089">
        <f>indirect(address(1089,39))+indirect(address(1087,40))-indirect(address(1088,40))</f>
        <v>0</v>
      </c>
      <c r="AO1089">
        <f>indirect(address(1089,40))+indirect(address(1087,41))-indirect(address(1088,41))</f>
        <v>0</v>
      </c>
    </row>
    <row r="1090" spans="1:41">
      <c r="I1090" t="s">
        <v>14</v>
      </c>
      <c r="AO1090">
        <f>sum(j1090:an1090)</f>
        <v>0</v>
      </c>
    </row>
    <row r="1091" spans="1:41">
      <c r="I1091" t="s">
        <v>15</v>
      </c>
      <c r="J1091">
        <f>sumif(Plan!B:B,"211-026000-105",Plan!j:j)</f>
        <v>0</v>
      </c>
      <c r="K1091">
        <f>sumif(Plan!B:B,"211-026000-105",Plan!k:k)</f>
        <v>0</v>
      </c>
      <c r="L1091">
        <f>sumif(Plan!B:B,"211-026000-105",Plan!l:l)</f>
        <v>0</v>
      </c>
      <c r="M1091">
        <f>sumif(Plan!B:B,"211-026000-105",Plan!m:m)</f>
        <v>0</v>
      </c>
      <c r="N1091">
        <f>sumif(Plan!B:B,"211-026000-105",Plan!n:n)</f>
        <v>0</v>
      </c>
      <c r="O1091">
        <f>sumif(Plan!B:B,"211-026000-105",Plan!o:o)</f>
        <v>0</v>
      </c>
      <c r="P1091">
        <f>sumif(Plan!B:B,"211-026000-105",Plan!p:p)</f>
        <v>0</v>
      </c>
      <c r="Q1091">
        <f>sumif(Plan!B:B,"211-026000-105",Plan!q:q)</f>
        <v>0</v>
      </c>
      <c r="R1091">
        <f>sumif(Plan!B:B,"211-026000-105",Plan!r:r)</f>
        <v>0</v>
      </c>
      <c r="S1091">
        <f>sumif(Plan!B:B,"211-026000-105",Plan!s:s)</f>
        <v>0</v>
      </c>
      <c r="T1091">
        <f>sumif(Plan!B:B,"211-026000-105",Plan!t:t)</f>
        <v>0</v>
      </c>
      <c r="U1091">
        <f>sumif(Plan!B:B,"211-026000-105",Plan!u:u)</f>
        <v>0</v>
      </c>
      <c r="V1091">
        <f>sumif(Plan!B:B,"211-026000-105",Plan!v:v)</f>
        <v>0</v>
      </c>
      <c r="W1091">
        <f>sumif(Plan!B:B,"211-026000-105",Plan!w:w)</f>
        <v>0</v>
      </c>
      <c r="X1091">
        <f>sumif(Plan!B:B,"211-026000-105",Plan!x:x)</f>
        <v>0</v>
      </c>
      <c r="Y1091">
        <f>sumif(Plan!B:B,"211-026000-105",Plan!y:y)</f>
        <v>0</v>
      </c>
      <c r="Z1091">
        <f>sumif(Plan!B:B,"211-026000-105",Plan!z:z)</f>
        <v>0</v>
      </c>
      <c r="AA1091">
        <f>sumif(Plan!B:B,"211-026000-105",Plan!aa:aa)</f>
        <v>0</v>
      </c>
      <c r="AB1091">
        <f>sumif(Plan!B:B,"211-026000-105",Plan!ab:ab)</f>
        <v>0</v>
      </c>
      <c r="AC1091">
        <f>sumif(Plan!B:B,"211-026000-105",Plan!ac:ac)</f>
        <v>0</v>
      </c>
      <c r="AD1091">
        <f>sumif(Plan!B:B,"211-026000-105",Plan!ad:ad)</f>
        <v>0</v>
      </c>
      <c r="AE1091">
        <f>sumif(Plan!B:B,"211-026000-105",Plan!ae:ae)</f>
        <v>0</v>
      </c>
      <c r="AF1091">
        <f>sumif(Plan!B:B,"211-026000-105",Plan!af:af)</f>
        <v>0</v>
      </c>
      <c r="AG1091">
        <f>sumif(Plan!B:B,"211-026000-105",Plan!ag:ag)</f>
        <v>0</v>
      </c>
      <c r="AH1091">
        <f>sumif(Plan!B:B,"211-026000-105",Plan!ah:ah)</f>
        <v>0</v>
      </c>
      <c r="AI1091">
        <f>sumif(Plan!B:B,"211-026000-105",Plan!ai:ai)</f>
        <v>0</v>
      </c>
      <c r="AJ1091">
        <f>sumif(Plan!B:B,"211-026000-105",Plan!aj:aj)</f>
        <v>0</v>
      </c>
      <c r="AK1091">
        <f>sumif(Plan!B:B,"211-026000-105",Plan!ak:ak)</f>
        <v>0</v>
      </c>
      <c r="AL1091">
        <f>sumif(Plan!B:B,"211-026000-105",Plan!al:al)</f>
        <v>0</v>
      </c>
      <c r="AM1091">
        <f>sumif(Plan!B:B,"211-026000-105",Plan!am:am)</f>
        <v>0</v>
      </c>
      <c r="AN1091">
        <f>sumif(Plan!B:B,"211-026000-105",Plan!an:an)</f>
        <v>0</v>
      </c>
      <c r="AO1091">
        <f>sumif(Plan!B:B,"211-026000-105",Plan!ao:ao)</f>
        <v>0</v>
      </c>
    </row>
    <row r="1092" spans="1:41">
      <c r="A1092" t="s">
        <v>22</v>
      </c>
      <c r="B1092" t="s">
        <v>711</v>
      </c>
      <c r="C1092" t="s">
        <v>712</v>
      </c>
      <c r="E1092">
        <v>1</v>
      </c>
      <c r="F1092" t="s">
        <v>13</v>
      </c>
      <c r="H1092" t="s">
        <v>16</v>
      </c>
      <c r="J1092">
        <f>indirect(address(1092,9))+indirect(address(1090,10))-indirect(address(1091,10))</f>
        <v>0</v>
      </c>
      <c r="K1092">
        <f>indirect(address(1092,10))+indirect(address(1090,11))-indirect(address(1091,11))</f>
        <v>0</v>
      </c>
      <c r="L1092">
        <f>indirect(address(1092,11))+indirect(address(1090,12))-indirect(address(1091,12))</f>
        <v>0</v>
      </c>
      <c r="M1092">
        <f>indirect(address(1092,12))+indirect(address(1090,13))-indirect(address(1091,13))</f>
        <v>0</v>
      </c>
      <c r="N1092">
        <f>indirect(address(1092,13))+indirect(address(1090,14))-indirect(address(1091,14))</f>
        <v>0</v>
      </c>
      <c r="O1092">
        <f>indirect(address(1092,14))+indirect(address(1090,15))-indirect(address(1091,15))</f>
        <v>0</v>
      </c>
      <c r="P1092">
        <f>indirect(address(1092,15))+indirect(address(1090,16))-indirect(address(1091,16))</f>
        <v>0</v>
      </c>
      <c r="Q1092">
        <f>indirect(address(1092,16))+indirect(address(1090,17))-indirect(address(1091,17))</f>
        <v>0</v>
      </c>
      <c r="R1092">
        <f>indirect(address(1092,17))+indirect(address(1090,18))-indirect(address(1091,18))</f>
        <v>0</v>
      </c>
      <c r="S1092">
        <f>indirect(address(1092,18))+indirect(address(1090,19))-indirect(address(1091,19))</f>
        <v>0</v>
      </c>
      <c r="T1092">
        <f>indirect(address(1092,19))+indirect(address(1090,20))-indirect(address(1091,20))</f>
        <v>0</v>
      </c>
      <c r="U1092">
        <f>indirect(address(1092,20))+indirect(address(1090,21))-indirect(address(1091,21))</f>
        <v>0</v>
      </c>
      <c r="V1092">
        <f>indirect(address(1092,21))+indirect(address(1090,22))-indirect(address(1091,22))</f>
        <v>0</v>
      </c>
      <c r="W1092">
        <f>indirect(address(1092,22))+indirect(address(1090,23))-indirect(address(1091,23))</f>
        <v>0</v>
      </c>
      <c r="X1092">
        <f>indirect(address(1092,23))+indirect(address(1090,24))-indirect(address(1091,24))</f>
        <v>0</v>
      </c>
      <c r="Y1092">
        <f>indirect(address(1092,24))+indirect(address(1090,25))-indirect(address(1091,25))</f>
        <v>0</v>
      </c>
      <c r="Z1092">
        <f>indirect(address(1092,25))+indirect(address(1090,26))-indirect(address(1091,26))</f>
        <v>0</v>
      </c>
      <c r="AA1092">
        <f>indirect(address(1092,26))+indirect(address(1090,27))-indirect(address(1091,27))</f>
        <v>0</v>
      </c>
      <c r="AB1092">
        <f>indirect(address(1092,27))+indirect(address(1090,28))-indirect(address(1091,28))</f>
        <v>0</v>
      </c>
      <c r="AC1092">
        <f>indirect(address(1092,28))+indirect(address(1090,29))-indirect(address(1091,29))</f>
        <v>0</v>
      </c>
      <c r="AD1092">
        <f>indirect(address(1092,29))+indirect(address(1090,30))-indirect(address(1091,30))</f>
        <v>0</v>
      </c>
      <c r="AE1092">
        <f>indirect(address(1092,30))+indirect(address(1090,31))-indirect(address(1091,31))</f>
        <v>0</v>
      </c>
      <c r="AF1092">
        <f>indirect(address(1092,31))+indirect(address(1090,32))-indirect(address(1091,32))</f>
        <v>0</v>
      </c>
      <c r="AG1092">
        <f>indirect(address(1092,32))+indirect(address(1090,33))-indirect(address(1091,33))</f>
        <v>0</v>
      </c>
      <c r="AH1092">
        <f>indirect(address(1092,33))+indirect(address(1090,34))-indirect(address(1091,34))</f>
        <v>0</v>
      </c>
      <c r="AI1092">
        <f>indirect(address(1092,34))+indirect(address(1090,35))-indirect(address(1091,35))</f>
        <v>0</v>
      </c>
      <c r="AJ1092">
        <f>indirect(address(1092,35))+indirect(address(1090,36))-indirect(address(1091,36))</f>
        <v>0</v>
      </c>
      <c r="AK1092">
        <f>indirect(address(1092,36))+indirect(address(1090,37))-indirect(address(1091,37))</f>
        <v>0</v>
      </c>
      <c r="AL1092">
        <f>indirect(address(1092,37))+indirect(address(1090,38))-indirect(address(1091,38))</f>
        <v>0</v>
      </c>
      <c r="AM1092">
        <f>indirect(address(1092,38))+indirect(address(1090,39))-indirect(address(1091,39))</f>
        <v>0</v>
      </c>
      <c r="AN1092">
        <f>indirect(address(1092,39))+indirect(address(1090,40))-indirect(address(1091,40))</f>
        <v>0</v>
      </c>
      <c r="AO1092">
        <f>indirect(address(1092,40))+indirect(address(1090,41))-indirect(address(1091,41))</f>
        <v>0</v>
      </c>
    </row>
    <row r="1093" spans="1:41">
      <c r="I1093" t="s">
        <v>14</v>
      </c>
      <c r="AO1093">
        <f>sum(j1093:an1093)</f>
        <v>0</v>
      </c>
    </row>
    <row r="1094" spans="1:41">
      <c r="I1094" t="s">
        <v>15</v>
      </c>
      <c r="J1094">
        <f>sumif(Plan!B:B,"211-001500-105",Plan!j:j)</f>
        <v>0</v>
      </c>
      <c r="K1094">
        <f>sumif(Plan!B:B,"211-001500-105",Plan!k:k)</f>
        <v>0</v>
      </c>
      <c r="L1094">
        <f>sumif(Plan!B:B,"211-001500-105",Plan!l:l)</f>
        <v>0</v>
      </c>
      <c r="M1094">
        <f>sumif(Plan!B:B,"211-001500-105",Plan!m:m)</f>
        <v>0</v>
      </c>
      <c r="N1094">
        <f>sumif(Plan!B:B,"211-001500-105",Plan!n:n)</f>
        <v>0</v>
      </c>
      <c r="O1094">
        <f>sumif(Plan!B:B,"211-001500-105",Plan!o:o)</f>
        <v>0</v>
      </c>
      <c r="P1094">
        <f>sumif(Plan!B:B,"211-001500-105",Plan!p:p)</f>
        <v>0</v>
      </c>
      <c r="Q1094">
        <f>sumif(Plan!B:B,"211-001500-105",Plan!q:q)</f>
        <v>0</v>
      </c>
      <c r="R1094">
        <f>sumif(Plan!B:B,"211-001500-105",Plan!r:r)</f>
        <v>0</v>
      </c>
      <c r="S1094">
        <f>sumif(Plan!B:B,"211-001500-105",Plan!s:s)</f>
        <v>0</v>
      </c>
      <c r="T1094">
        <f>sumif(Plan!B:B,"211-001500-105",Plan!t:t)</f>
        <v>0</v>
      </c>
      <c r="U1094">
        <f>sumif(Plan!B:B,"211-001500-105",Plan!u:u)</f>
        <v>0</v>
      </c>
      <c r="V1094">
        <f>sumif(Plan!B:B,"211-001500-105",Plan!v:v)</f>
        <v>0</v>
      </c>
      <c r="W1094">
        <f>sumif(Plan!B:B,"211-001500-105",Plan!w:w)</f>
        <v>0</v>
      </c>
      <c r="X1094">
        <f>sumif(Plan!B:B,"211-001500-105",Plan!x:x)</f>
        <v>0</v>
      </c>
      <c r="Y1094">
        <f>sumif(Plan!B:B,"211-001500-105",Plan!y:y)</f>
        <v>0</v>
      </c>
      <c r="Z1094">
        <f>sumif(Plan!B:B,"211-001500-105",Plan!z:z)</f>
        <v>0</v>
      </c>
      <c r="AA1094">
        <f>sumif(Plan!B:B,"211-001500-105",Plan!aa:aa)</f>
        <v>0</v>
      </c>
      <c r="AB1094">
        <f>sumif(Plan!B:B,"211-001500-105",Plan!ab:ab)</f>
        <v>0</v>
      </c>
      <c r="AC1094">
        <f>sumif(Plan!B:B,"211-001500-105",Plan!ac:ac)</f>
        <v>0</v>
      </c>
      <c r="AD1094">
        <f>sumif(Plan!B:B,"211-001500-105",Plan!ad:ad)</f>
        <v>0</v>
      </c>
      <c r="AE1094">
        <f>sumif(Plan!B:B,"211-001500-105",Plan!ae:ae)</f>
        <v>0</v>
      </c>
      <c r="AF1094">
        <f>sumif(Plan!B:B,"211-001500-105",Plan!af:af)</f>
        <v>0</v>
      </c>
      <c r="AG1094">
        <f>sumif(Plan!B:B,"211-001500-105",Plan!ag:ag)</f>
        <v>0</v>
      </c>
      <c r="AH1094">
        <f>sumif(Plan!B:B,"211-001500-105",Plan!ah:ah)</f>
        <v>0</v>
      </c>
      <c r="AI1094">
        <f>sumif(Plan!B:B,"211-001500-105",Plan!ai:ai)</f>
        <v>0</v>
      </c>
      <c r="AJ1094">
        <f>sumif(Plan!B:B,"211-001500-105",Plan!aj:aj)</f>
        <v>0</v>
      </c>
      <c r="AK1094">
        <f>sumif(Plan!B:B,"211-001500-105",Plan!ak:ak)</f>
        <v>0</v>
      </c>
      <c r="AL1094">
        <f>sumif(Plan!B:B,"211-001500-105",Plan!al:al)</f>
        <v>0</v>
      </c>
      <c r="AM1094">
        <f>sumif(Plan!B:B,"211-001500-105",Plan!am:am)</f>
        <v>0</v>
      </c>
      <c r="AN1094">
        <f>sumif(Plan!B:B,"211-001500-105",Plan!an:an)</f>
        <v>0</v>
      </c>
      <c r="AO1094">
        <f>sumif(Plan!B:B,"211-001500-105",Plan!ao:ao)</f>
        <v>0</v>
      </c>
    </row>
    <row r="1095" spans="1:41">
      <c r="A1095" t="s">
        <v>22</v>
      </c>
      <c r="B1095" t="s">
        <v>713</v>
      </c>
      <c r="C1095" t="s">
        <v>714</v>
      </c>
      <c r="E1095">
        <v>1</v>
      </c>
      <c r="F1095" t="s">
        <v>13</v>
      </c>
      <c r="H1095" t="s">
        <v>16</v>
      </c>
      <c r="J1095">
        <f>indirect(address(1095,9))+indirect(address(1093,10))-indirect(address(1094,10))</f>
        <v>0</v>
      </c>
      <c r="K1095">
        <f>indirect(address(1095,10))+indirect(address(1093,11))-indirect(address(1094,11))</f>
        <v>0</v>
      </c>
      <c r="L1095">
        <f>indirect(address(1095,11))+indirect(address(1093,12))-indirect(address(1094,12))</f>
        <v>0</v>
      </c>
      <c r="M1095">
        <f>indirect(address(1095,12))+indirect(address(1093,13))-indirect(address(1094,13))</f>
        <v>0</v>
      </c>
      <c r="N1095">
        <f>indirect(address(1095,13))+indirect(address(1093,14))-indirect(address(1094,14))</f>
        <v>0</v>
      </c>
      <c r="O1095">
        <f>indirect(address(1095,14))+indirect(address(1093,15))-indirect(address(1094,15))</f>
        <v>0</v>
      </c>
      <c r="P1095">
        <f>indirect(address(1095,15))+indirect(address(1093,16))-indirect(address(1094,16))</f>
        <v>0</v>
      </c>
      <c r="Q1095">
        <f>indirect(address(1095,16))+indirect(address(1093,17))-indirect(address(1094,17))</f>
        <v>0</v>
      </c>
      <c r="R1095">
        <f>indirect(address(1095,17))+indirect(address(1093,18))-indirect(address(1094,18))</f>
        <v>0</v>
      </c>
      <c r="S1095">
        <f>indirect(address(1095,18))+indirect(address(1093,19))-indirect(address(1094,19))</f>
        <v>0</v>
      </c>
      <c r="T1095">
        <f>indirect(address(1095,19))+indirect(address(1093,20))-indirect(address(1094,20))</f>
        <v>0</v>
      </c>
      <c r="U1095">
        <f>indirect(address(1095,20))+indirect(address(1093,21))-indirect(address(1094,21))</f>
        <v>0</v>
      </c>
      <c r="V1095">
        <f>indirect(address(1095,21))+indirect(address(1093,22))-indirect(address(1094,22))</f>
        <v>0</v>
      </c>
      <c r="W1095">
        <f>indirect(address(1095,22))+indirect(address(1093,23))-indirect(address(1094,23))</f>
        <v>0</v>
      </c>
      <c r="X1095">
        <f>indirect(address(1095,23))+indirect(address(1093,24))-indirect(address(1094,24))</f>
        <v>0</v>
      </c>
      <c r="Y1095">
        <f>indirect(address(1095,24))+indirect(address(1093,25))-indirect(address(1094,25))</f>
        <v>0</v>
      </c>
      <c r="Z1095">
        <f>indirect(address(1095,25))+indirect(address(1093,26))-indirect(address(1094,26))</f>
        <v>0</v>
      </c>
      <c r="AA1095">
        <f>indirect(address(1095,26))+indirect(address(1093,27))-indirect(address(1094,27))</f>
        <v>0</v>
      </c>
      <c r="AB1095">
        <f>indirect(address(1095,27))+indirect(address(1093,28))-indirect(address(1094,28))</f>
        <v>0</v>
      </c>
      <c r="AC1095">
        <f>indirect(address(1095,28))+indirect(address(1093,29))-indirect(address(1094,29))</f>
        <v>0</v>
      </c>
      <c r="AD1095">
        <f>indirect(address(1095,29))+indirect(address(1093,30))-indirect(address(1094,30))</f>
        <v>0</v>
      </c>
      <c r="AE1095">
        <f>indirect(address(1095,30))+indirect(address(1093,31))-indirect(address(1094,31))</f>
        <v>0</v>
      </c>
      <c r="AF1095">
        <f>indirect(address(1095,31))+indirect(address(1093,32))-indirect(address(1094,32))</f>
        <v>0</v>
      </c>
      <c r="AG1095">
        <f>indirect(address(1095,32))+indirect(address(1093,33))-indirect(address(1094,33))</f>
        <v>0</v>
      </c>
      <c r="AH1095">
        <f>indirect(address(1095,33))+indirect(address(1093,34))-indirect(address(1094,34))</f>
        <v>0</v>
      </c>
      <c r="AI1095">
        <f>indirect(address(1095,34))+indirect(address(1093,35))-indirect(address(1094,35))</f>
        <v>0</v>
      </c>
      <c r="AJ1095">
        <f>indirect(address(1095,35))+indirect(address(1093,36))-indirect(address(1094,36))</f>
        <v>0</v>
      </c>
      <c r="AK1095">
        <f>indirect(address(1095,36))+indirect(address(1093,37))-indirect(address(1094,37))</f>
        <v>0</v>
      </c>
      <c r="AL1095">
        <f>indirect(address(1095,37))+indirect(address(1093,38))-indirect(address(1094,38))</f>
        <v>0</v>
      </c>
      <c r="AM1095">
        <f>indirect(address(1095,38))+indirect(address(1093,39))-indirect(address(1094,39))</f>
        <v>0</v>
      </c>
      <c r="AN1095">
        <f>indirect(address(1095,39))+indirect(address(1093,40))-indirect(address(1094,40))</f>
        <v>0</v>
      </c>
      <c r="AO1095">
        <f>indirect(address(1095,40))+indirect(address(1093,41))-indirect(address(1094,41))</f>
        <v>0</v>
      </c>
    </row>
    <row r="1096" spans="1:41">
      <c r="I1096" t="s">
        <v>14</v>
      </c>
      <c r="AO1096">
        <f>sum(j1096:an1096)</f>
        <v>0</v>
      </c>
    </row>
    <row r="1097" spans="1:41">
      <c r="I1097" t="s">
        <v>15</v>
      </c>
      <c r="J1097">
        <f>sumif(Plan!B:B,"211-000300-105",Plan!j:j)</f>
        <v>0</v>
      </c>
      <c r="K1097">
        <f>sumif(Plan!B:B,"211-000300-105",Plan!k:k)</f>
        <v>0</v>
      </c>
      <c r="L1097">
        <f>sumif(Plan!B:B,"211-000300-105",Plan!l:l)</f>
        <v>0</v>
      </c>
      <c r="M1097">
        <f>sumif(Plan!B:B,"211-000300-105",Plan!m:m)</f>
        <v>0</v>
      </c>
      <c r="N1097">
        <f>sumif(Plan!B:B,"211-000300-105",Plan!n:n)</f>
        <v>0</v>
      </c>
      <c r="O1097">
        <f>sumif(Plan!B:B,"211-000300-105",Plan!o:o)</f>
        <v>0</v>
      </c>
      <c r="P1097">
        <f>sumif(Plan!B:B,"211-000300-105",Plan!p:p)</f>
        <v>0</v>
      </c>
      <c r="Q1097">
        <f>sumif(Plan!B:B,"211-000300-105",Plan!q:q)</f>
        <v>0</v>
      </c>
      <c r="R1097">
        <f>sumif(Plan!B:B,"211-000300-105",Plan!r:r)</f>
        <v>0</v>
      </c>
      <c r="S1097">
        <f>sumif(Plan!B:B,"211-000300-105",Plan!s:s)</f>
        <v>0</v>
      </c>
      <c r="T1097">
        <f>sumif(Plan!B:B,"211-000300-105",Plan!t:t)</f>
        <v>0</v>
      </c>
      <c r="U1097">
        <f>sumif(Plan!B:B,"211-000300-105",Plan!u:u)</f>
        <v>0</v>
      </c>
      <c r="V1097">
        <f>sumif(Plan!B:B,"211-000300-105",Plan!v:v)</f>
        <v>0</v>
      </c>
      <c r="W1097">
        <f>sumif(Plan!B:B,"211-000300-105",Plan!w:w)</f>
        <v>0</v>
      </c>
      <c r="X1097">
        <f>sumif(Plan!B:B,"211-000300-105",Plan!x:x)</f>
        <v>0</v>
      </c>
      <c r="Y1097">
        <f>sumif(Plan!B:B,"211-000300-105",Plan!y:y)</f>
        <v>0</v>
      </c>
      <c r="Z1097">
        <f>sumif(Plan!B:B,"211-000300-105",Plan!z:z)</f>
        <v>0</v>
      </c>
      <c r="AA1097">
        <f>sumif(Plan!B:B,"211-000300-105",Plan!aa:aa)</f>
        <v>0</v>
      </c>
      <c r="AB1097">
        <f>sumif(Plan!B:B,"211-000300-105",Plan!ab:ab)</f>
        <v>0</v>
      </c>
      <c r="AC1097">
        <f>sumif(Plan!B:B,"211-000300-105",Plan!ac:ac)</f>
        <v>0</v>
      </c>
      <c r="AD1097">
        <f>sumif(Plan!B:B,"211-000300-105",Plan!ad:ad)</f>
        <v>0</v>
      </c>
      <c r="AE1097">
        <f>sumif(Plan!B:B,"211-000300-105",Plan!ae:ae)</f>
        <v>0</v>
      </c>
      <c r="AF1097">
        <f>sumif(Plan!B:B,"211-000300-105",Plan!af:af)</f>
        <v>0</v>
      </c>
      <c r="AG1097">
        <f>sumif(Plan!B:B,"211-000300-105",Plan!ag:ag)</f>
        <v>0</v>
      </c>
      <c r="AH1097">
        <f>sumif(Plan!B:B,"211-000300-105",Plan!ah:ah)</f>
        <v>0</v>
      </c>
      <c r="AI1097">
        <f>sumif(Plan!B:B,"211-000300-105",Plan!ai:ai)</f>
        <v>0</v>
      </c>
      <c r="AJ1097">
        <f>sumif(Plan!B:B,"211-000300-105",Plan!aj:aj)</f>
        <v>0</v>
      </c>
      <c r="AK1097">
        <f>sumif(Plan!B:B,"211-000300-105",Plan!ak:ak)</f>
        <v>0</v>
      </c>
      <c r="AL1097">
        <f>sumif(Plan!B:B,"211-000300-105",Plan!al:al)</f>
        <v>0</v>
      </c>
      <c r="AM1097">
        <f>sumif(Plan!B:B,"211-000300-105",Plan!am:am)</f>
        <v>0</v>
      </c>
      <c r="AN1097">
        <f>sumif(Plan!B:B,"211-000300-105",Plan!an:an)</f>
        <v>0</v>
      </c>
      <c r="AO1097">
        <f>sumif(Plan!B:B,"211-000300-105",Plan!ao:ao)</f>
        <v>0</v>
      </c>
    </row>
    <row r="1098" spans="1:41">
      <c r="A1098" t="s">
        <v>22</v>
      </c>
      <c r="B1098" t="s">
        <v>715</v>
      </c>
      <c r="C1098" t="s">
        <v>716</v>
      </c>
      <c r="E1098">
        <v>1</v>
      </c>
      <c r="F1098" t="s">
        <v>13</v>
      </c>
      <c r="H1098" t="s">
        <v>16</v>
      </c>
      <c r="J1098">
        <f>indirect(address(1098,9))+indirect(address(1096,10))-indirect(address(1097,10))</f>
        <v>0</v>
      </c>
      <c r="K1098">
        <f>indirect(address(1098,10))+indirect(address(1096,11))-indirect(address(1097,11))</f>
        <v>0</v>
      </c>
      <c r="L1098">
        <f>indirect(address(1098,11))+indirect(address(1096,12))-indirect(address(1097,12))</f>
        <v>0</v>
      </c>
      <c r="M1098">
        <f>indirect(address(1098,12))+indirect(address(1096,13))-indirect(address(1097,13))</f>
        <v>0</v>
      </c>
      <c r="N1098">
        <f>indirect(address(1098,13))+indirect(address(1096,14))-indirect(address(1097,14))</f>
        <v>0</v>
      </c>
      <c r="O1098">
        <f>indirect(address(1098,14))+indirect(address(1096,15))-indirect(address(1097,15))</f>
        <v>0</v>
      </c>
      <c r="P1098">
        <f>indirect(address(1098,15))+indirect(address(1096,16))-indirect(address(1097,16))</f>
        <v>0</v>
      </c>
      <c r="Q1098">
        <f>indirect(address(1098,16))+indirect(address(1096,17))-indirect(address(1097,17))</f>
        <v>0</v>
      </c>
      <c r="R1098">
        <f>indirect(address(1098,17))+indirect(address(1096,18))-indirect(address(1097,18))</f>
        <v>0</v>
      </c>
      <c r="S1098">
        <f>indirect(address(1098,18))+indirect(address(1096,19))-indirect(address(1097,19))</f>
        <v>0</v>
      </c>
      <c r="T1098">
        <f>indirect(address(1098,19))+indirect(address(1096,20))-indirect(address(1097,20))</f>
        <v>0</v>
      </c>
      <c r="U1098">
        <f>indirect(address(1098,20))+indirect(address(1096,21))-indirect(address(1097,21))</f>
        <v>0</v>
      </c>
      <c r="V1098">
        <f>indirect(address(1098,21))+indirect(address(1096,22))-indirect(address(1097,22))</f>
        <v>0</v>
      </c>
      <c r="W1098">
        <f>indirect(address(1098,22))+indirect(address(1096,23))-indirect(address(1097,23))</f>
        <v>0</v>
      </c>
      <c r="X1098">
        <f>indirect(address(1098,23))+indirect(address(1096,24))-indirect(address(1097,24))</f>
        <v>0</v>
      </c>
      <c r="Y1098">
        <f>indirect(address(1098,24))+indirect(address(1096,25))-indirect(address(1097,25))</f>
        <v>0</v>
      </c>
      <c r="Z1098">
        <f>indirect(address(1098,25))+indirect(address(1096,26))-indirect(address(1097,26))</f>
        <v>0</v>
      </c>
      <c r="AA1098">
        <f>indirect(address(1098,26))+indirect(address(1096,27))-indirect(address(1097,27))</f>
        <v>0</v>
      </c>
      <c r="AB1098">
        <f>indirect(address(1098,27))+indirect(address(1096,28))-indirect(address(1097,28))</f>
        <v>0</v>
      </c>
      <c r="AC1098">
        <f>indirect(address(1098,28))+indirect(address(1096,29))-indirect(address(1097,29))</f>
        <v>0</v>
      </c>
      <c r="AD1098">
        <f>indirect(address(1098,29))+indirect(address(1096,30))-indirect(address(1097,30))</f>
        <v>0</v>
      </c>
      <c r="AE1098">
        <f>indirect(address(1098,30))+indirect(address(1096,31))-indirect(address(1097,31))</f>
        <v>0</v>
      </c>
      <c r="AF1098">
        <f>indirect(address(1098,31))+indirect(address(1096,32))-indirect(address(1097,32))</f>
        <v>0</v>
      </c>
      <c r="AG1098">
        <f>indirect(address(1098,32))+indirect(address(1096,33))-indirect(address(1097,33))</f>
        <v>0</v>
      </c>
      <c r="AH1098">
        <f>indirect(address(1098,33))+indirect(address(1096,34))-indirect(address(1097,34))</f>
        <v>0</v>
      </c>
      <c r="AI1098">
        <f>indirect(address(1098,34))+indirect(address(1096,35))-indirect(address(1097,35))</f>
        <v>0</v>
      </c>
      <c r="AJ1098">
        <f>indirect(address(1098,35))+indirect(address(1096,36))-indirect(address(1097,36))</f>
        <v>0</v>
      </c>
      <c r="AK1098">
        <f>indirect(address(1098,36))+indirect(address(1096,37))-indirect(address(1097,37))</f>
        <v>0</v>
      </c>
      <c r="AL1098">
        <f>indirect(address(1098,37))+indirect(address(1096,38))-indirect(address(1097,38))</f>
        <v>0</v>
      </c>
      <c r="AM1098">
        <f>indirect(address(1098,38))+indirect(address(1096,39))-indirect(address(1097,39))</f>
        <v>0</v>
      </c>
      <c r="AN1098">
        <f>indirect(address(1098,39))+indirect(address(1096,40))-indirect(address(1097,40))</f>
        <v>0</v>
      </c>
      <c r="AO1098">
        <f>indirect(address(1098,40))+indirect(address(1096,41))-indirect(address(1097,41))</f>
        <v>0</v>
      </c>
    </row>
    <row r="1099" spans="1:41">
      <c r="I1099" t="s">
        <v>14</v>
      </c>
      <c r="AO1099">
        <f>sum(j1099:an1099)</f>
        <v>0</v>
      </c>
    </row>
    <row r="1100" spans="1:41">
      <c r="I1100" t="s">
        <v>15</v>
      </c>
      <c r="J1100">
        <f>sumif(Plan!B:B,"806-495000-110",Plan!j:j)</f>
        <v>0</v>
      </c>
      <c r="K1100">
        <f>sumif(Plan!B:B,"806-495000-110",Plan!k:k)</f>
        <v>0</v>
      </c>
      <c r="L1100">
        <f>sumif(Plan!B:B,"806-495000-110",Plan!l:l)</f>
        <v>0</v>
      </c>
      <c r="M1100">
        <f>sumif(Plan!B:B,"806-495000-110",Plan!m:m)</f>
        <v>0</v>
      </c>
      <c r="N1100">
        <f>sumif(Plan!B:B,"806-495000-110",Plan!n:n)</f>
        <v>0</v>
      </c>
      <c r="O1100">
        <f>sumif(Plan!B:B,"806-495000-110",Plan!o:o)</f>
        <v>0</v>
      </c>
      <c r="P1100">
        <f>sumif(Plan!B:B,"806-495000-110",Plan!p:p)</f>
        <v>0</v>
      </c>
      <c r="Q1100">
        <f>sumif(Plan!B:B,"806-495000-110",Plan!q:q)</f>
        <v>0</v>
      </c>
      <c r="R1100">
        <f>sumif(Plan!B:B,"806-495000-110",Plan!r:r)</f>
        <v>0</v>
      </c>
      <c r="S1100">
        <f>sumif(Plan!B:B,"806-495000-110",Plan!s:s)</f>
        <v>0</v>
      </c>
      <c r="T1100">
        <f>sumif(Plan!B:B,"806-495000-110",Plan!t:t)</f>
        <v>0</v>
      </c>
      <c r="U1100">
        <f>sumif(Plan!B:B,"806-495000-110",Plan!u:u)</f>
        <v>0</v>
      </c>
      <c r="V1100">
        <f>sumif(Plan!B:B,"806-495000-110",Plan!v:v)</f>
        <v>0</v>
      </c>
      <c r="W1100">
        <f>sumif(Plan!B:B,"806-495000-110",Plan!w:w)</f>
        <v>0</v>
      </c>
      <c r="X1100">
        <f>sumif(Plan!B:B,"806-495000-110",Plan!x:x)</f>
        <v>0</v>
      </c>
      <c r="Y1100">
        <f>sumif(Plan!B:B,"806-495000-110",Plan!y:y)</f>
        <v>0</v>
      </c>
      <c r="Z1100">
        <f>sumif(Plan!B:B,"806-495000-110",Plan!z:z)</f>
        <v>0</v>
      </c>
      <c r="AA1100">
        <f>sumif(Plan!B:B,"806-495000-110",Plan!aa:aa)</f>
        <v>0</v>
      </c>
      <c r="AB1100">
        <f>sumif(Plan!B:B,"806-495000-110",Plan!ab:ab)</f>
        <v>0</v>
      </c>
      <c r="AC1100">
        <f>sumif(Plan!B:B,"806-495000-110",Plan!ac:ac)</f>
        <v>0</v>
      </c>
      <c r="AD1100">
        <f>sumif(Plan!B:B,"806-495000-110",Plan!ad:ad)</f>
        <v>0</v>
      </c>
      <c r="AE1100">
        <f>sumif(Plan!B:B,"806-495000-110",Plan!ae:ae)</f>
        <v>0</v>
      </c>
      <c r="AF1100">
        <f>sumif(Plan!B:B,"806-495000-110",Plan!af:af)</f>
        <v>0</v>
      </c>
      <c r="AG1100">
        <f>sumif(Plan!B:B,"806-495000-110",Plan!ag:ag)</f>
        <v>0</v>
      </c>
      <c r="AH1100">
        <f>sumif(Plan!B:B,"806-495000-110",Plan!ah:ah)</f>
        <v>0</v>
      </c>
      <c r="AI1100">
        <f>sumif(Plan!B:B,"806-495000-110",Plan!ai:ai)</f>
        <v>0</v>
      </c>
      <c r="AJ1100">
        <f>sumif(Plan!B:B,"806-495000-110",Plan!aj:aj)</f>
        <v>0</v>
      </c>
      <c r="AK1100">
        <f>sumif(Plan!B:B,"806-495000-110",Plan!ak:ak)</f>
        <v>0</v>
      </c>
      <c r="AL1100">
        <f>sumif(Plan!B:B,"806-495000-110",Plan!al:al)</f>
        <v>0</v>
      </c>
      <c r="AM1100">
        <f>sumif(Plan!B:B,"806-495000-110",Plan!am:am)</f>
        <v>0</v>
      </c>
      <c r="AN1100">
        <f>sumif(Plan!B:B,"806-495000-110",Plan!an:an)</f>
        <v>0</v>
      </c>
      <c r="AO1100">
        <f>sumif(Plan!B:B,"806-495000-110",Plan!ao:ao)</f>
        <v>0</v>
      </c>
    </row>
    <row r="1101" spans="1:41">
      <c r="A1101" t="s">
        <v>17</v>
      </c>
      <c r="B1101" t="s">
        <v>718</v>
      </c>
      <c r="C1101" t="s">
        <v>716</v>
      </c>
      <c r="E1101">
        <v>1</v>
      </c>
      <c r="F1101" t="s">
        <v>13</v>
      </c>
      <c r="H1101" t="s">
        <v>16</v>
      </c>
      <c r="J1101">
        <f>indirect(address(1101,9))+indirect(address(1099,10))-indirect(address(1100,10))</f>
        <v>0</v>
      </c>
      <c r="K1101">
        <f>indirect(address(1101,10))+indirect(address(1099,11))-indirect(address(1100,11))</f>
        <v>0</v>
      </c>
      <c r="L1101">
        <f>indirect(address(1101,11))+indirect(address(1099,12))-indirect(address(1100,12))</f>
        <v>0</v>
      </c>
      <c r="M1101">
        <f>indirect(address(1101,12))+indirect(address(1099,13))-indirect(address(1100,13))</f>
        <v>0</v>
      </c>
      <c r="N1101">
        <f>indirect(address(1101,13))+indirect(address(1099,14))-indirect(address(1100,14))</f>
        <v>0</v>
      </c>
      <c r="O1101">
        <f>indirect(address(1101,14))+indirect(address(1099,15))-indirect(address(1100,15))</f>
        <v>0</v>
      </c>
      <c r="P1101">
        <f>indirect(address(1101,15))+indirect(address(1099,16))-indirect(address(1100,16))</f>
        <v>0</v>
      </c>
      <c r="Q1101">
        <f>indirect(address(1101,16))+indirect(address(1099,17))-indirect(address(1100,17))</f>
        <v>0</v>
      </c>
      <c r="R1101">
        <f>indirect(address(1101,17))+indirect(address(1099,18))-indirect(address(1100,18))</f>
        <v>0</v>
      </c>
      <c r="S1101">
        <f>indirect(address(1101,18))+indirect(address(1099,19))-indirect(address(1100,19))</f>
        <v>0</v>
      </c>
      <c r="T1101">
        <f>indirect(address(1101,19))+indirect(address(1099,20))-indirect(address(1100,20))</f>
        <v>0</v>
      </c>
      <c r="U1101">
        <f>indirect(address(1101,20))+indirect(address(1099,21))-indirect(address(1100,21))</f>
        <v>0</v>
      </c>
      <c r="V1101">
        <f>indirect(address(1101,21))+indirect(address(1099,22))-indirect(address(1100,22))</f>
        <v>0</v>
      </c>
      <c r="W1101">
        <f>indirect(address(1101,22))+indirect(address(1099,23))-indirect(address(1100,23))</f>
        <v>0</v>
      </c>
      <c r="X1101">
        <f>indirect(address(1101,23))+indirect(address(1099,24))-indirect(address(1100,24))</f>
        <v>0</v>
      </c>
      <c r="Y1101">
        <f>indirect(address(1101,24))+indirect(address(1099,25))-indirect(address(1100,25))</f>
        <v>0</v>
      </c>
      <c r="Z1101">
        <f>indirect(address(1101,25))+indirect(address(1099,26))-indirect(address(1100,26))</f>
        <v>0</v>
      </c>
      <c r="AA1101">
        <f>indirect(address(1101,26))+indirect(address(1099,27))-indirect(address(1100,27))</f>
        <v>0</v>
      </c>
      <c r="AB1101">
        <f>indirect(address(1101,27))+indirect(address(1099,28))-indirect(address(1100,28))</f>
        <v>0</v>
      </c>
      <c r="AC1101">
        <f>indirect(address(1101,28))+indirect(address(1099,29))-indirect(address(1100,29))</f>
        <v>0</v>
      </c>
      <c r="AD1101">
        <f>indirect(address(1101,29))+indirect(address(1099,30))-indirect(address(1100,30))</f>
        <v>0</v>
      </c>
      <c r="AE1101">
        <f>indirect(address(1101,30))+indirect(address(1099,31))-indirect(address(1100,31))</f>
        <v>0</v>
      </c>
      <c r="AF1101">
        <f>indirect(address(1101,31))+indirect(address(1099,32))-indirect(address(1100,32))</f>
        <v>0</v>
      </c>
      <c r="AG1101">
        <f>indirect(address(1101,32))+indirect(address(1099,33))-indirect(address(1100,33))</f>
        <v>0</v>
      </c>
      <c r="AH1101">
        <f>indirect(address(1101,33))+indirect(address(1099,34))-indirect(address(1100,34))</f>
        <v>0</v>
      </c>
      <c r="AI1101">
        <f>indirect(address(1101,34))+indirect(address(1099,35))-indirect(address(1100,35))</f>
        <v>0</v>
      </c>
      <c r="AJ1101">
        <f>indirect(address(1101,35))+indirect(address(1099,36))-indirect(address(1100,36))</f>
        <v>0</v>
      </c>
      <c r="AK1101">
        <f>indirect(address(1101,36))+indirect(address(1099,37))-indirect(address(1100,37))</f>
        <v>0</v>
      </c>
      <c r="AL1101">
        <f>indirect(address(1101,37))+indirect(address(1099,38))-indirect(address(1100,38))</f>
        <v>0</v>
      </c>
      <c r="AM1101">
        <f>indirect(address(1101,38))+indirect(address(1099,39))-indirect(address(1100,39))</f>
        <v>0</v>
      </c>
      <c r="AN1101">
        <f>indirect(address(1101,39))+indirect(address(1099,40))-indirect(address(1100,40))</f>
        <v>0</v>
      </c>
      <c r="AO1101">
        <f>indirect(address(1101,40))+indirect(address(1099,41))-indirect(address(1100,41))</f>
        <v>0</v>
      </c>
    </row>
    <row r="1102" spans="1:41">
      <c r="I1102" t="s">
        <v>14</v>
      </c>
      <c r="AO1102">
        <f>sum(j1102:an1102)</f>
        <v>0</v>
      </c>
    </row>
    <row r="1103" spans="1:41">
      <c r="I1103" t="s">
        <v>15</v>
      </c>
      <c r="J1103">
        <f>sumif(Plan!B:B,"211-009500-000",Plan!j:j)</f>
        <v>0</v>
      </c>
      <c r="K1103">
        <f>sumif(Plan!B:B,"211-009500-000",Plan!k:k)</f>
        <v>0</v>
      </c>
      <c r="L1103">
        <f>sumif(Plan!B:B,"211-009500-000",Plan!l:l)</f>
        <v>0</v>
      </c>
      <c r="M1103">
        <f>sumif(Plan!B:B,"211-009500-000",Plan!m:m)</f>
        <v>0</v>
      </c>
      <c r="N1103">
        <f>sumif(Plan!B:B,"211-009500-000",Plan!n:n)</f>
        <v>0</v>
      </c>
      <c r="O1103">
        <f>sumif(Plan!B:B,"211-009500-000",Plan!o:o)</f>
        <v>0</v>
      </c>
      <c r="P1103">
        <f>sumif(Plan!B:B,"211-009500-000",Plan!p:p)</f>
        <v>0</v>
      </c>
      <c r="Q1103">
        <f>sumif(Plan!B:B,"211-009500-000",Plan!q:q)</f>
        <v>0</v>
      </c>
      <c r="R1103">
        <f>sumif(Plan!B:B,"211-009500-000",Plan!r:r)</f>
        <v>0</v>
      </c>
      <c r="S1103">
        <f>sumif(Plan!B:B,"211-009500-000",Plan!s:s)</f>
        <v>0</v>
      </c>
      <c r="T1103">
        <f>sumif(Plan!B:B,"211-009500-000",Plan!t:t)</f>
        <v>0</v>
      </c>
      <c r="U1103">
        <f>sumif(Plan!B:B,"211-009500-000",Plan!u:u)</f>
        <v>0</v>
      </c>
      <c r="V1103">
        <f>sumif(Plan!B:B,"211-009500-000",Plan!v:v)</f>
        <v>0</v>
      </c>
      <c r="W1103">
        <f>sumif(Plan!B:B,"211-009500-000",Plan!w:w)</f>
        <v>0</v>
      </c>
      <c r="X1103">
        <f>sumif(Plan!B:B,"211-009500-000",Plan!x:x)</f>
        <v>0</v>
      </c>
      <c r="Y1103">
        <f>sumif(Plan!B:B,"211-009500-000",Plan!y:y)</f>
        <v>0</v>
      </c>
      <c r="Z1103">
        <f>sumif(Plan!B:B,"211-009500-000",Plan!z:z)</f>
        <v>0</v>
      </c>
      <c r="AA1103">
        <f>sumif(Plan!B:B,"211-009500-000",Plan!aa:aa)</f>
        <v>0</v>
      </c>
      <c r="AB1103">
        <f>sumif(Plan!B:B,"211-009500-000",Plan!ab:ab)</f>
        <v>0</v>
      </c>
      <c r="AC1103">
        <f>sumif(Plan!B:B,"211-009500-000",Plan!ac:ac)</f>
        <v>0</v>
      </c>
      <c r="AD1103">
        <f>sumif(Plan!B:B,"211-009500-000",Plan!ad:ad)</f>
        <v>0</v>
      </c>
      <c r="AE1103">
        <f>sumif(Plan!B:B,"211-009500-000",Plan!ae:ae)</f>
        <v>0</v>
      </c>
      <c r="AF1103">
        <f>sumif(Plan!B:B,"211-009500-000",Plan!af:af)</f>
        <v>0</v>
      </c>
      <c r="AG1103">
        <f>sumif(Plan!B:B,"211-009500-000",Plan!ag:ag)</f>
        <v>0</v>
      </c>
      <c r="AH1103">
        <f>sumif(Plan!B:B,"211-009500-000",Plan!ah:ah)</f>
        <v>0</v>
      </c>
      <c r="AI1103">
        <f>sumif(Plan!B:B,"211-009500-000",Plan!ai:ai)</f>
        <v>0</v>
      </c>
      <c r="AJ1103">
        <f>sumif(Plan!B:B,"211-009500-000",Plan!aj:aj)</f>
        <v>0</v>
      </c>
      <c r="AK1103">
        <f>sumif(Plan!B:B,"211-009500-000",Plan!ak:ak)</f>
        <v>0</v>
      </c>
      <c r="AL1103">
        <f>sumif(Plan!B:B,"211-009500-000",Plan!al:al)</f>
        <v>0</v>
      </c>
      <c r="AM1103">
        <f>sumif(Plan!B:B,"211-009500-000",Plan!am:am)</f>
        <v>0</v>
      </c>
      <c r="AN1103">
        <f>sumif(Plan!B:B,"211-009500-000",Plan!an:an)</f>
        <v>0</v>
      </c>
      <c r="AO1103">
        <f>sumif(Plan!B:B,"211-009500-000",Plan!ao:ao)</f>
        <v>0</v>
      </c>
    </row>
    <row r="1104" spans="1:41">
      <c r="A1104" t="s">
        <v>22</v>
      </c>
      <c r="B1104" t="s">
        <v>719</v>
      </c>
      <c r="C1104" t="s">
        <v>720</v>
      </c>
      <c r="E1104">
        <v>1</v>
      </c>
      <c r="F1104" t="s">
        <v>13</v>
      </c>
      <c r="H1104" t="s">
        <v>16</v>
      </c>
      <c r="J1104">
        <f>indirect(address(1104,9))+indirect(address(1102,10))-indirect(address(1103,10))</f>
        <v>0</v>
      </c>
      <c r="K1104">
        <f>indirect(address(1104,10))+indirect(address(1102,11))-indirect(address(1103,11))</f>
        <v>0</v>
      </c>
      <c r="L1104">
        <f>indirect(address(1104,11))+indirect(address(1102,12))-indirect(address(1103,12))</f>
        <v>0</v>
      </c>
      <c r="M1104">
        <f>indirect(address(1104,12))+indirect(address(1102,13))-indirect(address(1103,13))</f>
        <v>0</v>
      </c>
      <c r="N1104">
        <f>indirect(address(1104,13))+indirect(address(1102,14))-indirect(address(1103,14))</f>
        <v>0</v>
      </c>
      <c r="O1104">
        <f>indirect(address(1104,14))+indirect(address(1102,15))-indirect(address(1103,15))</f>
        <v>0</v>
      </c>
      <c r="P1104">
        <f>indirect(address(1104,15))+indirect(address(1102,16))-indirect(address(1103,16))</f>
        <v>0</v>
      </c>
      <c r="Q1104">
        <f>indirect(address(1104,16))+indirect(address(1102,17))-indirect(address(1103,17))</f>
        <v>0</v>
      </c>
      <c r="R1104">
        <f>indirect(address(1104,17))+indirect(address(1102,18))-indirect(address(1103,18))</f>
        <v>0</v>
      </c>
      <c r="S1104">
        <f>indirect(address(1104,18))+indirect(address(1102,19))-indirect(address(1103,19))</f>
        <v>0</v>
      </c>
      <c r="T1104">
        <f>indirect(address(1104,19))+indirect(address(1102,20))-indirect(address(1103,20))</f>
        <v>0</v>
      </c>
      <c r="U1104">
        <f>indirect(address(1104,20))+indirect(address(1102,21))-indirect(address(1103,21))</f>
        <v>0</v>
      </c>
      <c r="V1104">
        <f>indirect(address(1104,21))+indirect(address(1102,22))-indirect(address(1103,22))</f>
        <v>0</v>
      </c>
      <c r="W1104">
        <f>indirect(address(1104,22))+indirect(address(1102,23))-indirect(address(1103,23))</f>
        <v>0</v>
      </c>
      <c r="X1104">
        <f>indirect(address(1104,23))+indirect(address(1102,24))-indirect(address(1103,24))</f>
        <v>0</v>
      </c>
      <c r="Y1104">
        <f>indirect(address(1104,24))+indirect(address(1102,25))-indirect(address(1103,25))</f>
        <v>0</v>
      </c>
      <c r="Z1104">
        <f>indirect(address(1104,25))+indirect(address(1102,26))-indirect(address(1103,26))</f>
        <v>0</v>
      </c>
      <c r="AA1104">
        <f>indirect(address(1104,26))+indirect(address(1102,27))-indirect(address(1103,27))</f>
        <v>0</v>
      </c>
      <c r="AB1104">
        <f>indirect(address(1104,27))+indirect(address(1102,28))-indirect(address(1103,28))</f>
        <v>0</v>
      </c>
      <c r="AC1104">
        <f>indirect(address(1104,28))+indirect(address(1102,29))-indirect(address(1103,29))</f>
        <v>0</v>
      </c>
      <c r="AD1104">
        <f>indirect(address(1104,29))+indirect(address(1102,30))-indirect(address(1103,30))</f>
        <v>0</v>
      </c>
      <c r="AE1104">
        <f>indirect(address(1104,30))+indirect(address(1102,31))-indirect(address(1103,31))</f>
        <v>0</v>
      </c>
      <c r="AF1104">
        <f>indirect(address(1104,31))+indirect(address(1102,32))-indirect(address(1103,32))</f>
        <v>0</v>
      </c>
      <c r="AG1104">
        <f>indirect(address(1104,32))+indirect(address(1102,33))-indirect(address(1103,33))</f>
        <v>0</v>
      </c>
      <c r="AH1104">
        <f>indirect(address(1104,33))+indirect(address(1102,34))-indirect(address(1103,34))</f>
        <v>0</v>
      </c>
      <c r="AI1104">
        <f>indirect(address(1104,34))+indirect(address(1102,35))-indirect(address(1103,35))</f>
        <v>0</v>
      </c>
      <c r="AJ1104">
        <f>indirect(address(1104,35))+indirect(address(1102,36))-indirect(address(1103,36))</f>
        <v>0</v>
      </c>
      <c r="AK1104">
        <f>indirect(address(1104,36))+indirect(address(1102,37))-indirect(address(1103,37))</f>
        <v>0</v>
      </c>
      <c r="AL1104">
        <f>indirect(address(1104,37))+indirect(address(1102,38))-indirect(address(1103,38))</f>
        <v>0</v>
      </c>
      <c r="AM1104">
        <f>indirect(address(1104,38))+indirect(address(1102,39))-indirect(address(1103,39))</f>
        <v>0</v>
      </c>
      <c r="AN1104">
        <f>indirect(address(1104,39))+indirect(address(1102,40))-indirect(address(1103,40))</f>
        <v>0</v>
      </c>
      <c r="AO1104">
        <f>indirect(address(1104,40))+indirect(address(1102,41))-indirect(address(1103,41))</f>
        <v>0</v>
      </c>
    </row>
    <row r="1105" spans="1:41">
      <c r="I1105" t="s">
        <v>14</v>
      </c>
      <c r="AO1105">
        <f>sum(j1105:an1105)</f>
        <v>0</v>
      </c>
    </row>
    <row r="1106" spans="1:41">
      <c r="I1106" t="s">
        <v>15</v>
      </c>
      <c r="J1106">
        <f>sumif(Plan!B:B,"211-000550-155",Plan!j:j)</f>
        <v>0</v>
      </c>
      <c r="K1106">
        <f>sumif(Plan!B:B,"211-000550-155",Plan!k:k)</f>
        <v>0</v>
      </c>
      <c r="L1106">
        <f>sumif(Plan!B:B,"211-000550-155",Plan!l:l)</f>
        <v>0</v>
      </c>
      <c r="M1106">
        <f>sumif(Plan!B:B,"211-000550-155",Plan!m:m)</f>
        <v>0</v>
      </c>
      <c r="N1106">
        <f>sumif(Plan!B:B,"211-000550-155",Plan!n:n)</f>
        <v>0</v>
      </c>
      <c r="O1106">
        <f>sumif(Plan!B:B,"211-000550-155",Plan!o:o)</f>
        <v>0</v>
      </c>
      <c r="P1106">
        <f>sumif(Plan!B:B,"211-000550-155",Plan!p:p)</f>
        <v>0</v>
      </c>
      <c r="Q1106">
        <f>sumif(Plan!B:B,"211-000550-155",Plan!q:q)</f>
        <v>0</v>
      </c>
      <c r="R1106">
        <f>sumif(Plan!B:B,"211-000550-155",Plan!r:r)</f>
        <v>0</v>
      </c>
      <c r="S1106">
        <f>sumif(Plan!B:B,"211-000550-155",Plan!s:s)</f>
        <v>0</v>
      </c>
      <c r="T1106">
        <f>sumif(Plan!B:B,"211-000550-155",Plan!t:t)</f>
        <v>0</v>
      </c>
      <c r="U1106">
        <f>sumif(Plan!B:B,"211-000550-155",Plan!u:u)</f>
        <v>0</v>
      </c>
      <c r="V1106">
        <f>sumif(Plan!B:B,"211-000550-155",Plan!v:v)</f>
        <v>0</v>
      </c>
      <c r="W1106">
        <f>sumif(Plan!B:B,"211-000550-155",Plan!w:w)</f>
        <v>0</v>
      </c>
      <c r="X1106">
        <f>sumif(Plan!B:B,"211-000550-155",Plan!x:x)</f>
        <v>0</v>
      </c>
      <c r="Y1106">
        <f>sumif(Plan!B:B,"211-000550-155",Plan!y:y)</f>
        <v>0</v>
      </c>
      <c r="Z1106">
        <f>sumif(Plan!B:B,"211-000550-155",Plan!z:z)</f>
        <v>0</v>
      </c>
      <c r="AA1106">
        <f>sumif(Plan!B:B,"211-000550-155",Plan!aa:aa)</f>
        <v>0</v>
      </c>
      <c r="AB1106">
        <f>sumif(Plan!B:B,"211-000550-155",Plan!ab:ab)</f>
        <v>0</v>
      </c>
      <c r="AC1106">
        <f>sumif(Plan!B:B,"211-000550-155",Plan!ac:ac)</f>
        <v>0</v>
      </c>
      <c r="AD1106">
        <f>sumif(Plan!B:B,"211-000550-155",Plan!ad:ad)</f>
        <v>0</v>
      </c>
      <c r="AE1106">
        <f>sumif(Plan!B:B,"211-000550-155",Plan!ae:ae)</f>
        <v>0</v>
      </c>
      <c r="AF1106">
        <f>sumif(Plan!B:B,"211-000550-155",Plan!af:af)</f>
        <v>0</v>
      </c>
      <c r="AG1106">
        <f>sumif(Plan!B:B,"211-000550-155",Plan!ag:ag)</f>
        <v>0</v>
      </c>
      <c r="AH1106">
        <f>sumif(Plan!B:B,"211-000550-155",Plan!ah:ah)</f>
        <v>0</v>
      </c>
      <c r="AI1106">
        <f>sumif(Plan!B:B,"211-000550-155",Plan!ai:ai)</f>
        <v>0</v>
      </c>
      <c r="AJ1106">
        <f>sumif(Plan!B:B,"211-000550-155",Plan!aj:aj)</f>
        <v>0</v>
      </c>
      <c r="AK1106">
        <f>sumif(Plan!B:B,"211-000550-155",Plan!ak:ak)</f>
        <v>0</v>
      </c>
      <c r="AL1106">
        <f>sumif(Plan!B:B,"211-000550-155",Plan!al:al)</f>
        <v>0</v>
      </c>
      <c r="AM1106">
        <f>sumif(Plan!B:B,"211-000550-155",Plan!am:am)</f>
        <v>0</v>
      </c>
      <c r="AN1106">
        <f>sumif(Plan!B:B,"211-000550-155",Plan!an:an)</f>
        <v>0</v>
      </c>
      <c r="AO1106">
        <f>sumif(Plan!B:B,"211-000550-155",Plan!ao:ao)</f>
        <v>0</v>
      </c>
    </row>
    <row r="1107" spans="1:41">
      <c r="A1107" t="s">
        <v>22</v>
      </c>
      <c r="B1107" t="s">
        <v>721</v>
      </c>
      <c r="C1107" t="s">
        <v>722</v>
      </c>
      <c r="E1107">
        <v>2</v>
      </c>
      <c r="F1107" t="s">
        <v>13</v>
      </c>
      <c r="H1107" t="s">
        <v>16</v>
      </c>
      <c r="J1107">
        <f>indirect(address(1107,9))+indirect(address(1105,10))-indirect(address(1106,10))</f>
        <v>0</v>
      </c>
      <c r="K1107">
        <f>indirect(address(1107,10))+indirect(address(1105,11))-indirect(address(1106,11))</f>
        <v>0</v>
      </c>
      <c r="L1107">
        <f>indirect(address(1107,11))+indirect(address(1105,12))-indirect(address(1106,12))</f>
        <v>0</v>
      </c>
      <c r="M1107">
        <f>indirect(address(1107,12))+indirect(address(1105,13))-indirect(address(1106,13))</f>
        <v>0</v>
      </c>
      <c r="N1107">
        <f>indirect(address(1107,13))+indirect(address(1105,14))-indirect(address(1106,14))</f>
        <v>0</v>
      </c>
      <c r="O1107">
        <f>indirect(address(1107,14))+indirect(address(1105,15))-indirect(address(1106,15))</f>
        <v>0</v>
      </c>
      <c r="P1107">
        <f>indirect(address(1107,15))+indirect(address(1105,16))-indirect(address(1106,16))</f>
        <v>0</v>
      </c>
      <c r="Q1107">
        <f>indirect(address(1107,16))+indirect(address(1105,17))-indirect(address(1106,17))</f>
        <v>0</v>
      </c>
      <c r="R1107">
        <f>indirect(address(1107,17))+indirect(address(1105,18))-indirect(address(1106,18))</f>
        <v>0</v>
      </c>
      <c r="S1107">
        <f>indirect(address(1107,18))+indirect(address(1105,19))-indirect(address(1106,19))</f>
        <v>0</v>
      </c>
      <c r="T1107">
        <f>indirect(address(1107,19))+indirect(address(1105,20))-indirect(address(1106,20))</f>
        <v>0</v>
      </c>
      <c r="U1107">
        <f>indirect(address(1107,20))+indirect(address(1105,21))-indirect(address(1106,21))</f>
        <v>0</v>
      </c>
      <c r="V1107">
        <f>indirect(address(1107,21))+indirect(address(1105,22))-indirect(address(1106,22))</f>
        <v>0</v>
      </c>
      <c r="W1107">
        <f>indirect(address(1107,22))+indirect(address(1105,23))-indirect(address(1106,23))</f>
        <v>0</v>
      </c>
      <c r="X1107">
        <f>indirect(address(1107,23))+indirect(address(1105,24))-indirect(address(1106,24))</f>
        <v>0</v>
      </c>
      <c r="Y1107">
        <f>indirect(address(1107,24))+indirect(address(1105,25))-indirect(address(1106,25))</f>
        <v>0</v>
      </c>
      <c r="Z1107">
        <f>indirect(address(1107,25))+indirect(address(1105,26))-indirect(address(1106,26))</f>
        <v>0</v>
      </c>
      <c r="AA1107">
        <f>indirect(address(1107,26))+indirect(address(1105,27))-indirect(address(1106,27))</f>
        <v>0</v>
      </c>
      <c r="AB1107">
        <f>indirect(address(1107,27))+indirect(address(1105,28))-indirect(address(1106,28))</f>
        <v>0</v>
      </c>
      <c r="AC1107">
        <f>indirect(address(1107,28))+indirect(address(1105,29))-indirect(address(1106,29))</f>
        <v>0</v>
      </c>
      <c r="AD1107">
        <f>indirect(address(1107,29))+indirect(address(1105,30))-indirect(address(1106,30))</f>
        <v>0</v>
      </c>
      <c r="AE1107">
        <f>indirect(address(1107,30))+indirect(address(1105,31))-indirect(address(1106,31))</f>
        <v>0</v>
      </c>
      <c r="AF1107">
        <f>indirect(address(1107,31))+indirect(address(1105,32))-indirect(address(1106,32))</f>
        <v>0</v>
      </c>
      <c r="AG1107">
        <f>indirect(address(1107,32))+indirect(address(1105,33))-indirect(address(1106,33))</f>
        <v>0</v>
      </c>
      <c r="AH1107">
        <f>indirect(address(1107,33))+indirect(address(1105,34))-indirect(address(1106,34))</f>
        <v>0</v>
      </c>
      <c r="AI1107">
        <f>indirect(address(1107,34))+indirect(address(1105,35))-indirect(address(1106,35))</f>
        <v>0</v>
      </c>
      <c r="AJ1107">
        <f>indirect(address(1107,35))+indirect(address(1105,36))-indirect(address(1106,36))</f>
        <v>0</v>
      </c>
      <c r="AK1107">
        <f>indirect(address(1107,36))+indirect(address(1105,37))-indirect(address(1106,37))</f>
        <v>0</v>
      </c>
      <c r="AL1107">
        <f>indirect(address(1107,37))+indirect(address(1105,38))-indirect(address(1106,38))</f>
        <v>0</v>
      </c>
      <c r="AM1107">
        <f>indirect(address(1107,38))+indirect(address(1105,39))-indirect(address(1106,39))</f>
        <v>0</v>
      </c>
      <c r="AN1107">
        <f>indirect(address(1107,39))+indirect(address(1105,40))-indirect(address(1106,40))</f>
        <v>0</v>
      </c>
      <c r="AO1107">
        <f>indirect(address(1107,40))+indirect(address(1105,41))-indirect(address(1106,41))</f>
        <v>0</v>
      </c>
    </row>
    <row r="1108" spans="1:41">
      <c r="I1108" t="s">
        <v>14</v>
      </c>
      <c r="AO1108">
        <f>sum(j1108:an1108)</f>
        <v>0</v>
      </c>
    </row>
    <row r="1109" spans="1:41">
      <c r="I1109" t="s">
        <v>15</v>
      </c>
      <c r="J1109">
        <f>sumif(Plan!B:B,"211-009700-000",Plan!j:j)</f>
        <v>0</v>
      </c>
      <c r="K1109">
        <f>sumif(Plan!B:B,"211-009700-000",Plan!k:k)</f>
        <v>0</v>
      </c>
      <c r="L1109">
        <f>sumif(Plan!B:B,"211-009700-000",Plan!l:l)</f>
        <v>0</v>
      </c>
      <c r="M1109">
        <f>sumif(Plan!B:B,"211-009700-000",Plan!m:m)</f>
        <v>0</v>
      </c>
      <c r="N1109">
        <f>sumif(Plan!B:B,"211-009700-000",Plan!n:n)</f>
        <v>0</v>
      </c>
      <c r="O1109">
        <f>sumif(Plan!B:B,"211-009700-000",Plan!o:o)</f>
        <v>0</v>
      </c>
      <c r="P1109">
        <f>sumif(Plan!B:B,"211-009700-000",Plan!p:p)</f>
        <v>0</v>
      </c>
      <c r="Q1109">
        <f>sumif(Plan!B:B,"211-009700-000",Plan!q:q)</f>
        <v>0</v>
      </c>
      <c r="R1109">
        <f>sumif(Plan!B:B,"211-009700-000",Plan!r:r)</f>
        <v>0</v>
      </c>
      <c r="S1109">
        <f>sumif(Plan!B:B,"211-009700-000",Plan!s:s)</f>
        <v>0</v>
      </c>
      <c r="T1109">
        <f>sumif(Plan!B:B,"211-009700-000",Plan!t:t)</f>
        <v>0</v>
      </c>
      <c r="U1109">
        <f>sumif(Plan!B:B,"211-009700-000",Plan!u:u)</f>
        <v>0</v>
      </c>
      <c r="V1109">
        <f>sumif(Plan!B:B,"211-009700-000",Plan!v:v)</f>
        <v>0</v>
      </c>
      <c r="W1109">
        <f>sumif(Plan!B:B,"211-009700-000",Plan!w:w)</f>
        <v>0</v>
      </c>
      <c r="X1109">
        <f>sumif(Plan!B:B,"211-009700-000",Plan!x:x)</f>
        <v>0</v>
      </c>
      <c r="Y1109">
        <f>sumif(Plan!B:B,"211-009700-000",Plan!y:y)</f>
        <v>0</v>
      </c>
      <c r="Z1109">
        <f>sumif(Plan!B:B,"211-009700-000",Plan!z:z)</f>
        <v>0</v>
      </c>
      <c r="AA1109">
        <f>sumif(Plan!B:B,"211-009700-000",Plan!aa:aa)</f>
        <v>0</v>
      </c>
      <c r="AB1109">
        <f>sumif(Plan!B:B,"211-009700-000",Plan!ab:ab)</f>
        <v>0</v>
      </c>
      <c r="AC1109">
        <f>sumif(Plan!B:B,"211-009700-000",Plan!ac:ac)</f>
        <v>0</v>
      </c>
      <c r="AD1109">
        <f>sumif(Plan!B:B,"211-009700-000",Plan!ad:ad)</f>
        <v>0</v>
      </c>
      <c r="AE1109">
        <f>sumif(Plan!B:B,"211-009700-000",Plan!ae:ae)</f>
        <v>0</v>
      </c>
      <c r="AF1109">
        <f>sumif(Plan!B:B,"211-009700-000",Plan!af:af)</f>
        <v>0</v>
      </c>
      <c r="AG1109">
        <f>sumif(Plan!B:B,"211-009700-000",Plan!ag:ag)</f>
        <v>0</v>
      </c>
      <c r="AH1109">
        <f>sumif(Plan!B:B,"211-009700-000",Plan!ah:ah)</f>
        <v>0</v>
      </c>
      <c r="AI1109">
        <f>sumif(Plan!B:B,"211-009700-000",Plan!ai:ai)</f>
        <v>0</v>
      </c>
      <c r="AJ1109">
        <f>sumif(Plan!B:B,"211-009700-000",Plan!aj:aj)</f>
        <v>0</v>
      </c>
      <c r="AK1109">
        <f>sumif(Plan!B:B,"211-009700-000",Plan!ak:ak)</f>
        <v>0</v>
      </c>
      <c r="AL1109">
        <f>sumif(Plan!B:B,"211-009700-000",Plan!al:al)</f>
        <v>0</v>
      </c>
      <c r="AM1109">
        <f>sumif(Plan!B:B,"211-009700-000",Plan!am:am)</f>
        <v>0</v>
      </c>
      <c r="AN1109">
        <f>sumif(Plan!B:B,"211-009700-000",Plan!an:an)</f>
        <v>0</v>
      </c>
      <c r="AO1109">
        <f>sumif(Plan!B:B,"211-009700-000",Plan!ao:ao)</f>
        <v>0</v>
      </c>
    </row>
    <row r="1110" spans="1:41">
      <c r="A1110" t="s">
        <v>22</v>
      </c>
      <c r="B1110" t="s">
        <v>723</v>
      </c>
      <c r="C1110" t="s">
        <v>724</v>
      </c>
      <c r="E1110">
        <v>2</v>
      </c>
      <c r="F1110" t="s">
        <v>13</v>
      </c>
      <c r="H1110" t="s">
        <v>16</v>
      </c>
      <c r="J1110">
        <f>indirect(address(1110,9))+indirect(address(1108,10))-indirect(address(1109,10))</f>
        <v>0</v>
      </c>
      <c r="K1110">
        <f>indirect(address(1110,10))+indirect(address(1108,11))-indirect(address(1109,11))</f>
        <v>0</v>
      </c>
      <c r="L1110">
        <f>indirect(address(1110,11))+indirect(address(1108,12))-indirect(address(1109,12))</f>
        <v>0</v>
      </c>
      <c r="M1110">
        <f>indirect(address(1110,12))+indirect(address(1108,13))-indirect(address(1109,13))</f>
        <v>0</v>
      </c>
      <c r="N1110">
        <f>indirect(address(1110,13))+indirect(address(1108,14))-indirect(address(1109,14))</f>
        <v>0</v>
      </c>
      <c r="O1110">
        <f>indirect(address(1110,14))+indirect(address(1108,15))-indirect(address(1109,15))</f>
        <v>0</v>
      </c>
      <c r="P1110">
        <f>indirect(address(1110,15))+indirect(address(1108,16))-indirect(address(1109,16))</f>
        <v>0</v>
      </c>
      <c r="Q1110">
        <f>indirect(address(1110,16))+indirect(address(1108,17))-indirect(address(1109,17))</f>
        <v>0</v>
      </c>
      <c r="R1110">
        <f>indirect(address(1110,17))+indirect(address(1108,18))-indirect(address(1109,18))</f>
        <v>0</v>
      </c>
      <c r="S1110">
        <f>indirect(address(1110,18))+indirect(address(1108,19))-indirect(address(1109,19))</f>
        <v>0</v>
      </c>
      <c r="T1110">
        <f>indirect(address(1110,19))+indirect(address(1108,20))-indirect(address(1109,20))</f>
        <v>0</v>
      </c>
      <c r="U1110">
        <f>indirect(address(1110,20))+indirect(address(1108,21))-indirect(address(1109,21))</f>
        <v>0</v>
      </c>
      <c r="V1110">
        <f>indirect(address(1110,21))+indirect(address(1108,22))-indirect(address(1109,22))</f>
        <v>0</v>
      </c>
      <c r="W1110">
        <f>indirect(address(1110,22))+indirect(address(1108,23))-indirect(address(1109,23))</f>
        <v>0</v>
      </c>
      <c r="X1110">
        <f>indirect(address(1110,23))+indirect(address(1108,24))-indirect(address(1109,24))</f>
        <v>0</v>
      </c>
      <c r="Y1110">
        <f>indirect(address(1110,24))+indirect(address(1108,25))-indirect(address(1109,25))</f>
        <v>0</v>
      </c>
      <c r="Z1110">
        <f>indirect(address(1110,25))+indirect(address(1108,26))-indirect(address(1109,26))</f>
        <v>0</v>
      </c>
      <c r="AA1110">
        <f>indirect(address(1110,26))+indirect(address(1108,27))-indirect(address(1109,27))</f>
        <v>0</v>
      </c>
      <c r="AB1110">
        <f>indirect(address(1110,27))+indirect(address(1108,28))-indirect(address(1109,28))</f>
        <v>0</v>
      </c>
      <c r="AC1110">
        <f>indirect(address(1110,28))+indirect(address(1108,29))-indirect(address(1109,29))</f>
        <v>0</v>
      </c>
      <c r="AD1110">
        <f>indirect(address(1110,29))+indirect(address(1108,30))-indirect(address(1109,30))</f>
        <v>0</v>
      </c>
      <c r="AE1110">
        <f>indirect(address(1110,30))+indirect(address(1108,31))-indirect(address(1109,31))</f>
        <v>0</v>
      </c>
      <c r="AF1110">
        <f>indirect(address(1110,31))+indirect(address(1108,32))-indirect(address(1109,32))</f>
        <v>0</v>
      </c>
      <c r="AG1110">
        <f>indirect(address(1110,32))+indirect(address(1108,33))-indirect(address(1109,33))</f>
        <v>0</v>
      </c>
      <c r="AH1110">
        <f>indirect(address(1110,33))+indirect(address(1108,34))-indirect(address(1109,34))</f>
        <v>0</v>
      </c>
      <c r="AI1110">
        <f>indirect(address(1110,34))+indirect(address(1108,35))-indirect(address(1109,35))</f>
        <v>0</v>
      </c>
      <c r="AJ1110">
        <f>indirect(address(1110,35))+indirect(address(1108,36))-indirect(address(1109,36))</f>
        <v>0</v>
      </c>
      <c r="AK1110">
        <f>indirect(address(1110,36))+indirect(address(1108,37))-indirect(address(1109,37))</f>
        <v>0</v>
      </c>
      <c r="AL1110">
        <f>indirect(address(1110,37))+indirect(address(1108,38))-indirect(address(1109,38))</f>
        <v>0</v>
      </c>
      <c r="AM1110">
        <f>indirect(address(1110,38))+indirect(address(1108,39))-indirect(address(1109,39))</f>
        <v>0</v>
      </c>
      <c r="AN1110">
        <f>indirect(address(1110,39))+indirect(address(1108,40))-indirect(address(1109,40))</f>
        <v>0</v>
      </c>
      <c r="AO1110">
        <f>indirect(address(1110,40))+indirect(address(1108,41))-indirect(address(1109,41))</f>
        <v>0</v>
      </c>
    </row>
    <row r="1111" spans="1:41">
      <c r="I1111" t="s">
        <v>14</v>
      </c>
      <c r="AO1111">
        <f>sum(j1111:an1111)</f>
        <v>0</v>
      </c>
    </row>
    <row r="1112" spans="1:41">
      <c r="I1112" t="s">
        <v>15</v>
      </c>
      <c r="J1112">
        <f>sumif(Plan!B:B,"211-058500-105",Plan!j:j)</f>
        <v>0</v>
      </c>
      <c r="K1112">
        <f>sumif(Plan!B:B,"211-058500-105",Plan!k:k)</f>
        <v>0</v>
      </c>
      <c r="L1112">
        <f>sumif(Plan!B:B,"211-058500-105",Plan!l:l)</f>
        <v>0</v>
      </c>
      <c r="M1112">
        <f>sumif(Plan!B:B,"211-058500-105",Plan!m:m)</f>
        <v>0</v>
      </c>
      <c r="N1112">
        <f>sumif(Plan!B:B,"211-058500-105",Plan!n:n)</f>
        <v>0</v>
      </c>
      <c r="O1112">
        <f>sumif(Plan!B:B,"211-058500-105",Plan!o:o)</f>
        <v>0</v>
      </c>
      <c r="P1112">
        <f>sumif(Plan!B:B,"211-058500-105",Plan!p:p)</f>
        <v>0</v>
      </c>
      <c r="Q1112">
        <f>sumif(Plan!B:B,"211-058500-105",Plan!q:q)</f>
        <v>0</v>
      </c>
      <c r="R1112">
        <f>sumif(Plan!B:B,"211-058500-105",Plan!r:r)</f>
        <v>0</v>
      </c>
      <c r="S1112">
        <f>sumif(Plan!B:B,"211-058500-105",Plan!s:s)</f>
        <v>0</v>
      </c>
      <c r="T1112">
        <f>sumif(Plan!B:B,"211-058500-105",Plan!t:t)</f>
        <v>0</v>
      </c>
      <c r="U1112">
        <f>sumif(Plan!B:B,"211-058500-105",Plan!u:u)</f>
        <v>0</v>
      </c>
      <c r="V1112">
        <f>sumif(Plan!B:B,"211-058500-105",Plan!v:v)</f>
        <v>0</v>
      </c>
      <c r="W1112">
        <f>sumif(Plan!B:B,"211-058500-105",Plan!w:w)</f>
        <v>0</v>
      </c>
      <c r="X1112">
        <f>sumif(Plan!B:B,"211-058500-105",Plan!x:x)</f>
        <v>0</v>
      </c>
      <c r="Y1112">
        <f>sumif(Plan!B:B,"211-058500-105",Plan!y:y)</f>
        <v>0</v>
      </c>
      <c r="Z1112">
        <f>sumif(Plan!B:B,"211-058500-105",Plan!z:z)</f>
        <v>0</v>
      </c>
      <c r="AA1112">
        <f>sumif(Plan!B:B,"211-058500-105",Plan!aa:aa)</f>
        <v>0</v>
      </c>
      <c r="AB1112">
        <f>sumif(Plan!B:B,"211-058500-105",Plan!ab:ab)</f>
        <v>0</v>
      </c>
      <c r="AC1112">
        <f>sumif(Plan!B:B,"211-058500-105",Plan!ac:ac)</f>
        <v>0</v>
      </c>
      <c r="AD1112">
        <f>sumif(Plan!B:B,"211-058500-105",Plan!ad:ad)</f>
        <v>0</v>
      </c>
      <c r="AE1112">
        <f>sumif(Plan!B:B,"211-058500-105",Plan!ae:ae)</f>
        <v>0</v>
      </c>
      <c r="AF1112">
        <f>sumif(Plan!B:B,"211-058500-105",Plan!af:af)</f>
        <v>0</v>
      </c>
      <c r="AG1112">
        <f>sumif(Plan!B:B,"211-058500-105",Plan!ag:ag)</f>
        <v>0</v>
      </c>
      <c r="AH1112">
        <f>sumif(Plan!B:B,"211-058500-105",Plan!ah:ah)</f>
        <v>0</v>
      </c>
      <c r="AI1112">
        <f>sumif(Plan!B:B,"211-058500-105",Plan!ai:ai)</f>
        <v>0</v>
      </c>
      <c r="AJ1112">
        <f>sumif(Plan!B:B,"211-058500-105",Plan!aj:aj)</f>
        <v>0</v>
      </c>
      <c r="AK1112">
        <f>sumif(Plan!B:B,"211-058500-105",Plan!ak:ak)</f>
        <v>0</v>
      </c>
      <c r="AL1112">
        <f>sumif(Plan!B:B,"211-058500-105",Plan!al:al)</f>
        <v>0</v>
      </c>
      <c r="AM1112">
        <f>sumif(Plan!B:B,"211-058500-105",Plan!am:am)</f>
        <v>0</v>
      </c>
      <c r="AN1112">
        <f>sumif(Plan!B:B,"211-058500-105",Plan!an:an)</f>
        <v>0</v>
      </c>
      <c r="AO1112">
        <f>sumif(Plan!B:B,"211-058500-105",Plan!ao:ao)</f>
        <v>0</v>
      </c>
    </row>
    <row r="1113" spans="1:41">
      <c r="A1113" t="s">
        <v>22</v>
      </c>
      <c r="B1113" t="s">
        <v>725</v>
      </c>
      <c r="C1113" t="s">
        <v>726</v>
      </c>
      <c r="E1113">
        <v>2</v>
      </c>
      <c r="F1113" t="s">
        <v>13</v>
      </c>
      <c r="H1113" t="s">
        <v>16</v>
      </c>
      <c r="J1113">
        <f>indirect(address(1113,9))+indirect(address(1111,10))-indirect(address(1112,10))</f>
        <v>0</v>
      </c>
      <c r="K1113">
        <f>indirect(address(1113,10))+indirect(address(1111,11))-indirect(address(1112,11))</f>
        <v>0</v>
      </c>
      <c r="L1113">
        <f>indirect(address(1113,11))+indirect(address(1111,12))-indirect(address(1112,12))</f>
        <v>0</v>
      </c>
      <c r="M1113">
        <f>indirect(address(1113,12))+indirect(address(1111,13))-indirect(address(1112,13))</f>
        <v>0</v>
      </c>
      <c r="N1113">
        <f>indirect(address(1113,13))+indirect(address(1111,14))-indirect(address(1112,14))</f>
        <v>0</v>
      </c>
      <c r="O1113">
        <f>indirect(address(1113,14))+indirect(address(1111,15))-indirect(address(1112,15))</f>
        <v>0</v>
      </c>
      <c r="P1113">
        <f>indirect(address(1113,15))+indirect(address(1111,16))-indirect(address(1112,16))</f>
        <v>0</v>
      </c>
      <c r="Q1113">
        <f>indirect(address(1113,16))+indirect(address(1111,17))-indirect(address(1112,17))</f>
        <v>0</v>
      </c>
      <c r="R1113">
        <f>indirect(address(1113,17))+indirect(address(1111,18))-indirect(address(1112,18))</f>
        <v>0</v>
      </c>
      <c r="S1113">
        <f>indirect(address(1113,18))+indirect(address(1111,19))-indirect(address(1112,19))</f>
        <v>0</v>
      </c>
      <c r="T1113">
        <f>indirect(address(1113,19))+indirect(address(1111,20))-indirect(address(1112,20))</f>
        <v>0</v>
      </c>
      <c r="U1113">
        <f>indirect(address(1113,20))+indirect(address(1111,21))-indirect(address(1112,21))</f>
        <v>0</v>
      </c>
      <c r="V1113">
        <f>indirect(address(1113,21))+indirect(address(1111,22))-indirect(address(1112,22))</f>
        <v>0</v>
      </c>
      <c r="W1113">
        <f>indirect(address(1113,22))+indirect(address(1111,23))-indirect(address(1112,23))</f>
        <v>0</v>
      </c>
      <c r="X1113">
        <f>indirect(address(1113,23))+indirect(address(1111,24))-indirect(address(1112,24))</f>
        <v>0</v>
      </c>
      <c r="Y1113">
        <f>indirect(address(1113,24))+indirect(address(1111,25))-indirect(address(1112,25))</f>
        <v>0</v>
      </c>
      <c r="Z1113">
        <f>indirect(address(1113,25))+indirect(address(1111,26))-indirect(address(1112,26))</f>
        <v>0</v>
      </c>
      <c r="AA1113">
        <f>indirect(address(1113,26))+indirect(address(1111,27))-indirect(address(1112,27))</f>
        <v>0</v>
      </c>
      <c r="AB1113">
        <f>indirect(address(1113,27))+indirect(address(1111,28))-indirect(address(1112,28))</f>
        <v>0</v>
      </c>
      <c r="AC1113">
        <f>indirect(address(1113,28))+indirect(address(1111,29))-indirect(address(1112,29))</f>
        <v>0</v>
      </c>
      <c r="AD1113">
        <f>indirect(address(1113,29))+indirect(address(1111,30))-indirect(address(1112,30))</f>
        <v>0</v>
      </c>
      <c r="AE1113">
        <f>indirect(address(1113,30))+indirect(address(1111,31))-indirect(address(1112,31))</f>
        <v>0</v>
      </c>
      <c r="AF1113">
        <f>indirect(address(1113,31))+indirect(address(1111,32))-indirect(address(1112,32))</f>
        <v>0</v>
      </c>
      <c r="AG1113">
        <f>indirect(address(1113,32))+indirect(address(1111,33))-indirect(address(1112,33))</f>
        <v>0</v>
      </c>
      <c r="AH1113">
        <f>indirect(address(1113,33))+indirect(address(1111,34))-indirect(address(1112,34))</f>
        <v>0</v>
      </c>
      <c r="AI1113">
        <f>indirect(address(1113,34))+indirect(address(1111,35))-indirect(address(1112,35))</f>
        <v>0</v>
      </c>
      <c r="AJ1113">
        <f>indirect(address(1113,35))+indirect(address(1111,36))-indirect(address(1112,36))</f>
        <v>0</v>
      </c>
      <c r="AK1113">
        <f>indirect(address(1113,36))+indirect(address(1111,37))-indirect(address(1112,37))</f>
        <v>0</v>
      </c>
      <c r="AL1113">
        <f>indirect(address(1113,37))+indirect(address(1111,38))-indirect(address(1112,38))</f>
        <v>0</v>
      </c>
      <c r="AM1113">
        <f>indirect(address(1113,38))+indirect(address(1111,39))-indirect(address(1112,39))</f>
        <v>0</v>
      </c>
      <c r="AN1113">
        <f>indirect(address(1113,39))+indirect(address(1111,40))-indirect(address(1112,40))</f>
        <v>0</v>
      </c>
      <c r="AO1113">
        <f>indirect(address(1113,40))+indirect(address(1111,41))-indirect(address(1112,41))</f>
        <v>0</v>
      </c>
    </row>
    <row r="1114" spans="1:41">
      <c r="I1114" t="s">
        <v>14</v>
      </c>
      <c r="AO1114">
        <f>sum(j1114:an1114)</f>
        <v>0</v>
      </c>
    </row>
    <row r="1115" spans="1:41">
      <c r="I1115" t="s">
        <v>15</v>
      </c>
      <c r="J1115">
        <f>sumif(Plan!B:B,"806-496000-110",Plan!j:j)</f>
        <v>0</v>
      </c>
      <c r="K1115">
        <f>sumif(Plan!B:B,"806-496000-110",Plan!k:k)</f>
        <v>0</v>
      </c>
      <c r="L1115">
        <f>sumif(Plan!B:B,"806-496000-110",Plan!l:l)</f>
        <v>0</v>
      </c>
      <c r="M1115">
        <f>sumif(Plan!B:B,"806-496000-110",Plan!m:m)</f>
        <v>0</v>
      </c>
      <c r="N1115">
        <f>sumif(Plan!B:B,"806-496000-110",Plan!n:n)</f>
        <v>0</v>
      </c>
      <c r="O1115">
        <f>sumif(Plan!B:B,"806-496000-110",Plan!o:o)</f>
        <v>0</v>
      </c>
      <c r="P1115">
        <f>sumif(Plan!B:B,"806-496000-110",Plan!p:p)</f>
        <v>0</v>
      </c>
      <c r="Q1115">
        <f>sumif(Plan!B:B,"806-496000-110",Plan!q:q)</f>
        <v>0</v>
      </c>
      <c r="R1115">
        <f>sumif(Plan!B:B,"806-496000-110",Plan!r:r)</f>
        <v>0</v>
      </c>
      <c r="S1115">
        <f>sumif(Plan!B:B,"806-496000-110",Plan!s:s)</f>
        <v>0</v>
      </c>
      <c r="T1115">
        <f>sumif(Plan!B:B,"806-496000-110",Plan!t:t)</f>
        <v>0</v>
      </c>
      <c r="U1115">
        <f>sumif(Plan!B:B,"806-496000-110",Plan!u:u)</f>
        <v>0</v>
      </c>
      <c r="V1115">
        <f>sumif(Plan!B:B,"806-496000-110",Plan!v:v)</f>
        <v>0</v>
      </c>
      <c r="W1115">
        <f>sumif(Plan!B:B,"806-496000-110",Plan!w:w)</f>
        <v>0</v>
      </c>
      <c r="X1115">
        <f>sumif(Plan!B:B,"806-496000-110",Plan!x:x)</f>
        <v>0</v>
      </c>
      <c r="Y1115">
        <f>sumif(Plan!B:B,"806-496000-110",Plan!y:y)</f>
        <v>0</v>
      </c>
      <c r="Z1115">
        <f>sumif(Plan!B:B,"806-496000-110",Plan!z:z)</f>
        <v>0</v>
      </c>
      <c r="AA1115">
        <f>sumif(Plan!B:B,"806-496000-110",Plan!aa:aa)</f>
        <v>0</v>
      </c>
      <c r="AB1115">
        <f>sumif(Plan!B:B,"806-496000-110",Plan!ab:ab)</f>
        <v>0</v>
      </c>
      <c r="AC1115">
        <f>sumif(Plan!B:B,"806-496000-110",Plan!ac:ac)</f>
        <v>0</v>
      </c>
      <c r="AD1115">
        <f>sumif(Plan!B:B,"806-496000-110",Plan!ad:ad)</f>
        <v>0</v>
      </c>
      <c r="AE1115">
        <f>sumif(Plan!B:B,"806-496000-110",Plan!ae:ae)</f>
        <v>0</v>
      </c>
      <c r="AF1115">
        <f>sumif(Plan!B:B,"806-496000-110",Plan!af:af)</f>
        <v>0</v>
      </c>
      <c r="AG1115">
        <f>sumif(Plan!B:B,"806-496000-110",Plan!ag:ag)</f>
        <v>0</v>
      </c>
      <c r="AH1115">
        <f>sumif(Plan!B:B,"806-496000-110",Plan!ah:ah)</f>
        <v>0</v>
      </c>
      <c r="AI1115">
        <f>sumif(Plan!B:B,"806-496000-110",Plan!ai:ai)</f>
        <v>0</v>
      </c>
      <c r="AJ1115">
        <f>sumif(Plan!B:B,"806-496000-110",Plan!aj:aj)</f>
        <v>0</v>
      </c>
      <c r="AK1115">
        <f>sumif(Plan!B:B,"806-496000-110",Plan!ak:ak)</f>
        <v>0</v>
      </c>
      <c r="AL1115">
        <f>sumif(Plan!B:B,"806-496000-110",Plan!al:al)</f>
        <v>0</v>
      </c>
      <c r="AM1115">
        <f>sumif(Plan!B:B,"806-496000-110",Plan!am:am)</f>
        <v>0</v>
      </c>
      <c r="AN1115">
        <f>sumif(Plan!B:B,"806-496000-110",Plan!an:an)</f>
        <v>0</v>
      </c>
      <c r="AO1115">
        <f>sumif(Plan!B:B,"806-496000-110",Plan!ao:ao)</f>
        <v>0</v>
      </c>
    </row>
    <row r="1116" spans="1:41">
      <c r="A1116" t="s">
        <v>17</v>
      </c>
      <c r="B1116" t="s">
        <v>728</v>
      </c>
      <c r="C1116" t="s">
        <v>726</v>
      </c>
      <c r="E1116">
        <v>1</v>
      </c>
      <c r="F1116" t="s">
        <v>13</v>
      </c>
      <c r="H1116" t="s">
        <v>16</v>
      </c>
      <c r="J1116">
        <f>indirect(address(1116,9))+indirect(address(1114,10))-indirect(address(1115,10))</f>
        <v>0</v>
      </c>
      <c r="K1116">
        <f>indirect(address(1116,10))+indirect(address(1114,11))-indirect(address(1115,11))</f>
        <v>0</v>
      </c>
      <c r="L1116">
        <f>indirect(address(1116,11))+indirect(address(1114,12))-indirect(address(1115,12))</f>
        <v>0</v>
      </c>
      <c r="M1116">
        <f>indirect(address(1116,12))+indirect(address(1114,13))-indirect(address(1115,13))</f>
        <v>0</v>
      </c>
      <c r="N1116">
        <f>indirect(address(1116,13))+indirect(address(1114,14))-indirect(address(1115,14))</f>
        <v>0</v>
      </c>
      <c r="O1116">
        <f>indirect(address(1116,14))+indirect(address(1114,15))-indirect(address(1115,15))</f>
        <v>0</v>
      </c>
      <c r="P1116">
        <f>indirect(address(1116,15))+indirect(address(1114,16))-indirect(address(1115,16))</f>
        <v>0</v>
      </c>
      <c r="Q1116">
        <f>indirect(address(1116,16))+indirect(address(1114,17))-indirect(address(1115,17))</f>
        <v>0</v>
      </c>
      <c r="R1116">
        <f>indirect(address(1116,17))+indirect(address(1114,18))-indirect(address(1115,18))</f>
        <v>0</v>
      </c>
      <c r="S1116">
        <f>indirect(address(1116,18))+indirect(address(1114,19))-indirect(address(1115,19))</f>
        <v>0</v>
      </c>
      <c r="T1116">
        <f>indirect(address(1116,19))+indirect(address(1114,20))-indirect(address(1115,20))</f>
        <v>0</v>
      </c>
      <c r="U1116">
        <f>indirect(address(1116,20))+indirect(address(1114,21))-indirect(address(1115,21))</f>
        <v>0</v>
      </c>
      <c r="V1116">
        <f>indirect(address(1116,21))+indirect(address(1114,22))-indirect(address(1115,22))</f>
        <v>0</v>
      </c>
      <c r="W1116">
        <f>indirect(address(1116,22))+indirect(address(1114,23))-indirect(address(1115,23))</f>
        <v>0</v>
      </c>
      <c r="X1116">
        <f>indirect(address(1116,23))+indirect(address(1114,24))-indirect(address(1115,24))</f>
        <v>0</v>
      </c>
      <c r="Y1116">
        <f>indirect(address(1116,24))+indirect(address(1114,25))-indirect(address(1115,25))</f>
        <v>0</v>
      </c>
      <c r="Z1116">
        <f>indirect(address(1116,25))+indirect(address(1114,26))-indirect(address(1115,26))</f>
        <v>0</v>
      </c>
      <c r="AA1116">
        <f>indirect(address(1116,26))+indirect(address(1114,27))-indirect(address(1115,27))</f>
        <v>0</v>
      </c>
      <c r="AB1116">
        <f>indirect(address(1116,27))+indirect(address(1114,28))-indirect(address(1115,28))</f>
        <v>0</v>
      </c>
      <c r="AC1116">
        <f>indirect(address(1116,28))+indirect(address(1114,29))-indirect(address(1115,29))</f>
        <v>0</v>
      </c>
      <c r="AD1116">
        <f>indirect(address(1116,29))+indirect(address(1114,30))-indirect(address(1115,30))</f>
        <v>0</v>
      </c>
      <c r="AE1116">
        <f>indirect(address(1116,30))+indirect(address(1114,31))-indirect(address(1115,31))</f>
        <v>0</v>
      </c>
      <c r="AF1116">
        <f>indirect(address(1116,31))+indirect(address(1114,32))-indirect(address(1115,32))</f>
        <v>0</v>
      </c>
      <c r="AG1116">
        <f>indirect(address(1116,32))+indirect(address(1114,33))-indirect(address(1115,33))</f>
        <v>0</v>
      </c>
      <c r="AH1116">
        <f>indirect(address(1116,33))+indirect(address(1114,34))-indirect(address(1115,34))</f>
        <v>0</v>
      </c>
      <c r="AI1116">
        <f>indirect(address(1116,34))+indirect(address(1114,35))-indirect(address(1115,35))</f>
        <v>0</v>
      </c>
      <c r="AJ1116">
        <f>indirect(address(1116,35))+indirect(address(1114,36))-indirect(address(1115,36))</f>
        <v>0</v>
      </c>
      <c r="AK1116">
        <f>indirect(address(1116,36))+indirect(address(1114,37))-indirect(address(1115,37))</f>
        <v>0</v>
      </c>
      <c r="AL1116">
        <f>indirect(address(1116,37))+indirect(address(1114,38))-indirect(address(1115,38))</f>
        <v>0</v>
      </c>
      <c r="AM1116">
        <f>indirect(address(1116,38))+indirect(address(1114,39))-indirect(address(1115,39))</f>
        <v>0</v>
      </c>
      <c r="AN1116">
        <f>indirect(address(1116,39))+indirect(address(1114,40))-indirect(address(1115,40))</f>
        <v>0</v>
      </c>
      <c r="AO1116">
        <f>indirect(address(1116,40))+indirect(address(1114,41))-indirect(address(1115,41))</f>
        <v>0</v>
      </c>
    </row>
    <row r="1117" spans="1:41">
      <c r="I1117" t="s">
        <v>14</v>
      </c>
      <c r="AO1117">
        <f>sum(j1117:an1117)</f>
        <v>0</v>
      </c>
    </row>
    <row r="1118" spans="1:41">
      <c r="I1118" t="s">
        <v>15</v>
      </c>
      <c r="J1118">
        <f>sumif(Plan!B:B,"906-497000-110",Plan!j:j)</f>
        <v>0</v>
      </c>
      <c r="K1118">
        <f>sumif(Plan!B:B,"906-497000-110",Plan!k:k)</f>
        <v>0</v>
      </c>
      <c r="L1118">
        <f>sumif(Plan!B:B,"906-497000-110",Plan!l:l)</f>
        <v>0</v>
      </c>
      <c r="M1118">
        <f>sumif(Plan!B:B,"906-497000-110",Plan!m:m)</f>
        <v>0</v>
      </c>
      <c r="N1118">
        <f>sumif(Plan!B:B,"906-497000-110",Plan!n:n)</f>
        <v>0</v>
      </c>
      <c r="O1118">
        <f>sumif(Plan!B:B,"906-497000-110",Plan!o:o)</f>
        <v>0</v>
      </c>
      <c r="P1118">
        <f>sumif(Plan!B:B,"906-497000-110",Plan!p:p)</f>
        <v>0</v>
      </c>
      <c r="Q1118">
        <f>sumif(Plan!B:B,"906-497000-110",Plan!q:q)</f>
        <v>0</v>
      </c>
      <c r="R1118">
        <f>sumif(Plan!B:B,"906-497000-110",Plan!r:r)</f>
        <v>0</v>
      </c>
      <c r="S1118">
        <f>sumif(Plan!B:B,"906-497000-110",Plan!s:s)</f>
        <v>0</v>
      </c>
      <c r="T1118">
        <f>sumif(Plan!B:B,"906-497000-110",Plan!t:t)</f>
        <v>0</v>
      </c>
      <c r="U1118">
        <f>sumif(Plan!B:B,"906-497000-110",Plan!u:u)</f>
        <v>0</v>
      </c>
      <c r="V1118">
        <f>sumif(Plan!B:B,"906-497000-110",Plan!v:v)</f>
        <v>0</v>
      </c>
      <c r="W1118">
        <f>sumif(Plan!B:B,"906-497000-110",Plan!w:w)</f>
        <v>0</v>
      </c>
      <c r="X1118">
        <f>sumif(Plan!B:B,"906-497000-110",Plan!x:x)</f>
        <v>0</v>
      </c>
      <c r="Y1118">
        <f>sumif(Plan!B:B,"906-497000-110",Plan!y:y)</f>
        <v>0</v>
      </c>
      <c r="Z1118">
        <f>sumif(Plan!B:B,"906-497000-110",Plan!z:z)</f>
        <v>0</v>
      </c>
      <c r="AA1118">
        <f>sumif(Plan!B:B,"906-497000-110",Plan!aa:aa)</f>
        <v>0</v>
      </c>
      <c r="AB1118">
        <f>sumif(Plan!B:B,"906-497000-110",Plan!ab:ab)</f>
        <v>0</v>
      </c>
      <c r="AC1118">
        <f>sumif(Plan!B:B,"906-497000-110",Plan!ac:ac)</f>
        <v>0</v>
      </c>
      <c r="AD1118">
        <f>sumif(Plan!B:B,"906-497000-110",Plan!ad:ad)</f>
        <v>0</v>
      </c>
      <c r="AE1118">
        <f>sumif(Plan!B:B,"906-497000-110",Plan!ae:ae)</f>
        <v>0</v>
      </c>
      <c r="AF1118">
        <f>sumif(Plan!B:B,"906-497000-110",Plan!af:af)</f>
        <v>0</v>
      </c>
      <c r="AG1118">
        <f>sumif(Plan!B:B,"906-497000-110",Plan!ag:ag)</f>
        <v>0</v>
      </c>
      <c r="AH1118">
        <f>sumif(Plan!B:B,"906-497000-110",Plan!ah:ah)</f>
        <v>0</v>
      </c>
      <c r="AI1118">
        <f>sumif(Plan!B:B,"906-497000-110",Plan!ai:ai)</f>
        <v>0</v>
      </c>
      <c r="AJ1118">
        <f>sumif(Plan!B:B,"906-497000-110",Plan!aj:aj)</f>
        <v>0</v>
      </c>
      <c r="AK1118">
        <f>sumif(Plan!B:B,"906-497000-110",Plan!ak:ak)</f>
        <v>0</v>
      </c>
      <c r="AL1118">
        <f>sumif(Plan!B:B,"906-497000-110",Plan!al:al)</f>
        <v>0</v>
      </c>
      <c r="AM1118">
        <f>sumif(Plan!B:B,"906-497000-110",Plan!am:am)</f>
        <v>0</v>
      </c>
      <c r="AN1118">
        <f>sumif(Plan!B:B,"906-497000-110",Plan!an:an)</f>
        <v>0</v>
      </c>
      <c r="AO1118">
        <f>sumif(Plan!B:B,"906-497000-110",Plan!ao:ao)</f>
        <v>0</v>
      </c>
    </row>
    <row r="1119" spans="1:41">
      <c r="A1119" t="s">
        <v>17</v>
      </c>
      <c r="B1119" t="s">
        <v>729</v>
      </c>
      <c r="C1119" t="s">
        <v>726</v>
      </c>
      <c r="E1119">
        <v>1</v>
      </c>
      <c r="F1119" t="s">
        <v>13</v>
      </c>
      <c r="H1119" t="s">
        <v>16</v>
      </c>
      <c r="J1119">
        <f>indirect(address(1119,9))+indirect(address(1117,10))-indirect(address(1118,10))</f>
        <v>0</v>
      </c>
      <c r="K1119">
        <f>indirect(address(1119,10))+indirect(address(1117,11))-indirect(address(1118,11))</f>
        <v>0</v>
      </c>
      <c r="L1119">
        <f>indirect(address(1119,11))+indirect(address(1117,12))-indirect(address(1118,12))</f>
        <v>0</v>
      </c>
      <c r="M1119">
        <f>indirect(address(1119,12))+indirect(address(1117,13))-indirect(address(1118,13))</f>
        <v>0</v>
      </c>
      <c r="N1119">
        <f>indirect(address(1119,13))+indirect(address(1117,14))-indirect(address(1118,14))</f>
        <v>0</v>
      </c>
      <c r="O1119">
        <f>indirect(address(1119,14))+indirect(address(1117,15))-indirect(address(1118,15))</f>
        <v>0</v>
      </c>
      <c r="P1119">
        <f>indirect(address(1119,15))+indirect(address(1117,16))-indirect(address(1118,16))</f>
        <v>0</v>
      </c>
      <c r="Q1119">
        <f>indirect(address(1119,16))+indirect(address(1117,17))-indirect(address(1118,17))</f>
        <v>0</v>
      </c>
      <c r="R1119">
        <f>indirect(address(1119,17))+indirect(address(1117,18))-indirect(address(1118,18))</f>
        <v>0</v>
      </c>
      <c r="S1119">
        <f>indirect(address(1119,18))+indirect(address(1117,19))-indirect(address(1118,19))</f>
        <v>0</v>
      </c>
      <c r="T1119">
        <f>indirect(address(1119,19))+indirect(address(1117,20))-indirect(address(1118,20))</f>
        <v>0</v>
      </c>
      <c r="U1119">
        <f>indirect(address(1119,20))+indirect(address(1117,21))-indirect(address(1118,21))</f>
        <v>0</v>
      </c>
      <c r="V1119">
        <f>indirect(address(1119,21))+indirect(address(1117,22))-indirect(address(1118,22))</f>
        <v>0</v>
      </c>
      <c r="W1119">
        <f>indirect(address(1119,22))+indirect(address(1117,23))-indirect(address(1118,23))</f>
        <v>0</v>
      </c>
      <c r="X1119">
        <f>indirect(address(1119,23))+indirect(address(1117,24))-indirect(address(1118,24))</f>
        <v>0</v>
      </c>
      <c r="Y1119">
        <f>indirect(address(1119,24))+indirect(address(1117,25))-indirect(address(1118,25))</f>
        <v>0</v>
      </c>
      <c r="Z1119">
        <f>indirect(address(1119,25))+indirect(address(1117,26))-indirect(address(1118,26))</f>
        <v>0</v>
      </c>
      <c r="AA1119">
        <f>indirect(address(1119,26))+indirect(address(1117,27))-indirect(address(1118,27))</f>
        <v>0</v>
      </c>
      <c r="AB1119">
        <f>indirect(address(1119,27))+indirect(address(1117,28))-indirect(address(1118,28))</f>
        <v>0</v>
      </c>
      <c r="AC1119">
        <f>indirect(address(1119,28))+indirect(address(1117,29))-indirect(address(1118,29))</f>
        <v>0</v>
      </c>
      <c r="AD1119">
        <f>indirect(address(1119,29))+indirect(address(1117,30))-indirect(address(1118,30))</f>
        <v>0</v>
      </c>
      <c r="AE1119">
        <f>indirect(address(1119,30))+indirect(address(1117,31))-indirect(address(1118,31))</f>
        <v>0</v>
      </c>
      <c r="AF1119">
        <f>indirect(address(1119,31))+indirect(address(1117,32))-indirect(address(1118,32))</f>
        <v>0</v>
      </c>
      <c r="AG1119">
        <f>indirect(address(1119,32))+indirect(address(1117,33))-indirect(address(1118,33))</f>
        <v>0</v>
      </c>
      <c r="AH1119">
        <f>indirect(address(1119,33))+indirect(address(1117,34))-indirect(address(1118,34))</f>
        <v>0</v>
      </c>
      <c r="AI1119">
        <f>indirect(address(1119,34))+indirect(address(1117,35))-indirect(address(1118,35))</f>
        <v>0</v>
      </c>
      <c r="AJ1119">
        <f>indirect(address(1119,35))+indirect(address(1117,36))-indirect(address(1118,36))</f>
        <v>0</v>
      </c>
      <c r="AK1119">
        <f>indirect(address(1119,36))+indirect(address(1117,37))-indirect(address(1118,37))</f>
        <v>0</v>
      </c>
      <c r="AL1119">
        <f>indirect(address(1119,37))+indirect(address(1117,38))-indirect(address(1118,38))</f>
        <v>0</v>
      </c>
      <c r="AM1119">
        <f>indirect(address(1119,38))+indirect(address(1117,39))-indirect(address(1118,39))</f>
        <v>0</v>
      </c>
      <c r="AN1119">
        <f>indirect(address(1119,39))+indirect(address(1117,40))-indirect(address(1118,40))</f>
        <v>0</v>
      </c>
      <c r="AO1119">
        <f>indirect(address(1119,40))+indirect(address(1117,41))-indirect(address(1118,41))</f>
        <v>0</v>
      </c>
    </row>
    <row r="1120" spans="1:41">
      <c r="I1120" t="s">
        <v>14</v>
      </c>
      <c r="AO1120">
        <f>sum(j1120:an1120)</f>
        <v>0</v>
      </c>
    </row>
    <row r="1121" spans="1:41">
      <c r="I1121" t="s">
        <v>15</v>
      </c>
      <c r="J1121">
        <f>sumif(Plan!B:B,"211-002500-255",Plan!j:j)</f>
        <v>0</v>
      </c>
      <c r="K1121">
        <f>sumif(Plan!B:B,"211-002500-255",Plan!k:k)</f>
        <v>0</v>
      </c>
      <c r="L1121">
        <f>sumif(Plan!B:B,"211-002500-255",Plan!l:l)</f>
        <v>0</v>
      </c>
      <c r="M1121">
        <f>sumif(Plan!B:B,"211-002500-255",Plan!m:m)</f>
        <v>0</v>
      </c>
      <c r="N1121">
        <f>sumif(Plan!B:B,"211-002500-255",Plan!n:n)</f>
        <v>0</v>
      </c>
      <c r="O1121">
        <f>sumif(Plan!B:B,"211-002500-255",Plan!o:o)</f>
        <v>0</v>
      </c>
      <c r="P1121">
        <f>sumif(Plan!B:B,"211-002500-255",Plan!p:p)</f>
        <v>0</v>
      </c>
      <c r="Q1121">
        <f>sumif(Plan!B:B,"211-002500-255",Plan!q:q)</f>
        <v>0</v>
      </c>
      <c r="R1121">
        <f>sumif(Plan!B:B,"211-002500-255",Plan!r:r)</f>
        <v>0</v>
      </c>
      <c r="S1121">
        <f>sumif(Plan!B:B,"211-002500-255",Plan!s:s)</f>
        <v>0</v>
      </c>
      <c r="T1121">
        <f>sumif(Plan!B:B,"211-002500-255",Plan!t:t)</f>
        <v>0</v>
      </c>
      <c r="U1121">
        <f>sumif(Plan!B:B,"211-002500-255",Plan!u:u)</f>
        <v>0</v>
      </c>
      <c r="V1121">
        <f>sumif(Plan!B:B,"211-002500-255",Plan!v:v)</f>
        <v>0</v>
      </c>
      <c r="W1121">
        <f>sumif(Plan!B:B,"211-002500-255",Plan!w:w)</f>
        <v>0</v>
      </c>
      <c r="X1121">
        <f>sumif(Plan!B:B,"211-002500-255",Plan!x:x)</f>
        <v>0</v>
      </c>
      <c r="Y1121">
        <f>sumif(Plan!B:B,"211-002500-255",Plan!y:y)</f>
        <v>0</v>
      </c>
      <c r="Z1121">
        <f>sumif(Plan!B:B,"211-002500-255",Plan!z:z)</f>
        <v>0</v>
      </c>
      <c r="AA1121">
        <f>sumif(Plan!B:B,"211-002500-255",Plan!aa:aa)</f>
        <v>0</v>
      </c>
      <c r="AB1121">
        <f>sumif(Plan!B:B,"211-002500-255",Plan!ab:ab)</f>
        <v>0</v>
      </c>
      <c r="AC1121">
        <f>sumif(Plan!B:B,"211-002500-255",Plan!ac:ac)</f>
        <v>0</v>
      </c>
      <c r="AD1121">
        <f>sumif(Plan!B:B,"211-002500-255",Plan!ad:ad)</f>
        <v>0</v>
      </c>
      <c r="AE1121">
        <f>sumif(Plan!B:B,"211-002500-255",Plan!ae:ae)</f>
        <v>0</v>
      </c>
      <c r="AF1121">
        <f>sumif(Plan!B:B,"211-002500-255",Plan!af:af)</f>
        <v>0</v>
      </c>
      <c r="AG1121">
        <f>sumif(Plan!B:B,"211-002500-255",Plan!ag:ag)</f>
        <v>0</v>
      </c>
      <c r="AH1121">
        <f>sumif(Plan!B:B,"211-002500-255",Plan!ah:ah)</f>
        <v>0</v>
      </c>
      <c r="AI1121">
        <f>sumif(Plan!B:B,"211-002500-255",Plan!ai:ai)</f>
        <v>0</v>
      </c>
      <c r="AJ1121">
        <f>sumif(Plan!B:B,"211-002500-255",Plan!aj:aj)</f>
        <v>0</v>
      </c>
      <c r="AK1121">
        <f>sumif(Plan!B:B,"211-002500-255",Plan!ak:ak)</f>
        <v>0</v>
      </c>
      <c r="AL1121">
        <f>sumif(Plan!B:B,"211-002500-255",Plan!al:al)</f>
        <v>0</v>
      </c>
      <c r="AM1121">
        <f>sumif(Plan!B:B,"211-002500-255",Plan!am:am)</f>
        <v>0</v>
      </c>
      <c r="AN1121">
        <f>sumif(Plan!B:B,"211-002500-255",Plan!an:an)</f>
        <v>0</v>
      </c>
      <c r="AO1121">
        <f>sumif(Plan!B:B,"211-002500-255",Plan!ao:ao)</f>
        <v>0</v>
      </c>
    </row>
    <row r="1122" spans="1:41">
      <c r="A1122" t="s">
        <v>22</v>
      </c>
      <c r="B1122" t="s">
        <v>730</v>
      </c>
      <c r="C1122" t="s">
        <v>731</v>
      </c>
      <c r="E1122">
        <v>1</v>
      </c>
      <c r="F1122" t="s">
        <v>13</v>
      </c>
      <c r="H1122" t="s">
        <v>16</v>
      </c>
      <c r="J1122">
        <f>indirect(address(1122,9))+indirect(address(1120,10))-indirect(address(1121,10))</f>
        <v>0</v>
      </c>
      <c r="K1122">
        <f>indirect(address(1122,10))+indirect(address(1120,11))-indirect(address(1121,11))</f>
        <v>0</v>
      </c>
      <c r="L1122">
        <f>indirect(address(1122,11))+indirect(address(1120,12))-indirect(address(1121,12))</f>
        <v>0</v>
      </c>
      <c r="M1122">
        <f>indirect(address(1122,12))+indirect(address(1120,13))-indirect(address(1121,13))</f>
        <v>0</v>
      </c>
      <c r="N1122">
        <f>indirect(address(1122,13))+indirect(address(1120,14))-indirect(address(1121,14))</f>
        <v>0</v>
      </c>
      <c r="O1122">
        <f>indirect(address(1122,14))+indirect(address(1120,15))-indirect(address(1121,15))</f>
        <v>0</v>
      </c>
      <c r="P1122">
        <f>indirect(address(1122,15))+indirect(address(1120,16))-indirect(address(1121,16))</f>
        <v>0</v>
      </c>
      <c r="Q1122">
        <f>indirect(address(1122,16))+indirect(address(1120,17))-indirect(address(1121,17))</f>
        <v>0</v>
      </c>
      <c r="R1122">
        <f>indirect(address(1122,17))+indirect(address(1120,18))-indirect(address(1121,18))</f>
        <v>0</v>
      </c>
      <c r="S1122">
        <f>indirect(address(1122,18))+indirect(address(1120,19))-indirect(address(1121,19))</f>
        <v>0</v>
      </c>
      <c r="T1122">
        <f>indirect(address(1122,19))+indirect(address(1120,20))-indirect(address(1121,20))</f>
        <v>0</v>
      </c>
      <c r="U1122">
        <f>indirect(address(1122,20))+indirect(address(1120,21))-indirect(address(1121,21))</f>
        <v>0</v>
      </c>
      <c r="V1122">
        <f>indirect(address(1122,21))+indirect(address(1120,22))-indirect(address(1121,22))</f>
        <v>0</v>
      </c>
      <c r="W1122">
        <f>indirect(address(1122,22))+indirect(address(1120,23))-indirect(address(1121,23))</f>
        <v>0</v>
      </c>
      <c r="X1122">
        <f>indirect(address(1122,23))+indirect(address(1120,24))-indirect(address(1121,24))</f>
        <v>0</v>
      </c>
      <c r="Y1122">
        <f>indirect(address(1122,24))+indirect(address(1120,25))-indirect(address(1121,25))</f>
        <v>0</v>
      </c>
      <c r="Z1122">
        <f>indirect(address(1122,25))+indirect(address(1120,26))-indirect(address(1121,26))</f>
        <v>0</v>
      </c>
      <c r="AA1122">
        <f>indirect(address(1122,26))+indirect(address(1120,27))-indirect(address(1121,27))</f>
        <v>0</v>
      </c>
      <c r="AB1122">
        <f>indirect(address(1122,27))+indirect(address(1120,28))-indirect(address(1121,28))</f>
        <v>0</v>
      </c>
      <c r="AC1122">
        <f>indirect(address(1122,28))+indirect(address(1120,29))-indirect(address(1121,29))</f>
        <v>0</v>
      </c>
      <c r="AD1122">
        <f>indirect(address(1122,29))+indirect(address(1120,30))-indirect(address(1121,30))</f>
        <v>0</v>
      </c>
      <c r="AE1122">
        <f>indirect(address(1122,30))+indirect(address(1120,31))-indirect(address(1121,31))</f>
        <v>0</v>
      </c>
      <c r="AF1122">
        <f>indirect(address(1122,31))+indirect(address(1120,32))-indirect(address(1121,32))</f>
        <v>0</v>
      </c>
      <c r="AG1122">
        <f>indirect(address(1122,32))+indirect(address(1120,33))-indirect(address(1121,33))</f>
        <v>0</v>
      </c>
      <c r="AH1122">
        <f>indirect(address(1122,33))+indirect(address(1120,34))-indirect(address(1121,34))</f>
        <v>0</v>
      </c>
      <c r="AI1122">
        <f>indirect(address(1122,34))+indirect(address(1120,35))-indirect(address(1121,35))</f>
        <v>0</v>
      </c>
      <c r="AJ1122">
        <f>indirect(address(1122,35))+indirect(address(1120,36))-indirect(address(1121,36))</f>
        <v>0</v>
      </c>
      <c r="AK1122">
        <f>indirect(address(1122,36))+indirect(address(1120,37))-indirect(address(1121,37))</f>
        <v>0</v>
      </c>
      <c r="AL1122">
        <f>indirect(address(1122,37))+indirect(address(1120,38))-indirect(address(1121,38))</f>
        <v>0</v>
      </c>
      <c r="AM1122">
        <f>indirect(address(1122,38))+indirect(address(1120,39))-indirect(address(1121,39))</f>
        <v>0</v>
      </c>
      <c r="AN1122">
        <f>indirect(address(1122,39))+indirect(address(1120,40))-indirect(address(1121,40))</f>
        <v>0</v>
      </c>
      <c r="AO1122">
        <f>indirect(address(1122,40))+indirect(address(1120,41))-indirect(address(1121,41))</f>
        <v>0</v>
      </c>
    </row>
    <row r="1123" spans="1:41">
      <c r="I1123" t="s">
        <v>14</v>
      </c>
      <c r="AO1123">
        <f>sum(j1123:an1123)</f>
        <v>0</v>
      </c>
    </row>
    <row r="1124" spans="1:41">
      <c r="I1124" t="s">
        <v>15</v>
      </c>
      <c r="J1124">
        <f>sumif(Plan!B:B,"211-159000-103",Plan!j:j)</f>
        <v>0</v>
      </c>
      <c r="K1124">
        <f>sumif(Plan!B:B,"211-159000-103",Plan!k:k)</f>
        <v>0</v>
      </c>
      <c r="L1124">
        <f>sumif(Plan!B:B,"211-159000-103",Plan!l:l)</f>
        <v>0</v>
      </c>
      <c r="M1124">
        <f>sumif(Plan!B:B,"211-159000-103",Plan!m:m)</f>
        <v>0</v>
      </c>
      <c r="N1124">
        <f>sumif(Plan!B:B,"211-159000-103",Plan!n:n)</f>
        <v>0</v>
      </c>
      <c r="O1124">
        <f>sumif(Plan!B:B,"211-159000-103",Plan!o:o)</f>
        <v>0</v>
      </c>
      <c r="P1124">
        <f>sumif(Plan!B:B,"211-159000-103",Plan!p:p)</f>
        <v>0</v>
      </c>
      <c r="Q1124">
        <f>sumif(Plan!B:B,"211-159000-103",Plan!q:q)</f>
        <v>0</v>
      </c>
      <c r="R1124">
        <f>sumif(Plan!B:B,"211-159000-103",Plan!r:r)</f>
        <v>0</v>
      </c>
      <c r="S1124">
        <f>sumif(Plan!B:B,"211-159000-103",Plan!s:s)</f>
        <v>0</v>
      </c>
      <c r="T1124">
        <f>sumif(Plan!B:B,"211-159000-103",Plan!t:t)</f>
        <v>0</v>
      </c>
      <c r="U1124">
        <f>sumif(Plan!B:B,"211-159000-103",Plan!u:u)</f>
        <v>0</v>
      </c>
      <c r="V1124">
        <f>sumif(Plan!B:B,"211-159000-103",Plan!v:v)</f>
        <v>0</v>
      </c>
      <c r="W1124">
        <f>sumif(Plan!B:B,"211-159000-103",Plan!w:w)</f>
        <v>0</v>
      </c>
      <c r="X1124">
        <f>sumif(Plan!B:B,"211-159000-103",Plan!x:x)</f>
        <v>0</v>
      </c>
      <c r="Y1124">
        <f>sumif(Plan!B:B,"211-159000-103",Plan!y:y)</f>
        <v>0</v>
      </c>
      <c r="Z1124">
        <f>sumif(Plan!B:B,"211-159000-103",Plan!z:z)</f>
        <v>0</v>
      </c>
      <c r="AA1124">
        <f>sumif(Plan!B:B,"211-159000-103",Plan!aa:aa)</f>
        <v>0</v>
      </c>
      <c r="AB1124">
        <f>sumif(Plan!B:B,"211-159000-103",Plan!ab:ab)</f>
        <v>0</v>
      </c>
      <c r="AC1124">
        <f>sumif(Plan!B:B,"211-159000-103",Plan!ac:ac)</f>
        <v>0</v>
      </c>
      <c r="AD1124">
        <f>sumif(Plan!B:B,"211-159000-103",Plan!ad:ad)</f>
        <v>0</v>
      </c>
      <c r="AE1124">
        <f>sumif(Plan!B:B,"211-159000-103",Plan!ae:ae)</f>
        <v>0</v>
      </c>
      <c r="AF1124">
        <f>sumif(Plan!B:B,"211-159000-103",Plan!af:af)</f>
        <v>0</v>
      </c>
      <c r="AG1124">
        <f>sumif(Plan!B:B,"211-159000-103",Plan!ag:ag)</f>
        <v>0</v>
      </c>
      <c r="AH1124">
        <f>sumif(Plan!B:B,"211-159000-103",Plan!ah:ah)</f>
        <v>0</v>
      </c>
      <c r="AI1124">
        <f>sumif(Plan!B:B,"211-159000-103",Plan!ai:ai)</f>
        <v>0</v>
      </c>
      <c r="AJ1124">
        <f>sumif(Plan!B:B,"211-159000-103",Plan!aj:aj)</f>
        <v>0</v>
      </c>
      <c r="AK1124">
        <f>sumif(Plan!B:B,"211-159000-103",Plan!ak:ak)</f>
        <v>0</v>
      </c>
      <c r="AL1124">
        <f>sumif(Plan!B:B,"211-159000-103",Plan!al:al)</f>
        <v>0</v>
      </c>
      <c r="AM1124">
        <f>sumif(Plan!B:B,"211-159000-103",Plan!am:am)</f>
        <v>0</v>
      </c>
      <c r="AN1124">
        <f>sumif(Plan!B:B,"211-159000-103",Plan!an:an)</f>
        <v>0</v>
      </c>
      <c r="AO1124">
        <f>sumif(Plan!B:B,"211-159000-103",Plan!ao:ao)</f>
        <v>0</v>
      </c>
    </row>
    <row r="1125" spans="1:41">
      <c r="A1125" t="s">
        <v>22</v>
      </c>
      <c r="B1125" t="s">
        <v>732</v>
      </c>
      <c r="C1125" t="s">
        <v>733</v>
      </c>
      <c r="E1125">
        <v>1</v>
      </c>
      <c r="F1125" t="s">
        <v>13</v>
      </c>
      <c r="H1125" t="s">
        <v>16</v>
      </c>
      <c r="J1125">
        <f>indirect(address(1125,9))+indirect(address(1123,10))-indirect(address(1124,10))</f>
        <v>0</v>
      </c>
      <c r="K1125">
        <f>indirect(address(1125,10))+indirect(address(1123,11))-indirect(address(1124,11))</f>
        <v>0</v>
      </c>
      <c r="L1125">
        <f>indirect(address(1125,11))+indirect(address(1123,12))-indirect(address(1124,12))</f>
        <v>0</v>
      </c>
      <c r="M1125">
        <f>indirect(address(1125,12))+indirect(address(1123,13))-indirect(address(1124,13))</f>
        <v>0</v>
      </c>
      <c r="N1125">
        <f>indirect(address(1125,13))+indirect(address(1123,14))-indirect(address(1124,14))</f>
        <v>0</v>
      </c>
      <c r="O1125">
        <f>indirect(address(1125,14))+indirect(address(1123,15))-indirect(address(1124,15))</f>
        <v>0</v>
      </c>
      <c r="P1125">
        <f>indirect(address(1125,15))+indirect(address(1123,16))-indirect(address(1124,16))</f>
        <v>0</v>
      </c>
      <c r="Q1125">
        <f>indirect(address(1125,16))+indirect(address(1123,17))-indirect(address(1124,17))</f>
        <v>0</v>
      </c>
      <c r="R1125">
        <f>indirect(address(1125,17))+indirect(address(1123,18))-indirect(address(1124,18))</f>
        <v>0</v>
      </c>
      <c r="S1125">
        <f>indirect(address(1125,18))+indirect(address(1123,19))-indirect(address(1124,19))</f>
        <v>0</v>
      </c>
      <c r="T1125">
        <f>indirect(address(1125,19))+indirect(address(1123,20))-indirect(address(1124,20))</f>
        <v>0</v>
      </c>
      <c r="U1125">
        <f>indirect(address(1125,20))+indirect(address(1123,21))-indirect(address(1124,21))</f>
        <v>0</v>
      </c>
      <c r="V1125">
        <f>indirect(address(1125,21))+indirect(address(1123,22))-indirect(address(1124,22))</f>
        <v>0</v>
      </c>
      <c r="W1125">
        <f>indirect(address(1125,22))+indirect(address(1123,23))-indirect(address(1124,23))</f>
        <v>0</v>
      </c>
      <c r="X1125">
        <f>indirect(address(1125,23))+indirect(address(1123,24))-indirect(address(1124,24))</f>
        <v>0</v>
      </c>
      <c r="Y1125">
        <f>indirect(address(1125,24))+indirect(address(1123,25))-indirect(address(1124,25))</f>
        <v>0</v>
      </c>
      <c r="Z1125">
        <f>indirect(address(1125,25))+indirect(address(1123,26))-indirect(address(1124,26))</f>
        <v>0</v>
      </c>
      <c r="AA1125">
        <f>indirect(address(1125,26))+indirect(address(1123,27))-indirect(address(1124,27))</f>
        <v>0</v>
      </c>
      <c r="AB1125">
        <f>indirect(address(1125,27))+indirect(address(1123,28))-indirect(address(1124,28))</f>
        <v>0</v>
      </c>
      <c r="AC1125">
        <f>indirect(address(1125,28))+indirect(address(1123,29))-indirect(address(1124,29))</f>
        <v>0</v>
      </c>
      <c r="AD1125">
        <f>indirect(address(1125,29))+indirect(address(1123,30))-indirect(address(1124,30))</f>
        <v>0</v>
      </c>
      <c r="AE1125">
        <f>indirect(address(1125,30))+indirect(address(1123,31))-indirect(address(1124,31))</f>
        <v>0</v>
      </c>
      <c r="AF1125">
        <f>indirect(address(1125,31))+indirect(address(1123,32))-indirect(address(1124,32))</f>
        <v>0</v>
      </c>
      <c r="AG1125">
        <f>indirect(address(1125,32))+indirect(address(1123,33))-indirect(address(1124,33))</f>
        <v>0</v>
      </c>
      <c r="AH1125">
        <f>indirect(address(1125,33))+indirect(address(1123,34))-indirect(address(1124,34))</f>
        <v>0</v>
      </c>
      <c r="AI1125">
        <f>indirect(address(1125,34))+indirect(address(1123,35))-indirect(address(1124,35))</f>
        <v>0</v>
      </c>
      <c r="AJ1125">
        <f>indirect(address(1125,35))+indirect(address(1123,36))-indirect(address(1124,36))</f>
        <v>0</v>
      </c>
      <c r="AK1125">
        <f>indirect(address(1125,36))+indirect(address(1123,37))-indirect(address(1124,37))</f>
        <v>0</v>
      </c>
      <c r="AL1125">
        <f>indirect(address(1125,37))+indirect(address(1123,38))-indirect(address(1124,38))</f>
        <v>0</v>
      </c>
      <c r="AM1125">
        <f>indirect(address(1125,38))+indirect(address(1123,39))-indirect(address(1124,39))</f>
        <v>0</v>
      </c>
      <c r="AN1125">
        <f>indirect(address(1125,39))+indirect(address(1123,40))-indirect(address(1124,40))</f>
        <v>0</v>
      </c>
      <c r="AO1125">
        <f>indirect(address(1125,40))+indirect(address(1123,41))-indirect(address(1124,41))</f>
        <v>0</v>
      </c>
    </row>
    <row r="1126" spans="1:41">
      <c r="I1126" t="s">
        <v>14</v>
      </c>
      <c r="AO1126">
        <f>sum(j1126:an1126)</f>
        <v>0</v>
      </c>
    </row>
    <row r="1127" spans="1:41">
      <c r="I1127" t="s">
        <v>15</v>
      </c>
      <c r="J1127">
        <f>sumif(Plan!B:B,"211-000100-000",Plan!j:j)</f>
        <v>0</v>
      </c>
      <c r="K1127">
        <f>sumif(Plan!B:B,"211-000100-000",Plan!k:k)</f>
        <v>0</v>
      </c>
      <c r="L1127">
        <f>sumif(Plan!B:B,"211-000100-000",Plan!l:l)</f>
        <v>0</v>
      </c>
      <c r="M1127">
        <f>sumif(Plan!B:B,"211-000100-000",Plan!m:m)</f>
        <v>0</v>
      </c>
      <c r="N1127">
        <f>sumif(Plan!B:B,"211-000100-000",Plan!n:n)</f>
        <v>0</v>
      </c>
      <c r="O1127">
        <f>sumif(Plan!B:B,"211-000100-000",Plan!o:o)</f>
        <v>0</v>
      </c>
      <c r="P1127">
        <f>sumif(Plan!B:B,"211-000100-000",Plan!p:p)</f>
        <v>0</v>
      </c>
      <c r="Q1127">
        <f>sumif(Plan!B:B,"211-000100-000",Plan!q:q)</f>
        <v>0</v>
      </c>
      <c r="R1127">
        <f>sumif(Plan!B:B,"211-000100-000",Plan!r:r)</f>
        <v>0</v>
      </c>
      <c r="S1127">
        <f>sumif(Plan!B:B,"211-000100-000",Plan!s:s)</f>
        <v>0</v>
      </c>
      <c r="T1127">
        <f>sumif(Plan!B:B,"211-000100-000",Plan!t:t)</f>
        <v>0</v>
      </c>
      <c r="U1127">
        <f>sumif(Plan!B:B,"211-000100-000",Plan!u:u)</f>
        <v>0</v>
      </c>
      <c r="V1127">
        <f>sumif(Plan!B:B,"211-000100-000",Plan!v:v)</f>
        <v>0</v>
      </c>
      <c r="W1127">
        <f>sumif(Plan!B:B,"211-000100-000",Plan!w:w)</f>
        <v>0</v>
      </c>
      <c r="X1127">
        <f>sumif(Plan!B:B,"211-000100-000",Plan!x:x)</f>
        <v>0</v>
      </c>
      <c r="Y1127">
        <f>sumif(Plan!B:B,"211-000100-000",Plan!y:y)</f>
        <v>0</v>
      </c>
      <c r="Z1127">
        <f>sumif(Plan!B:B,"211-000100-000",Plan!z:z)</f>
        <v>0</v>
      </c>
      <c r="AA1127">
        <f>sumif(Plan!B:B,"211-000100-000",Plan!aa:aa)</f>
        <v>0</v>
      </c>
      <c r="AB1127">
        <f>sumif(Plan!B:B,"211-000100-000",Plan!ab:ab)</f>
        <v>0</v>
      </c>
      <c r="AC1127">
        <f>sumif(Plan!B:B,"211-000100-000",Plan!ac:ac)</f>
        <v>0</v>
      </c>
      <c r="AD1127">
        <f>sumif(Plan!B:B,"211-000100-000",Plan!ad:ad)</f>
        <v>0</v>
      </c>
      <c r="AE1127">
        <f>sumif(Plan!B:B,"211-000100-000",Plan!ae:ae)</f>
        <v>0</v>
      </c>
      <c r="AF1127">
        <f>sumif(Plan!B:B,"211-000100-000",Plan!af:af)</f>
        <v>0</v>
      </c>
      <c r="AG1127">
        <f>sumif(Plan!B:B,"211-000100-000",Plan!ag:ag)</f>
        <v>0</v>
      </c>
      <c r="AH1127">
        <f>sumif(Plan!B:B,"211-000100-000",Plan!ah:ah)</f>
        <v>0</v>
      </c>
      <c r="AI1127">
        <f>sumif(Plan!B:B,"211-000100-000",Plan!ai:ai)</f>
        <v>0</v>
      </c>
      <c r="AJ1127">
        <f>sumif(Plan!B:B,"211-000100-000",Plan!aj:aj)</f>
        <v>0</v>
      </c>
      <c r="AK1127">
        <f>sumif(Plan!B:B,"211-000100-000",Plan!ak:ak)</f>
        <v>0</v>
      </c>
      <c r="AL1127">
        <f>sumif(Plan!B:B,"211-000100-000",Plan!al:al)</f>
        <v>0</v>
      </c>
      <c r="AM1127">
        <f>sumif(Plan!B:B,"211-000100-000",Plan!am:am)</f>
        <v>0</v>
      </c>
      <c r="AN1127">
        <f>sumif(Plan!B:B,"211-000100-000",Plan!an:an)</f>
        <v>0</v>
      </c>
      <c r="AO1127">
        <f>sumif(Plan!B:B,"211-000100-000",Plan!ao:ao)</f>
        <v>0</v>
      </c>
    </row>
    <row r="1128" spans="1:41">
      <c r="A1128" t="s">
        <v>22</v>
      </c>
      <c r="B1128" t="s">
        <v>734</v>
      </c>
      <c r="C1128" t="s">
        <v>653</v>
      </c>
      <c r="E1128">
        <v>2</v>
      </c>
      <c r="F1128" t="s">
        <v>13</v>
      </c>
      <c r="H1128" t="s">
        <v>16</v>
      </c>
      <c r="J1128">
        <f>indirect(address(1128,9))+indirect(address(1126,10))-indirect(address(1127,10))</f>
        <v>0</v>
      </c>
      <c r="K1128">
        <f>indirect(address(1128,10))+indirect(address(1126,11))-indirect(address(1127,11))</f>
        <v>0</v>
      </c>
      <c r="L1128">
        <f>indirect(address(1128,11))+indirect(address(1126,12))-indirect(address(1127,12))</f>
        <v>0</v>
      </c>
      <c r="M1128">
        <f>indirect(address(1128,12))+indirect(address(1126,13))-indirect(address(1127,13))</f>
        <v>0</v>
      </c>
      <c r="N1128">
        <f>indirect(address(1128,13))+indirect(address(1126,14))-indirect(address(1127,14))</f>
        <v>0</v>
      </c>
      <c r="O1128">
        <f>indirect(address(1128,14))+indirect(address(1126,15))-indirect(address(1127,15))</f>
        <v>0</v>
      </c>
      <c r="P1128">
        <f>indirect(address(1128,15))+indirect(address(1126,16))-indirect(address(1127,16))</f>
        <v>0</v>
      </c>
      <c r="Q1128">
        <f>indirect(address(1128,16))+indirect(address(1126,17))-indirect(address(1127,17))</f>
        <v>0</v>
      </c>
      <c r="R1128">
        <f>indirect(address(1128,17))+indirect(address(1126,18))-indirect(address(1127,18))</f>
        <v>0</v>
      </c>
      <c r="S1128">
        <f>indirect(address(1128,18))+indirect(address(1126,19))-indirect(address(1127,19))</f>
        <v>0</v>
      </c>
      <c r="T1128">
        <f>indirect(address(1128,19))+indirect(address(1126,20))-indirect(address(1127,20))</f>
        <v>0</v>
      </c>
      <c r="U1128">
        <f>indirect(address(1128,20))+indirect(address(1126,21))-indirect(address(1127,21))</f>
        <v>0</v>
      </c>
      <c r="V1128">
        <f>indirect(address(1128,21))+indirect(address(1126,22))-indirect(address(1127,22))</f>
        <v>0</v>
      </c>
      <c r="W1128">
        <f>indirect(address(1128,22))+indirect(address(1126,23))-indirect(address(1127,23))</f>
        <v>0</v>
      </c>
      <c r="X1128">
        <f>indirect(address(1128,23))+indirect(address(1126,24))-indirect(address(1127,24))</f>
        <v>0</v>
      </c>
      <c r="Y1128">
        <f>indirect(address(1128,24))+indirect(address(1126,25))-indirect(address(1127,25))</f>
        <v>0</v>
      </c>
      <c r="Z1128">
        <f>indirect(address(1128,25))+indirect(address(1126,26))-indirect(address(1127,26))</f>
        <v>0</v>
      </c>
      <c r="AA1128">
        <f>indirect(address(1128,26))+indirect(address(1126,27))-indirect(address(1127,27))</f>
        <v>0</v>
      </c>
      <c r="AB1128">
        <f>indirect(address(1128,27))+indirect(address(1126,28))-indirect(address(1127,28))</f>
        <v>0</v>
      </c>
      <c r="AC1128">
        <f>indirect(address(1128,28))+indirect(address(1126,29))-indirect(address(1127,29))</f>
        <v>0</v>
      </c>
      <c r="AD1128">
        <f>indirect(address(1128,29))+indirect(address(1126,30))-indirect(address(1127,30))</f>
        <v>0</v>
      </c>
      <c r="AE1128">
        <f>indirect(address(1128,30))+indirect(address(1126,31))-indirect(address(1127,31))</f>
        <v>0</v>
      </c>
      <c r="AF1128">
        <f>indirect(address(1128,31))+indirect(address(1126,32))-indirect(address(1127,32))</f>
        <v>0</v>
      </c>
      <c r="AG1128">
        <f>indirect(address(1128,32))+indirect(address(1126,33))-indirect(address(1127,33))</f>
        <v>0</v>
      </c>
      <c r="AH1128">
        <f>indirect(address(1128,33))+indirect(address(1126,34))-indirect(address(1127,34))</f>
        <v>0</v>
      </c>
      <c r="AI1128">
        <f>indirect(address(1128,34))+indirect(address(1126,35))-indirect(address(1127,35))</f>
        <v>0</v>
      </c>
      <c r="AJ1128">
        <f>indirect(address(1128,35))+indirect(address(1126,36))-indirect(address(1127,36))</f>
        <v>0</v>
      </c>
      <c r="AK1128">
        <f>indirect(address(1128,36))+indirect(address(1126,37))-indirect(address(1127,37))</f>
        <v>0</v>
      </c>
      <c r="AL1128">
        <f>indirect(address(1128,37))+indirect(address(1126,38))-indirect(address(1127,38))</f>
        <v>0</v>
      </c>
      <c r="AM1128">
        <f>indirect(address(1128,38))+indirect(address(1126,39))-indirect(address(1127,39))</f>
        <v>0</v>
      </c>
      <c r="AN1128">
        <f>indirect(address(1128,39))+indirect(address(1126,40))-indirect(address(1127,40))</f>
        <v>0</v>
      </c>
      <c r="AO1128">
        <f>indirect(address(1128,40))+indirect(address(1126,41))-indirect(address(1127,41))</f>
        <v>0</v>
      </c>
    </row>
    <row r="1129" spans="1:41">
      <c r="I1129" t="s">
        <v>14</v>
      </c>
      <c r="AO1129">
        <f>sum(j1129:an1129)</f>
        <v>0</v>
      </c>
    </row>
    <row r="1130" spans="1:41">
      <c r="I1130" t="s">
        <v>15</v>
      </c>
      <c r="J1130">
        <f>sumif(Plan!B:B,"211-005000-254",Plan!j:j)</f>
        <v>0</v>
      </c>
      <c r="K1130">
        <f>sumif(Plan!B:B,"211-005000-254",Plan!k:k)</f>
        <v>0</v>
      </c>
      <c r="L1130">
        <f>sumif(Plan!B:B,"211-005000-254",Plan!l:l)</f>
        <v>0</v>
      </c>
      <c r="M1130">
        <f>sumif(Plan!B:B,"211-005000-254",Plan!m:m)</f>
        <v>0</v>
      </c>
      <c r="N1130">
        <f>sumif(Plan!B:B,"211-005000-254",Plan!n:n)</f>
        <v>0</v>
      </c>
      <c r="O1130">
        <f>sumif(Plan!B:B,"211-005000-254",Plan!o:o)</f>
        <v>0</v>
      </c>
      <c r="P1130">
        <f>sumif(Plan!B:B,"211-005000-254",Plan!p:p)</f>
        <v>0</v>
      </c>
      <c r="Q1130">
        <f>sumif(Plan!B:B,"211-005000-254",Plan!q:q)</f>
        <v>0</v>
      </c>
      <c r="R1130">
        <f>sumif(Plan!B:B,"211-005000-254",Plan!r:r)</f>
        <v>0</v>
      </c>
      <c r="S1130">
        <f>sumif(Plan!B:B,"211-005000-254",Plan!s:s)</f>
        <v>0</v>
      </c>
      <c r="T1130">
        <f>sumif(Plan!B:B,"211-005000-254",Plan!t:t)</f>
        <v>0</v>
      </c>
      <c r="U1130">
        <f>sumif(Plan!B:B,"211-005000-254",Plan!u:u)</f>
        <v>0</v>
      </c>
      <c r="V1130">
        <f>sumif(Plan!B:B,"211-005000-254",Plan!v:v)</f>
        <v>0</v>
      </c>
      <c r="W1130">
        <f>sumif(Plan!B:B,"211-005000-254",Plan!w:w)</f>
        <v>0</v>
      </c>
      <c r="X1130">
        <f>sumif(Plan!B:B,"211-005000-254",Plan!x:x)</f>
        <v>0</v>
      </c>
      <c r="Y1130">
        <f>sumif(Plan!B:B,"211-005000-254",Plan!y:y)</f>
        <v>0</v>
      </c>
      <c r="Z1130">
        <f>sumif(Plan!B:B,"211-005000-254",Plan!z:z)</f>
        <v>0</v>
      </c>
      <c r="AA1130">
        <f>sumif(Plan!B:B,"211-005000-254",Plan!aa:aa)</f>
        <v>0</v>
      </c>
      <c r="AB1130">
        <f>sumif(Plan!B:B,"211-005000-254",Plan!ab:ab)</f>
        <v>0</v>
      </c>
      <c r="AC1130">
        <f>sumif(Plan!B:B,"211-005000-254",Plan!ac:ac)</f>
        <v>0</v>
      </c>
      <c r="AD1130">
        <f>sumif(Plan!B:B,"211-005000-254",Plan!ad:ad)</f>
        <v>0</v>
      </c>
      <c r="AE1130">
        <f>sumif(Plan!B:B,"211-005000-254",Plan!ae:ae)</f>
        <v>0</v>
      </c>
      <c r="AF1130">
        <f>sumif(Plan!B:B,"211-005000-254",Plan!af:af)</f>
        <v>0</v>
      </c>
      <c r="AG1130">
        <f>sumif(Plan!B:B,"211-005000-254",Plan!ag:ag)</f>
        <v>0</v>
      </c>
      <c r="AH1130">
        <f>sumif(Plan!B:B,"211-005000-254",Plan!ah:ah)</f>
        <v>0</v>
      </c>
      <c r="AI1130">
        <f>sumif(Plan!B:B,"211-005000-254",Plan!ai:ai)</f>
        <v>0</v>
      </c>
      <c r="AJ1130">
        <f>sumif(Plan!B:B,"211-005000-254",Plan!aj:aj)</f>
        <v>0</v>
      </c>
      <c r="AK1130">
        <f>sumif(Plan!B:B,"211-005000-254",Plan!ak:ak)</f>
        <v>0</v>
      </c>
      <c r="AL1130">
        <f>sumif(Plan!B:B,"211-005000-254",Plan!al:al)</f>
        <v>0</v>
      </c>
      <c r="AM1130">
        <f>sumif(Plan!B:B,"211-005000-254",Plan!am:am)</f>
        <v>0</v>
      </c>
      <c r="AN1130">
        <f>sumif(Plan!B:B,"211-005000-254",Plan!an:an)</f>
        <v>0</v>
      </c>
      <c r="AO1130">
        <f>sumif(Plan!B:B,"211-005000-254",Plan!ao:ao)</f>
        <v>0</v>
      </c>
    </row>
    <row r="1131" spans="1:41">
      <c r="A1131" t="s">
        <v>22</v>
      </c>
      <c r="B1131" t="s">
        <v>735</v>
      </c>
      <c r="C1131" t="s">
        <v>736</v>
      </c>
      <c r="E1131">
        <v>1</v>
      </c>
      <c r="F1131" t="s">
        <v>13</v>
      </c>
      <c r="H1131" t="s">
        <v>16</v>
      </c>
      <c r="J1131">
        <f>indirect(address(1131,9))+indirect(address(1129,10))-indirect(address(1130,10))</f>
        <v>0</v>
      </c>
      <c r="K1131">
        <f>indirect(address(1131,10))+indirect(address(1129,11))-indirect(address(1130,11))</f>
        <v>0</v>
      </c>
      <c r="L1131">
        <f>indirect(address(1131,11))+indirect(address(1129,12))-indirect(address(1130,12))</f>
        <v>0</v>
      </c>
      <c r="M1131">
        <f>indirect(address(1131,12))+indirect(address(1129,13))-indirect(address(1130,13))</f>
        <v>0</v>
      </c>
      <c r="N1131">
        <f>indirect(address(1131,13))+indirect(address(1129,14))-indirect(address(1130,14))</f>
        <v>0</v>
      </c>
      <c r="O1131">
        <f>indirect(address(1131,14))+indirect(address(1129,15))-indirect(address(1130,15))</f>
        <v>0</v>
      </c>
      <c r="P1131">
        <f>indirect(address(1131,15))+indirect(address(1129,16))-indirect(address(1130,16))</f>
        <v>0</v>
      </c>
      <c r="Q1131">
        <f>indirect(address(1131,16))+indirect(address(1129,17))-indirect(address(1130,17))</f>
        <v>0</v>
      </c>
      <c r="R1131">
        <f>indirect(address(1131,17))+indirect(address(1129,18))-indirect(address(1130,18))</f>
        <v>0</v>
      </c>
      <c r="S1131">
        <f>indirect(address(1131,18))+indirect(address(1129,19))-indirect(address(1130,19))</f>
        <v>0</v>
      </c>
      <c r="T1131">
        <f>indirect(address(1131,19))+indirect(address(1129,20))-indirect(address(1130,20))</f>
        <v>0</v>
      </c>
      <c r="U1131">
        <f>indirect(address(1131,20))+indirect(address(1129,21))-indirect(address(1130,21))</f>
        <v>0</v>
      </c>
      <c r="V1131">
        <f>indirect(address(1131,21))+indirect(address(1129,22))-indirect(address(1130,22))</f>
        <v>0</v>
      </c>
      <c r="W1131">
        <f>indirect(address(1131,22))+indirect(address(1129,23))-indirect(address(1130,23))</f>
        <v>0</v>
      </c>
      <c r="X1131">
        <f>indirect(address(1131,23))+indirect(address(1129,24))-indirect(address(1130,24))</f>
        <v>0</v>
      </c>
      <c r="Y1131">
        <f>indirect(address(1131,24))+indirect(address(1129,25))-indirect(address(1130,25))</f>
        <v>0</v>
      </c>
      <c r="Z1131">
        <f>indirect(address(1131,25))+indirect(address(1129,26))-indirect(address(1130,26))</f>
        <v>0</v>
      </c>
      <c r="AA1131">
        <f>indirect(address(1131,26))+indirect(address(1129,27))-indirect(address(1130,27))</f>
        <v>0</v>
      </c>
      <c r="AB1131">
        <f>indirect(address(1131,27))+indirect(address(1129,28))-indirect(address(1130,28))</f>
        <v>0</v>
      </c>
      <c r="AC1131">
        <f>indirect(address(1131,28))+indirect(address(1129,29))-indirect(address(1130,29))</f>
        <v>0</v>
      </c>
      <c r="AD1131">
        <f>indirect(address(1131,29))+indirect(address(1129,30))-indirect(address(1130,30))</f>
        <v>0</v>
      </c>
      <c r="AE1131">
        <f>indirect(address(1131,30))+indirect(address(1129,31))-indirect(address(1130,31))</f>
        <v>0</v>
      </c>
      <c r="AF1131">
        <f>indirect(address(1131,31))+indirect(address(1129,32))-indirect(address(1130,32))</f>
        <v>0</v>
      </c>
      <c r="AG1131">
        <f>indirect(address(1131,32))+indirect(address(1129,33))-indirect(address(1130,33))</f>
        <v>0</v>
      </c>
      <c r="AH1131">
        <f>indirect(address(1131,33))+indirect(address(1129,34))-indirect(address(1130,34))</f>
        <v>0</v>
      </c>
      <c r="AI1131">
        <f>indirect(address(1131,34))+indirect(address(1129,35))-indirect(address(1130,35))</f>
        <v>0</v>
      </c>
      <c r="AJ1131">
        <f>indirect(address(1131,35))+indirect(address(1129,36))-indirect(address(1130,36))</f>
        <v>0</v>
      </c>
      <c r="AK1131">
        <f>indirect(address(1131,36))+indirect(address(1129,37))-indirect(address(1130,37))</f>
        <v>0</v>
      </c>
      <c r="AL1131">
        <f>indirect(address(1131,37))+indirect(address(1129,38))-indirect(address(1130,38))</f>
        <v>0</v>
      </c>
      <c r="AM1131">
        <f>indirect(address(1131,38))+indirect(address(1129,39))-indirect(address(1130,39))</f>
        <v>0</v>
      </c>
      <c r="AN1131">
        <f>indirect(address(1131,39))+indirect(address(1129,40))-indirect(address(1130,40))</f>
        <v>0</v>
      </c>
      <c r="AO1131">
        <f>indirect(address(1131,40))+indirect(address(1129,41))-indirect(address(1130,41))</f>
        <v>0</v>
      </c>
    </row>
    <row r="1132" spans="1:41">
      <c r="I1132" t="s">
        <v>14</v>
      </c>
      <c r="AO1132">
        <f>sum(j1132:an1132)</f>
        <v>0</v>
      </c>
    </row>
    <row r="1133" spans="1:41">
      <c r="I1133" t="s">
        <v>15</v>
      </c>
      <c r="J1133">
        <f>sumif(Plan!B:B,"211-016400-000",Plan!j:j)</f>
        <v>0</v>
      </c>
      <c r="K1133">
        <f>sumif(Plan!B:B,"211-016400-000",Plan!k:k)</f>
        <v>0</v>
      </c>
      <c r="L1133">
        <f>sumif(Plan!B:B,"211-016400-000",Plan!l:l)</f>
        <v>0</v>
      </c>
      <c r="M1133">
        <f>sumif(Plan!B:B,"211-016400-000",Plan!m:m)</f>
        <v>0</v>
      </c>
      <c r="N1133">
        <f>sumif(Plan!B:B,"211-016400-000",Plan!n:n)</f>
        <v>0</v>
      </c>
      <c r="O1133">
        <f>sumif(Plan!B:B,"211-016400-000",Plan!o:o)</f>
        <v>0</v>
      </c>
      <c r="P1133">
        <f>sumif(Plan!B:B,"211-016400-000",Plan!p:p)</f>
        <v>0</v>
      </c>
      <c r="Q1133">
        <f>sumif(Plan!B:B,"211-016400-000",Plan!q:q)</f>
        <v>0</v>
      </c>
      <c r="R1133">
        <f>sumif(Plan!B:B,"211-016400-000",Plan!r:r)</f>
        <v>0</v>
      </c>
      <c r="S1133">
        <f>sumif(Plan!B:B,"211-016400-000",Plan!s:s)</f>
        <v>0</v>
      </c>
      <c r="T1133">
        <f>sumif(Plan!B:B,"211-016400-000",Plan!t:t)</f>
        <v>0</v>
      </c>
      <c r="U1133">
        <f>sumif(Plan!B:B,"211-016400-000",Plan!u:u)</f>
        <v>0</v>
      </c>
      <c r="V1133">
        <f>sumif(Plan!B:B,"211-016400-000",Plan!v:v)</f>
        <v>0</v>
      </c>
      <c r="W1133">
        <f>sumif(Plan!B:B,"211-016400-000",Plan!w:w)</f>
        <v>0</v>
      </c>
      <c r="X1133">
        <f>sumif(Plan!B:B,"211-016400-000",Plan!x:x)</f>
        <v>0</v>
      </c>
      <c r="Y1133">
        <f>sumif(Plan!B:B,"211-016400-000",Plan!y:y)</f>
        <v>0</v>
      </c>
      <c r="Z1133">
        <f>sumif(Plan!B:B,"211-016400-000",Plan!z:z)</f>
        <v>0</v>
      </c>
      <c r="AA1133">
        <f>sumif(Plan!B:B,"211-016400-000",Plan!aa:aa)</f>
        <v>0</v>
      </c>
      <c r="AB1133">
        <f>sumif(Plan!B:B,"211-016400-000",Plan!ab:ab)</f>
        <v>0</v>
      </c>
      <c r="AC1133">
        <f>sumif(Plan!B:B,"211-016400-000",Plan!ac:ac)</f>
        <v>0</v>
      </c>
      <c r="AD1133">
        <f>sumif(Plan!B:B,"211-016400-000",Plan!ad:ad)</f>
        <v>0</v>
      </c>
      <c r="AE1133">
        <f>sumif(Plan!B:B,"211-016400-000",Plan!ae:ae)</f>
        <v>0</v>
      </c>
      <c r="AF1133">
        <f>sumif(Plan!B:B,"211-016400-000",Plan!af:af)</f>
        <v>0</v>
      </c>
      <c r="AG1133">
        <f>sumif(Plan!B:B,"211-016400-000",Plan!ag:ag)</f>
        <v>0</v>
      </c>
      <c r="AH1133">
        <f>sumif(Plan!B:B,"211-016400-000",Plan!ah:ah)</f>
        <v>0</v>
      </c>
      <c r="AI1133">
        <f>sumif(Plan!B:B,"211-016400-000",Plan!ai:ai)</f>
        <v>0</v>
      </c>
      <c r="AJ1133">
        <f>sumif(Plan!B:B,"211-016400-000",Plan!aj:aj)</f>
        <v>0</v>
      </c>
      <c r="AK1133">
        <f>sumif(Plan!B:B,"211-016400-000",Plan!ak:ak)</f>
        <v>0</v>
      </c>
      <c r="AL1133">
        <f>sumif(Plan!B:B,"211-016400-000",Plan!al:al)</f>
        <v>0</v>
      </c>
      <c r="AM1133">
        <f>sumif(Plan!B:B,"211-016400-000",Plan!am:am)</f>
        <v>0</v>
      </c>
      <c r="AN1133">
        <f>sumif(Plan!B:B,"211-016400-000",Plan!an:an)</f>
        <v>0</v>
      </c>
      <c r="AO1133">
        <f>sumif(Plan!B:B,"211-016400-000",Plan!ao:ao)</f>
        <v>0</v>
      </c>
    </row>
    <row r="1134" spans="1:41">
      <c r="A1134" t="s">
        <v>22</v>
      </c>
      <c r="B1134" t="s">
        <v>737</v>
      </c>
      <c r="C1134" t="s">
        <v>738</v>
      </c>
      <c r="E1134">
        <v>1</v>
      </c>
      <c r="F1134" t="s">
        <v>13</v>
      </c>
      <c r="H1134" t="s">
        <v>16</v>
      </c>
      <c r="J1134">
        <f>indirect(address(1134,9))+indirect(address(1132,10))-indirect(address(1133,10))</f>
        <v>0</v>
      </c>
      <c r="K1134">
        <f>indirect(address(1134,10))+indirect(address(1132,11))-indirect(address(1133,11))</f>
        <v>0</v>
      </c>
      <c r="L1134">
        <f>indirect(address(1134,11))+indirect(address(1132,12))-indirect(address(1133,12))</f>
        <v>0</v>
      </c>
      <c r="M1134">
        <f>indirect(address(1134,12))+indirect(address(1132,13))-indirect(address(1133,13))</f>
        <v>0</v>
      </c>
      <c r="N1134">
        <f>indirect(address(1134,13))+indirect(address(1132,14))-indirect(address(1133,14))</f>
        <v>0</v>
      </c>
      <c r="O1134">
        <f>indirect(address(1134,14))+indirect(address(1132,15))-indirect(address(1133,15))</f>
        <v>0</v>
      </c>
      <c r="P1134">
        <f>indirect(address(1134,15))+indirect(address(1132,16))-indirect(address(1133,16))</f>
        <v>0</v>
      </c>
      <c r="Q1134">
        <f>indirect(address(1134,16))+indirect(address(1132,17))-indirect(address(1133,17))</f>
        <v>0</v>
      </c>
      <c r="R1134">
        <f>indirect(address(1134,17))+indirect(address(1132,18))-indirect(address(1133,18))</f>
        <v>0</v>
      </c>
      <c r="S1134">
        <f>indirect(address(1134,18))+indirect(address(1132,19))-indirect(address(1133,19))</f>
        <v>0</v>
      </c>
      <c r="T1134">
        <f>indirect(address(1134,19))+indirect(address(1132,20))-indirect(address(1133,20))</f>
        <v>0</v>
      </c>
      <c r="U1134">
        <f>indirect(address(1134,20))+indirect(address(1132,21))-indirect(address(1133,21))</f>
        <v>0</v>
      </c>
      <c r="V1134">
        <f>indirect(address(1134,21))+indirect(address(1132,22))-indirect(address(1133,22))</f>
        <v>0</v>
      </c>
      <c r="W1134">
        <f>indirect(address(1134,22))+indirect(address(1132,23))-indirect(address(1133,23))</f>
        <v>0</v>
      </c>
      <c r="X1134">
        <f>indirect(address(1134,23))+indirect(address(1132,24))-indirect(address(1133,24))</f>
        <v>0</v>
      </c>
      <c r="Y1134">
        <f>indirect(address(1134,24))+indirect(address(1132,25))-indirect(address(1133,25))</f>
        <v>0</v>
      </c>
      <c r="Z1134">
        <f>indirect(address(1134,25))+indirect(address(1132,26))-indirect(address(1133,26))</f>
        <v>0</v>
      </c>
      <c r="AA1134">
        <f>indirect(address(1134,26))+indirect(address(1132,27))-indirect(address(1133,27))</f>
        <v>0</v>
      </c>
      <c r="AB1134">
        <f>indirect(address(1134,27))+indirect(address(1132,28))-indirect(address(1133,28))</f>
        <v>0</v>
      </c>
      <c r="AC1134">
        <f>indirect(address(1134,28))+indirect(address(1132,29))-indirect(address(1133,29))</f>
        <v>0</v>
      </c>
      <c r="AD1134">
        <f>indirect(address(1134,29))+indirect(address(1132,30))-indirect(address(1133,30))</f>
        <v>0</v>
      </c>
      <c r="AE1134">
        <f>indirect(address(1134,30))+indirect(address(1132,31))-indirect(address(1133,31))</f>
        <v>0</v>
      </c>
      <c r="AF1134">
        <f>indirect(address(1134,31))+indirect(address(1132,32))-indirect(address(1133,32))</f>
        <v>0</v>
      </c>
      <c r="AG1134">
        <f>indirect(address(1134,32))+indirect(address(1132,33))-indirect(address(1133,33))</f>
        <v>0</v>
      </c>
      <c r="AH1134">
        <f>indirect(address(1134,33))+indirect(address(1132,34))-indirect(address(1133,34))</f>
        <v>0</v>
      </c>
      <c r="AI1134">
        <f>indirect(address(1134,34))+indirect(address(1132,35))-indirect(address(1133,35))</f>
        <v>0</v>
      </c>
      <c r="AJ1134">
        <f>indirect(address(1134,35))+indirect(address(1132,36))-indirect(address(1133,36))</f>
        <v>0</v>
      </c>
      <c r="AK1134">
        <f>indirect(address(1134,36))+indirect(address(1132,37))-indirect(address(1133,37))</f>
        <v>0</v>
      </c>
      <c r="AL1134">
        <f>indirect(address(1134,37))+indirect(address(1132,38))-indirect(address(1133,38))</f>
        <v>0</v>
      </c>
      <c r="AM1134">
        <f>indirect(address(1134,38))+indirect(address(1132,39))-indirect(address(1133,39))</f>
        <v>0</v>
      </c>
      <c r="AN1134">
        <f>indirect(address(1134,39))+indirect(address(1132,40))-indirect(address(1133,40))</f>
        <v>0</v>
      </c>
      <c r="AO1134">
        <f>indirect(address(1134,40))+indirect(address(1132,41))-indirect(address(1133,41))</f>
        <v>0</v>
      </c>
    </row>
    <row r="1135" spans="1:41">
      <c r="I1135" t="s">
        <v>14</v>
      </c>
      <c r="AO1135">
        <f>sum(j1135:an1135)</f>
        <v>0</v>
      </c>
    </row>
    <row r="1136" spans="1:41">
      <c r="I1136" t="s">
        <v>15</v>
      </c>
      <c r="J1136">
        <f>sumif(Plan!B:B,"211-010000-253",Plan!j:j)</f>
        <v>0</v>
      </c>
      <c r="K1136">
        <f>sumif(Plan!B:B,"211-010000-253",Plan!k:k)</f>
        <v>0</v>
      </c>
      <c r="L1136">
        <f>sumif(Plan!B:B,"211-010000-253",Plan!l:l)</f>
        <v>0</v>
      </c>
      <c r="M1136">
        <f>sumif(Plan!B:B,"211-010000-253",Plan!m:m)</f>
        <v>0</v>
      </c>
      <c r="N1136">
        <f>sumif(Plan!B:B,"211-010000-253",Plan!n:n)</f>
        <v>0</v>
      </c>
      <c r="O1136">
        <f>sumif(Plan!B:B,"211-010000-253",Plan!o:o)</f>
        <v>0</v>
      </c>
      <c r="P1136">
        <f>sumif(Plan!B:B,"211-010000-253",Plan!p:p)</f>
        <v>0</v>
      </c>
      <c r="Q1136">
        <f>sumif(Plan!B:B,"211-010000-253",Plan!q:q)</f>
        <v>0</v>
      </c>
      <c r="R1136">
        <f>sumif(Plan!B:B,"211-010000-253",Plan!r:r)</f>
        <v>0</v>
      </c>
      <c r="S1136">
        <f>sumif(Plan!B:B,"211-010000-253",Plan!s:s)</f>
        <v>0</v>
      </c>
      <c r="T1136">
        <f>sumif(Plan!B:B,"211-010000-253",Plan!t:t)</f>
        <v>0</v>
      </c>
      <c r="U1136">
        <f>sumif(Plan!B:B,"211-010000-253",Plan!u:u)</f>
        <v>0</v>
      </c>
      <c r="V1136">
        <f>sumif(Plan!B:B,"211-010000-253",Plan!v:v)</f>
        <v>0</v>
      </c>
      <c r="W1136">
        <f>sumif(Plan!B:B,"211-010000-253",Plan!w:w)</f>
        <v>0</v>
      </c>
      <c r="X1136">
        <f>sumif(Plan!B:B,"211-010000-253",Plan!x:x)</f>
        <v>0</v>
      </c>
      <c r="Y1136">
        <f>sumif(Plan!B:B,"211-010000-253",Plan!y:y)</f>
        <v>0</v>
      </c>
      <c r="Z1136">
        <f>sumif(Plan!B:B,"211-010000-253",Plan!z:z)</f>
        <v>0</v>
      </c>
      <c r="AA1136">
        <f>sumif(Plan!B:B,"211-010000-253",Plan!aa:aa)</f>
        <v>0</v>
      </c>
      <c r="AB1136">
        <f>sumif(Plan!B:B,"211-010000-253",Plan!ab:ab)</f>
        <v>0</v>
      </c>
      <c r="AC1136">
        <f>sumif(Plan!B:B,"211-010000-253",Plan!ac:ac)</f>
        <v>0</v>
      </c>
      <c r="AD1136">
        <f>sumif(Plan!B:B,"211-010000-253",Plan!ad:ad)</f>
        <v>0</v>
      </c>
      <c r="AE1136">
        <f>sumif(Plan!B:B,"211-010000-253",Plan!ae:ae)</f>
        <v>0</v>
      </c>
      <c r="AF1136">
        <f>sumif(Plan!B:B,"211-010000-253",Plan!af:af)</f>
        <v>0</v>
      </c>
      <c r="AG1136">
        <f>sumif(Plan!B:B,"211-010000-253",Plan!ag:ag)</f>
        <v>0</v>
      </c>
      <c r="AH1136">
        <f>sumif(Plan!B:B,"211-010000-253",Plan!ah:ah)</f>
        <v>0</v>
      </c>
      <c r="AI1136">
        <f>sumif(Plan!B:B,"211-010000-253",Plan!ai:ai)</f>
        <v>0</v>
      </c>
      <c r="AJ1136">
        <f>sumif(Plan!B:B,"211-010000-253",Plan!aj:aj)</f>
        <v>0</v>
      </c>
      <c r="AK1136">
        <f>sumif(Plan!B:B,"211-010000-253",Plan!ak:ak)</f>
        <v>0</v>
      </c>
      <c r="AL1136">
        <f>sumif(Plan!B:B,"211-010000-253",Plan!al:al)</f>
        <v>0</v>
      </c>
      <c r="AM1136">
        <f>sumif(Plan!B:B,"211-010000-253",Plan!am:am)</f>
        <v>0</v>
      </c>
      <c r="AN1136">
        <f>sumif(Plan!B:B,"211-010000-253",Plan!an:an)</f>
        <v>0</v>
      </c>
      <c r="AO1136">
        <f>sumif(Plan!B:B,"211-010000-253",Plan!ao:ao)</f>
        <v>0</v>
      </c>
    </row>
    <row r="1137" spans="1:41">
      <c r="A1137" t="s">
        <v>22</v>
      </c>
      <c r="B1137" t="s">
        <v>739</v>
      </c>
      <c r="C1137" t="s">
        <v>740</v>
      </c>
      <c r="E1137">
        <v>1</v>
      </c>
      <c r="F1137" t="s">
        <v>13</v>
      </c>
      <c r="H1137" t="s">
        <v>16</v>
      </c>
      <c r="J1137">
        <f>indirect(address(1137,9))+indirect(address(1135,10))-indirect(address(1136,10))</f>
        <v>0</v>
      </c>
      <c r="K1137">
        <f>indirect(address(1137,10))+indirect(address(1135,11))-indirect(address(1136,11))</f>
        <v>0</v>
      </c>
      <c r="L1137">
        <f>indirect(address(1137,11))+indirect(address(1135,12))-indirect(address(1136,12))</f>
        <v>0</v>
      </c>
      <c r="M1137">
        <f>indirect(address(1137,12))+indirect(address(1135,13))-indirect(address(1136,13))</f>
        <v>0</v>
      </c>
      <c r="N1137">
        <f>indirect(address(1137,13))+indirect(address(1135,14))-indirect(address(1136,14))</f>
        <v>0</v>
      </c>
      <c r="O1137">
        <f>indirect(address(1137,14))+indirect(address(1135,15))-indirect(address(1136,15))</f>
        <v>0</v>
      </c>
      <c r="P1137">
        <f>indirect(address(1137,15))+indirect(address(1135,16))-indirect(address(1136,16))</f>
        <v>0</v>
      </c>
      <c r="Q1137">
        <f>indirect(address(1137,16))+indirect(address(1135,17))-indirect(address(1136,17))</f>
        <v>0</v>
      </c>
      <c r="R1137">
        <f>indirect(address(1137,17))+indirect(address(1135,18))-indirect(address(1136,18))</f>
        <v>0</v>
      </c>
      <c r="S1137">
        <f>indirect(address(1137,18))+indirect(address(1135,19))-indirect(address(1136,19))</f>
        <v>0</v>
      </c>
      <c r="T1137">
        <f>indirect(address(1137,19))+indirect(address(1135,20))-indirect(address(1136,20))</f>
        <v>0</v>
      </c>
      <c r="U1137">
        <f>indirect(address(1137,20))+indirect(address(1135,21))-indirect(address(1136,21))</f>
        <v>0</v>
      </c>
      <c r="V1137">
        <f>indirect(address(1137,21))+indirect(address(1135,22))-indirect(address(1136,22))</f>
        <v>0</v>
      </c>
      <c r="W1137">
        <f>indirect(address(1137,22))+indirect(address(1135,23))-indirect(address(1136,23))</f>
        <v>0</v>
      </c>
      <c r="X1137">
        <f>indirect(address(1137,23))+indirect(address(1135,24))-indirect(address(1136,24))</f>
        <v>0</v>
      </c>
      <c r="Y1137">
        <f>indirect(address(1137,24))+indirect(address(1135,25))-indirect(address(1136,25))</f>
        <v>0</v>
      </c>
      <c r="Z1137">
        <f>indirect(address(1137,25))+indirect(address(1135,26))-indirect(address(1136,26))</f>
        <v>0</v>
      </c>
      <c r="AA1137">
        <f>indirect(address(1137,26))+indirect(address(1135,27))-indirect(address(1136,27))</f>
        <v>0</v>
      </c>
      <c r="AB1137">
        <f>indirect(address(1137,27))+indirect(address(1135,28))-indirect(address(1136,28))</f>
        <v>0</v>
      </c>
      <c r="AC1137">
        <f>indirect(address(1137,28))+indirect(address(1135,29))-indirect(address(1136,29))</f>
        <v>0</v>
      </c>
      <c r="AD1137">
        <f>indirect(address(1137,29))+indirect(address(1135,30))-indirect(address(1136,30))</f>
        <v>0</v>
      </c>
      <c r="AE1137">
        <f>indirect(address(1137,30))+indirect(address(1135,31))-indirect(address(1136,31))</f>
        <v>0</v>
      </c>
      <c r="AF1137">
        <f>indirect(address(1137,31))+indirect(address(1135,32))-indirect(address(1136,32))</f>
        <v>0</v>
      </c>
      <c r="AG1137">
        <f>indirect(address(1137,32))+indirect(address(1135,33))-indirect(address(1136,33))</f>
        <v>0</v>
      </c>
      <c r="AH1137">
        <f>indirect(address(1137,33))+indirect(address(1135,34))-indirect(address(1136,34))</f>
        <v>0</v>
      </c>
      <c r="AI1137">
        <f>indirect(address(1137,34))+indirect(address(1135,35))-indirect(address(1136,35))</f>
        <v>0</v>
      </c>
      <c r="AJ1137">
        <f>indirect(address(1137,35))+indirect(address(1135,36))-indirect(address(1136,36))</f>
        <v>0</v>
      </c>
      <c r="AK1137">
        <f>indirect(address(1137,36))+indirect(address(1135,37))-indirect(address(1136,37))</f>
        <v>0</v>
      </c>
      <c r="AL1137">
        <f>indirect(address(1137,37))+indirect(address(1135,38))-indirect(address(1136,38))</f>
        <v>0</v>
      </c>
      <c r="AM1137">
        <f>indirect(address(1137,38))+indirect(address(1135,39))-indirect(address(1136,39))</f>
        <v>0</v>
      </c>
      <c r="AN1137">
        <f>indirect(address(1137,39))+indirect(address(1135,40))-indirect(address(1136,40))</f>
        <v>0</v>
      </c>
      <c r="AO1137">
        <f>indirect(address(1137,40))+indirect(address(1135,41))-indirect(address(1136,41))</f>
        <v>0</v>
      </c>
    </row>
    <row r="1138" spans="1:41">
      <c r="I1138" t="s">
        <v>14</v>
      </c>
      <c r="AO1138">
        <f>sum(j1138:an1138)</f>
        <v>0</v>
      </c>
    </row>
    <row r="1139" spans="1:41">
      <c r="I1139" t="s">
        <v>15</v>
      </c>
      <c r="J1139">
        <f>sumif(Plan!B:B,"211-008000-204",Plan!j:j)</f>
        <v>0</v>
      </c>
      <c r="K1139">
        <f>sumif(Plan!B:B,"211-008000-204",Plan!k:k)</f>
        <v>0</v>
      </c>
      <c r="L1139">
        <f>sumif(Plan!B:B,"211-008000-204",Plan!l:l)</f>
        <v>0</v>
      </c>
      <c r="M1139">
        <f>sumif(Plan!B:B,"211-008000-204",Plan!m:m)</f>
        <v>0</v>
      </c>
      <c r="N1139">
        <f>sumif(Plan!B:B,"211-008000-204",Plan!n:n)</f>
        <v>0</v>
      </c>
      <c r="O1139">
        <f>sumif(Plan!B:B,"211-008000-204",Plan!o:o)</f>
        <v>0</v>
      </c>
      <c r="P1139">
        <f>sumif(Plan!B:B,"211-008000-204",Plan!p:p)</f>
        <v>0</v>
      </c>
      <c r="Q1139">
        <f>sumif(Plan!B:B,"211-008000-204",Plan!q:q)</f>
        <v>0</v>
      </c>
      <c r="R1139">
        <f>sumif(Plan!B:B,"211-008000-204",Plan!r:r)</f>
        <v>0</v>
      </c>
      <c r="S1139">
        <f>sumif(Plan!B:B,"211-008000-204",Plan!s:s)</f>
        <v>0</v>
      </c>
      <c r="T1139">
        <f>sumif(Plan!B:B,"211-008000-204",Plan!t:t)</f>
        <v>0</v>
      </c>
      <c r="U1139">
        <f>sumif(Plan!B:B,"211-008000-204",Plan!u:u)</f>
        <v>0</v>
      </c>
      <c r="V1139">
        <f>sumif(Plan!B:B,"211-008000-204",Plan!v:v)</f>
        <v>0</v>
      </c>
      <c r="W1139">
        <f>sumif(Plan!B:B,"211-008000-204",Plan!w:w)</f>
        <v>0</v>
      </c>
      <c r="X1139">
        <f>sumif(Plan!B:B,"211-008000-204",Plan!x:x)</f>
        <v>0</v>
      </c>
      <c r="Y1139">
        <f>sumif(Plan!B:B,"211-008000-204",Plan!y:y)</f>
        <v>0</v>
      </c>
      <c r="Z1139">
        <f>sumif(Plan!B:B,"211-008000-204",Plan!z:z)</f>
        <v>0</v>
      </c>
      <c r="AA1139">
        <f>sumif(Plan!B:B,"211-008000-204",Plan!aa:aa)</f>
        <v>0</v>
      </c>
      <c r="AB1139">
        <f>sumif(Plan!B:B,"211-008000-204",Plan!ab:ab)</f>
        <v>0</v>
      </c>
      <c r="AC1139">
        <f>sumif(Plan!B:B,"211-008000-204",Plan!ac:ac)</f>
        <v>0</v>
      </c>
      <c r="AD1139">
        <f>sumif(Plan!B:B,"211-008000-204",Plan!ad:ad)</f>
        <v>0</v>
      </c>
      <c r="AE1139">
        <f>sumif(Plan!B:B,"211-008000-204",Plan!ae:ae)</f>
        <v>0</v>
      </c>
      <c r="AF1139">
        <f>sumif(Plan!B:B,"211-008000-204",Plan!af:af)</f>
        <v>0</v>
      </c>
      <c r="AG1139">
        <f>sumif(Plan!B:B,"211-008000-204",Plan!ag:ag)</f>
        <v>0</v>
      </c>
      <c r="AH1139">
        <f>sumif(Plan!B:B,"211-008000-204",Plan!ah:ah)</f>
        <v>0</v>
      </c>
      <c r="AI1139">
        <f>sumif(Plan!B:B,"211-008000-204",Plan!ai:ai)</f>
        <v>0</v>
      </c>
      <c r="AJ1139">
        <f>sumif(Plan!B:B,"211-008000-204",Plan!aj:aj)</f>
        <v>0</v>
      </c>
      <c r="AK1139">
        <f>sumif(Plan!B:B,"211-008000-204",Plan!ak:ak)</f>
        <v>0</v>
      </c>
      <c r="AL1139">
        <f>sumif(Plan!B:B,"211-008000-204",Plan!al:al)</f>
        <v>0</v>
      </c>
      <c r="AM1139">
        <f>sumif(Plan!B:B,"211-008000-204",Plan!am:am)</f>
        <v>0</v>
      </c>
      <c r="AN1139">
        <f>sumif(Plan!B:B,"211-008000-204",Plan!an:an)</f>
        <v>0</v>
      </c>
      <c r="AO1139">
        <f>sumif(Plan!B:B,"211-008000-204",Plan!ao:ao)</f>
        <v>0</v>
      </c>
    </row>
    <row r="1140" spans="1:41">
      <c r="A1140" t="s">
        <v>22</v>
      </c>
      <c r="B1140" t="s">
        <v>741</v>
      </c>
      <c r="C1140" t="s">
        <v>742</v>
      </c>
      <c r="E1140">
        <v>1</v>
      </c>
      <c r="F1140" t="s">
        <v>13</v>
      </c>
      <c r="H1140" t="s">
        <v>16</v>
      </c>
      <c r="J1140">
        <f>indirect(address(1140,9))+indirect(address(1138,10))-indirect(address(1139,10))</f>
        <v>0</v>
      </c>
      <c r="K1140">
        <f>indirect(address(1140,10))+indirect(address(1138,11))-indirect(address(1139,11))</f>
        <v>0</v>
      </c>
      <c r="L1140">
        <f>indirect(address(1140,11))+indirect(address(1138,12))-indirect(address(1139,12))</f>
        <v>0</v>
      </c>
      <c r="M1140">
        <f>indirect(address(1140,12))+indirect(address(1138,13))-indirect(address(1139,13))</f>
        <v>0</v>
      </c>
      <c r="N1140">
        <f>indirect(address(1140,13))+indirect(address(1138,14))-indirect(address(1139,14))</f>
        <v>0</v>
      </c>
      <c r="O1140">
        <f>indirect(address(1140,14))+indirect(address(1138,15))-indirect(address(1139,15))</f>
        <v>0</v>
      </c>
      <c r="P1140">
        <f>indirect(address(1140,15))+indirect(address(1138,16))-indirect(address(1139,16))</f>
        <v>0</v>
      </c>
      <c r="Q1140">
        <f>indirect(address(1140,16))+indirect(address(1138,17))-indirect(address(1139,17))</f>
        <v>0</v>
      </c>
      <c r="R1140">
        <f>indirect(address(1140,17))+indirect(address(1138,18))-indirect(address(1139,18))</f>
        <v>0</v>
      </c>
      <c r="S1140">
        <f>indirect(address(1140,18))+indirect(address(1138,19))-indirect(address(1139,19))</f>
        <v>0</v>
      </c>
      <c r="T1140">
        <f>indirect(address(1140,19))+indirect(address(1138,20))-indirect(address(1139,20))</f>
        <v>0</v>
      </c>
      <c r="U1140">
        <f>indirect(address(1140,20))+indirect(address(1138,21))-indirect(address(1139,21))</f>
        <v>0</v>
      </c>
      <c r="V1140">
        <f>indirect(address(1140,21))+indirect(address(1138,22))-indirect(address(1139,22))</f>
        <v>0</v>
      </c>
      <c r="W1140">
        <f>indirect(address(1140,22))+indirect(address(1138,23))-indirect(address(1139,23))</f>
        <v>0</v>
      </c>
      <c r="X1140">
        <f>indirect(address(1140,23))+indirect(address(1138,24))-indirect(address(1139,24))</f>
        <v>0</v>
      </c>
      <c r="Y1140">
        <f>indirect(address(1140,24))+indirect(address(1138,25))-indirect(address(1139,25))</f>
        <v>0</v>
      </c>
      <c r="Z1140">
        <f>indirect(address(1140,25))+indirect(address(1138,26))-indirect(address(1139,26))</f>
        <v>0</v>
      </c>
      <c r="AA1140">
        <f>indirect(address(1140,26))+indirect(address(1138,27))-indirect(address(1139,27))</f>
        <v>0</v>
      </c>
      <c r="AB1140">
        <f>indirect(address(1140,27))+indirect(address(1138,28))-indirect(address(1139,28))</f>
        <v>0</v>
      </c>
      <c r="AC1140">
        <f>indirect(address(1140,28))+indirect(address(1138,29))-indirect(address(1139,29))</f>
        <v>0</v>
      </c>
      <c r="AD1140">
        <f>indirect(address(1140,29))+indirect(address(1138,30))-indirect(address(1139,30))</f>
        <v>0</v>
      </c>
      <c r="AE1140">
        <f>indirect(address(1140,30))+indirect(address(1138,31))-indirect(address(1139,31))</f>
        <v>0</v>
      </c>
      <c r="AF1140">
        <f>indirect(address(1140,31))+indirect(address(1138,32))-indirect(address(1139,32))</f>
        <v>0</v>
      </c>
      <c r="AG1140">
        <f>indirect(address(1140,32))+indirect(address(1138,33))-indirect(address(1139,33))</f>
        <v>0</v>
      </c>
      <c r="AH1140">
        <f>indirect(address(1140,33))+indirect(address(1138,34))-indirect(address(1139,34))</f>
        <v>0</v>
      </c>
      <c r="AI1140">
        <f>indirect(address(1140,34))+indirect(address(1138,35))-indirect(address(1139,35))</f>
        <v>0</v>
      </c>
      <c r="AJ1140">
        <f>indirect(address(1140,35))+indirect(address(1138,36))-indirect(address(1139,36))</f>
        <v>0</v>
      </c>
      <c r="AK1140">
        <f>indirect(address(1140,36))+indirect(address(1138,37))-indirect(address(1139,37))</f>
        <v>0</v>
      </c>
      <c r="AL1140">
        <f>indirect(address(1140,37))+indirect(address(1138,38))-indirect(address(1139,38))</f>
        <v>0</v>
      </c>
      <c r="AM1140">
        <f>indirect(address(1140,38))+indirect(address(1138,39))-indirect(address(1139,39))</f>
        <v>0</v>
      </c>
      <c r="AN1140">
        <f>indirect(address(1140,39))+indirect(address(1138,40))-indirect(address(1139,40))</f>
        <v>0</v>
      </c>
      <c r="AO1140">
        <f>indirect(address(1140,40))+indirect(address(1138,41))-indirect(address(1139,41))</f>
        <v>0</v>
      </c>
    </row>
    <row r="1141" spans="1:41">
      <c r="I1141" t="s">
        <v>14</v>
      </c>
      <c r="AO1141">
        <f>sum(j1141:an1141)</f>
        <v>0</v>
      </c>
    </row>
    <row r="1142" spans="1:41">
      <c r="I1142" t="s">
        <v>15</v>
      </c>
      <c r="J1142">
        <f>sumif(Plan!B:B,"211-019500-254",Plan!j:j)</f>
        <v>0</v>
      </c>
      <c r="K1142">
        <f>sumif(Plan!B:B,"211-019500-254",Plan!k:k)</f>
        <v>0</v>
      </c>
      <c r="L1142">
        <f>sumif(Plan!B:B,"211-019500-254",Plan!l:l)</f>
        <v>0</v>
      </c>
      <c r="M1142">
        <f>sumif(Plan!B:B,"211-019500-254",Plan!m:m)</f>
        <v>0</v>
      </c>
      <c r="N1142">
        <f>sumif(Plan!B:B,"211-019500-254",Plan!n:n)</f>
        <v>0</v>
      </c>
      <c r="O1142">
        <f>sumif(Plan!B:B,"211-019500-254",Plan!o:o)</f>
        <v>0</v>
      </c>
      <c r="P1142">
        <f>sumif(Plan!B:B,"211-019500-254",Plan!p:p)</f>
        <v>0</v>
      </c>
      <c r="Q1142">
        <f>sumif(Plan!B:B,"211-019500-254",Plan!q:q)</f>
        <v>0</v>
      </c>
      <c r="R1142">
        <f>sumif(Plan!B:B,"211-019500-254",Plan!r:r)</f>
        <v>0</v>
      </c>
      <c r="S1142">
        <f>sumif(Plan!B:B,"211-019500-254",Plan!s:s)</f>
        <v>0</v>
      </c>
      <c r="T1142">
        <f>sumif(Plan!B:B,"211-019500-254",Plan!t:t)</f>
        <v>0</v>
      </c>
      <c r="U1142">
        <f>sumif(Plan!B:B,"211-019500-254",Plan!u:u)</f>
        <v>0</v>
      </c>
      <c r="V1142">
        <f>sumif(Plan!B:B,"211-019500-254",Plan!v:v)</f>
        <v>0</v>
      </c>
      <c r="W1142">
        <f>sumif(Plan!B:B,"211-019500-254",Plan!w:w)</f>
        <v>0</v>
      </c>
      <c r="X1142">
        <f>sumif(Plan!B:B,"211-019500-254",Plan!x:x)</f>
        <v>0</v>
      </c>
      <c r="Y1142">
        <f>sumif(Plan!B:B,"211-019500-254",Plan!y:y)</f>
        <v>0</v>
      </c>
      <c r="Z1142">
        <f>sumif(Plan!B:B,"211-019500-254",Plan!z:z)</f>
        <v>0</v>
      </c>
      <c r="AA1142">
        <f>sumif(Plan!B:B,"211-019500-254",Plan!aa:aa)</f>
        <v>0</v>
      </c>
      <c r="AB1142">
        <f>sumif(Plan!B:B,"211-019500-254",Plan!ab:ab)</f>
        <v>0</v>
      </c>
      <c r="AC1142">
        <f>sumif(Plan!B:B,"211-019500-254",Plan!ac:ac)</f>
        <v>0</v>
      </c>
      <c r="AD1142">
        <f>sumif(Plan!B:B,"211-019500-254",Plan!ad:ad)</f>
        <v>0</v>
      </c>
      <c r="AE1142">
        <f>sumif(Plan!B:B,"211-019500-254",Plan!ae:ae)</f>
        <v>0</v>
      </c>
      <c r="AF1142">
        <f>sumif(Plan!B:B,"211-019500-254",Plan!af:af)</f>
        <v>0</v>
      </c>
      <c r="AG1142">
        <f>sumif(Plan!B:B,"211-019500-254",Plan!ag:ag)</f>
        <v>0</v>
      </c>
      <c r="AH1142">
        <f>sumif(Plan!B:B,"211-019500-254",Plan!ah:ah)</f>
        <v>0</v>
      </c>
      <c r="AI1142">
        <f>sumif(Plan!B:B,"211-019500-254",Plan!ai:ai)</f>
        <v>0</v>
      </c>
      <c r="AJ1142">
        <f>sumif(Plan!B:B,"211-019500-254",Plan!aj:aj)</f>
        <v>0</v>
      </c>
      <c r="AK1142">
        <f>sumif(Plan!B:B,"211-019500-254",Plan!ak:ak)</f>
        <v>0</v>
      </c>
      <c r="AL1142">
        <f>sumif(Plan!B:B,"211-019500-254",Plan!al:al)</f>
        <v>0</v>
      </c>
      <c r="AM1142">
        <f>sumif(Plan!B:B,"211-019500-254",Plan!am:am)</f>
        <v>0</v>
      </c>
      <c r="AN1142">
        <f>sumif(Plan!B:B,"211-019500-254",Plan!an:an)</f>
        <v>0</v>
      </c>
      <c r="AO1142">
        <f>sumif(Plan!B:B,"211-019500-254",Plan!ao:ao)</f>
        <v>0</v>
      </c>
    </row>
    <row r="1143" spans="1:41">
      <c r="A1143" t="s">
        <v>22</v>
      </c>
      <c r="B1143" t="s">
        <v>743</v>
      </c>
      <c r="C1143" t="s">
        <v>744</v>
      </c>
      <c r="E1143">
        <v>1</v>
      </c>
      <c r="F1143" t="s">
        <v>13</v>
      </c>
      <c r="H1143" t="s">
        <v>16</v>
      </c>
      <c r="J1143">
        <f>indirect(address(1143,9))+indirect(address(1141,10))-indirect(address(1142,10))</f>
        <v>0</v>
      </c>
      <c r="K1143">
        <f>indirect(address(1143,10))+indirect(address(1141,11))-indirect(address(1142,11))</f>
        <v>0</v>
      </c>
      <c r="L1143">
        <f>indirect(address(1143,11))+indirect(address(1141,12))-indirect(address(1142,12))</f>
        <v>0</v>
      </c>
      <c r="M1143">
        <f>indirect(address(1143,12))+indirect(address(1141,13))-indirect(address(1142,13))</f>
        <v>0</v>
      </c>
      <c r="N1143">
        <f>indirect(address(1143,13))+indirect(address(1141,14))-indirect(address(1142,14))</f>
        <v>0</v>
      </c>
      <c r="O1143">
        <f>indirect(address(1143,14))+indirect(address(1141,15))-indirect(address(1142,15))</f>
        <v>0</v>
      </c>
      <c r="P1143">
        <f>indirect(address(1143,15))+indirect(address(1141,16))-indirect(address(1142,16))</f>
        <v>0</v>
      </c>
      <c r="Q1143">
        <f>indirect(address(1143,16))+indirect(address(1141,17))-indirect(address(1142,17))</f>
        <v>0</v>
      </c>
      <c r="R1143">
        <f>indirect(address(1143,17))+indirect(address(1141,18))-indirect(address(1142,18))</f>
        <v>0</v>
      </c>
      <c r="S1143">
        <f>indirect(address(1143,18))+indirect(address(1141,19))-indirect(address(1142,19))</f>
        <v>0</v>
      </c>
      <c r="T1143">
        <f>indirect(address(1143,19))+indirect(address(1141,20))-indirect(address(1142,20))</f>
        <v>0</v>
      </c>
      <c r="U1143">
        <f>indirect(address(1143,20))+indirect(address(1141,21))-indirect(address(1142,21))</f>
        <v>0</v>
      </c>
      <c r="V1143">
        <f>indirect(address(1143,21))+indirect(address(1141,22))-indirect(address(1142,22))</f>
        <v>0</v>
      </c>
      <c r="W1143">
        <f>indirect(address(1143,22))+indirect(address(1141,23))-indirect(address(1142,23))</f>
        <v>0</v>
      </c>
      <c r="X1143">
        <f>indirect(address(1143,23))+indirect(address(1141,24))-indirect(address(1142,24))</f>
        <v>0</v>
      </c>
      <c r="Y1143">
        <f>indirect(address(1143,24))+indirect(address(1141,25))-indirect(address(1142,25))</f>
        <v>0</v>
      </c>
      <c r="Z1143">
        <f>indirect(address(1143,25))+indirect(address(1141,26))-indirect(address(1142,26))</f>
        <v>0</v>
      </c>
      <c r="AA1143">
        <f>indirect(address(1143,26))+indirect(address(1141,27))-indirect(address(1142,27))</f>
        <v>0</v>
      </c>
      <c r="AB1143">
        <f>indirect(address(1143,27))+indirect(address(1141,28))-indirect(address(1142,28))</f>
        <v>0</v>
      </c>
      <c r="AC1143">
        <f>indirect(address(1143,28))+indirect(address(1141,29))-indirect(address(1142,29))</f>
        <v>0</v>
      </c>
      <c r="AD1143">
        <f>indirect(address(1143,29))+indirect(address(1141,30))-indirect(address(1142,30))</f>
        <v>0</v>
      </c>
      <c r="AE1143">
        <f>indirect(address(1143,30))+indirect(address(1141,31))-indirect(address(1142,31))</f>
        <v>0</v>
      </c>
      <c r="AF1143">
        <f>indirect(address(1143,31))+indirect(address(1141,32))-indirect(address(1142,32))</f>
        <v>0</v>
      </c>
      <c r="AG1143">
        <f>indirect(address(1143,32))+indirect(address(1141,33))-indirect(address(1142,33))</f>
        <v>0</v>
      </c>
      <c r="AH1143">
        <f>indirect(address(1143,33))+indirect(address(1141,34))-indirect(address(1142,34))</f>
        <v>0</v>
      </c>
      <c r="AI1143">
        <f>indirect(address(1143,34))+indirect(address(1141,35))-indirect(address(1142,35))</f>
        <v>0</v>
      </c>
      <c r="AJ1143">
        <f>indirect(address(1143,35))+indirect(address(1141,36))-indirect(address(1142,36))</f>
        <v>0</v>
      </c>
      <c r="AK1143">
        <f>indirect(address(1143,36))+indirect(address(1141,37))-indirect(address(1142,37))</f>
        <v>0</v>
      </c>
      <c r="AL1143">
        <f>indirect(address(1143,37))+indirect(address(1141,38))-indirect(address(1142,38))</f>
        <v>0</v>
      </c>
      <c r="AM1143">
        <f>indirect(address(1143,38))+indirect(address(1141,39))-indirect(address(1142,39))</f>
        <v>0</v>
      </c>
      <c r="AN1143">
        <f>indirect(address(1143,39))+indirect(address(1141,40))-indirect(address(1142,40))</f>
        <v>0</v>
      </c>
      <c r="AO1143">
        <f>indirect(address(1143,40))+indirect(address(1141,41))-indirect(address(1142,41))</f>
        <v>0</v>
      </c>
    </row>
    <row r="1144" spans="1:41">
      <c r="I1144" t="s">
        <v>14</v>
      </c>
      <c r="AO1144">
        <f>sum(j1144:an1144)</f>
        <v>0</v>
      </c>
    </row>
    <row r="1145" spans="1:41">
      <c r="I1145" t="s">
        <v>15</v>
      </c>
      <c r="J1145">
        <f>sumif(Plan!B:B,"211-012000-254",Plan!j:j)</f>
        <v>0</v>
      </c>
      <c r="K1145">
        <f>sumif(Plan!B:B,"211-012000-254",Plan!k:k)</f>
        <v>0</v>
      </c>
      <c r="L1145">
        <f>sumif(Plan!B:B,"211-012000-254",Plan!l:l)</f>
        <v>0</v>
      </c>
      <c r="M1145">
        <f>sumif(Plan!B:B,"211-012000-254",Plan!m:m)</f>
        <v>0</v>
      </c>
      <c r="N1145">
        <f>sumif(Plan!B:B,"211-012000-254",Plan!n:n)</f>
        <v>0</v>
      </c>
      <c r="O1145">
        <f>sumif(Plan!B:B,"211-012000-254",Plan!o:o)</f>
        <v>0</v>
      </c>
      <c r="P1145">
        <f>sumif(Plan!B:B,"211-012000-254",Plan!p:p)</f>
        <v>0</v>
      </c>
      <c r="Q1145">
        <f>sumif(Plan!B:B,"211-012000-254",Plan!q:q)</f>
        <v>0</v>
      </c>
      <c r="R1145">
        <f>sumif(Plan!B:B,"211-012000-254",Plan!r:r)</f>
        <v>0</v>
      </c>
      <c r="S1145">
        <f>sumif(Plan!B:B,"211-012000-254",Plan!s:s)</f>
        <v>0</v>
      </c>
      <c r="T1145">
        <f>sumif(Plan!B:B,"211-012000-254",Plan!t:t)</f>
        <v>0</v>
      </c>
      <c r="U1145">
        <f>sumif(Plan!B:B,"211-012000-254",Plan!u:u)</f>
        <v>0</v>
      </c>
      <c r="V1145">
        <f>sumif(Plan!B:B,"211-012000-254",Plan!v:v)</f>
        <v>0</v>
      </c>
      <c r="W1145">
        <f>sumif(Plan!B:B,"211-012000-254",Plan!w:w)</f>
        <v>0</v>
      </c>
      <c r="X1145">
        <f>sumif(Plan!B:B,"211-012000-254",Plan!x:x)</f>
        <v>0</v>
      </c>
      <c r="Y1145">
        <f>sumif(Plan!B:B,"211-012000-254",Plan!y:y)</f>
        <v>0</v>
      </c>
      <c r="Z1145">
        <f>sumif(Plan!B:B,"211-012000-254",Plan!z:z)</f>
        <v>0</v>
      </c>
      <c r="AA1145">
        <f>sumif(Plan!B:B,"211-012000-254",Plan!aa:aa)</f>
        <v>0</v>
      </c>
      <c r="AB1145">
        <f>sumif(Plan!B:B,"211-012000-254",Plan!ab:ab)</f>
        <v>0</v>
      </c>
      <c r="AC1145">
        <f>sumif(Plan!B:B,"211-012000-254",Plan!ac:ac)</f>
        <v>0</v>
      </c>
      <c r="AD1145">
        <f>sumif(Plan!B:B,"211-012000-254",Plan!ad:ad)</f>
        <v>0</v>
      </c>
      <c r="AE1145">
        <f>sumif(Plan!B:B,"211-012000-254",Plan!ae:ae)</f>
        <v>0</v>
      </c>
      <c r="AF1145">
        <f>sumif(Plan!B:B,"211-012000-254",Plan!af:af)</f>
        <v>0</v>
      </c>
      <c r="AG1145">
        <f>sumif(Plan!B:B,"211-012000-254",Plan!ag:ag)</f>
        <v>0</v>
      </c>
      <c r="AH1145">
        <f>sumif(Plan!B:B,"211-012000-254",Plan!ah:ah)</f>
        <v>0</v>
      </c>
      <c r="AI1145">
        <f>sumif(Plan!B:B,"211-012000-254",Plan!ai:ai)</f>
        <v>0</v>
      </c>
      <c r="AJ1145">
        <f>sumif(Plan!B:B,"211-012000-254",Plan!aj:aj)</f>
        <v>0</v>
      </c>
      <c r="AK1145">
        <f>sumif(Plan!B:B,"211-012000-254",Plan!ak:ak)</f>
        <v>0</v>
      </c>
      <c r="AL1145">
        <f>sumif(Plan!B:B,"211-012000-254",Plan!al:al)</f>
        <v>0</v>
      </c>
      <c r="AM1145">
        <f>sumif(Plan!B:B,"211-012000-254",Plan!am:am)</f>
        <v>0</v>
      </c>
      <c r="AN1145">
        <f>sumif(Plan!B:B,"211-012000-254",Plan!an:an)</f>
        <v>0</v>
      </c>
      <c r="AO1145">
        <f>sumif(Plan!B:B,"211-012000-254",Plan!ao:ao)</f>
        <v>0</v>
      </c>
    </row>
    <row r="1146" spans="1:41">
      <c r="A1146" t="s">
        <v>22</v>
      </c>
      <c r="B1146" t="s">
        <v>745</v>
      </c>
      <c r="C1146" t="s">
        <v>746</v>
      </c>
      <c r="E1146">
        <v>1</v>
      </c>
      <c r="F1146" t="s">
        <v>13</v>
      </c>
      <c r="H1146" t="s">
        <v>16</v>
      </c>
      <c r="J1146">
        <f>indirect(address(1146,9))+indirect(address(1144,10))-indirect(address(1145,10))</f>
        <v>0</v>
      </c>
      <c r="K1146">
        <f>indirect(address(1146,10))+indirect(address(1144,11))-indirect(address(1145,11))</f>
        <v>0</v>
      </c>
      <c r="L1146">
        <f>indirect(address(1146,11))+indirect(address(1144,12))-indirect(address(1145,12))</f>
        <v>0</v>
      </c>
      <c r="M1146">
        <f>indirect(address(1146,12))+indirect(address(1144,13))-indirect(address(1145,13))</f>
        <v>0</v>
      </c>
      <c r="N1146">
        <f>indirect(address(1146,13))+indirect(address(1144,14))-indirect(address(1145,14))</f>
        <v>0</v>
      </c>
      <c r="O1146">
        <f>indirect(address(1146,14))+indirect(address(1144,15))-indirect(address(1145,15))</f>
        <v>0</v>
      </c>
      <c r="P1146">
        <f>indirect(address(1146,15))+indirect(address(1144,16))-indirect(address(1145,16))</f>
        <v>0</v>
      </c>
      <c r="Q1146">
        <f>indirect(address(1146,16))+indirect(address(1144,17))-indirect(address(1145,17))</f>
        <v>0</v>
      </c>
      <c r="R1146">
        <f>indirect(address(1146,17))+indirect(address(1144,18))-indirect(address(1145,18))</f>
        <v>0</v>
      </c>
      <c r="S1146">
        <f>indirect(address(1146,18))+indirect(address(1144,19))-indirect(address(1145,19))</f>
        <v>0</v>
      </c>
      <c r="T1146">
        <f>indirect(address(1146,19))+indirect(address(1144,20))-indirect(address(1145,20))</f>
        <v>0</v>
      </c>
      <c r="U1146">
        <f>indirect(address(1146,20))+indirect(address(1144,21))-indirect(address(1145,21))</f>
        <v>0</v>
      </c>
      <c r="V1146">
        <f>indirect(address(1146,21))+indirect(address(1144,22))-indirect(address(1145,22))</f>
        <v>0</v>
      </c>
      <c r="W1146">
        <f>indirect(address(1146,22))+indirect(address(1144,23))-indirect(address(1145,23))</f>
        <v>0</v>
      </c>
      <c r="X1146">
        <f>indirect(address(1146,23))+indirect(address(1144,24))-indirect(address(1145,24))</f>
        <v>0</v>
      </c>
      <c r="Y1146">
        <f>indirect(address(1146,24))+indirect(address(1144,25))-indirect(address(1145,25))</f>
        <v>0</v>
      </c>
      <c r="Z1146">
        <f>indirect(address(1146,25))+indirect(address(1144,26))-indirect(address(1145,26))</f>
        <v>0</v>
      </c>
      <c r="AA1146">
        <f>indirect(address(1146,26))+indirect(address(1144,27))-indirect(address(1145,27))</f>
        <v>0</v>
      </c>
      <c r="AB1146">
        <f>indirect(address(1146,27))+indirect(address(1144,28))-indirect(address(1145,28))</f>
        <v>0</v>
      </c>
      <c r="AC1146">
        <f>indirect(address(1146,28))+indirect(address(1144,29))-indirect(address(1145,29))</f>
        <v>0</v>
      </c>
      <c r="AD1146">
        <f>indirect(address(1146,29))+indirect(address(1144,30))-indirect(address(1145,30))</f>
        <v>0</v>
      </c>
      <c r="AE1146">
        <f>indirect(address(1146,30))+indirect(address(1144,31))-indirect(address(1145,31))</f>
        <v>0</v>
      </c>
      <c r="AF1146">
        <f>indirect(address(1146,31))+indirect(address(1144,32))-indirect(address(1145,32))</f>
        <v>0</v>
      </c>
      <c r="AG1146">
        <f>indirect(address(1146,32))+indirect(address(1144,33))-indirect(address(1145,33))</f>
        <v>0</v>
      </c>
      <c r="AH1146">
        <f>indirect(address(1146,33))+indirect(address(1144,34))-indirect(address(1145,34))</f>
        <v>0</v>
      </c>
      <c r="AI1146">
        <f>indirect(address(1146,34))+indirect(address(1144,35))-indirect(address(1145,35))</f>
        <v>0</v>
      </c>
      <c r="AJ1146">
        <f>indirect(address(1146,35))+indirect(address(1144,36))-indirect(address(1145,36))</f>
        <v>0</v>
      </c>
      <c r="AK1146">
        <f>indirect(address(1146,36))+indirect(address(1144,37))-indirect(address(1145,37))</f>
        <v>0</v>
      </c>
      <c r="AL1146">
        <f>indirect(address(1146,37))+indirect(address(1144,38))-indirect(address(1145,38))</f>
        <v>0</v>
      </c>
      <c r="AM1146">
        <f>indirect(address(1146,38))+indirect(address(1144,39))-indirect(address(1145,39))</f>
        <v>0</v>
      </c>
      <c r="AN1146">
        <f>indirect(address(1146,39))+indirect(address(1144,40))-indirect(address(1145,40))</f>
        <v>0</v>
      </c>
      <c r="AO1146">
        <f>indirect(address(1146,40))+indirect(address(1144,41))-indirect(address(1145,41))</f>
        <v>0</v>
      </c>
    </row>
    <row r="1147" spans="1:41">
      <c r="I1147" t="s">
        <v>14</v>
      </c>
      <c r="AO1147">
        <f>sum(j1147:an1147)</f>
        <v>0</v>
      </c>
    </row>
    <row r="1148" spans="1:41">
      <c r="I1148" t="s">
        <v>15</v>
      </c>
      <c r="J1148">
        <f>sumif(Plan!B:B,"806-958000-110",Plan!j:j)</f>
        <v>0</v>
      </c>
      <c r="K1148">
        <f>sumif(Plan!B:B,"806-958000-110",Plan!k:k)</f>
        <v>0</v>
      </c>
      <c r="L1148">
        <f>sumif(Plan!B:B,"806-958000-110",Plan!l:l)</f>
        <v>0</v>
      </c>
      <c r="M1148">
        <f>sumif(Plan!B:B,"806-958000-110",Plan!m:m)</f>
        <v>0</v>
      </c>
      <c r="N1148">
        <f>sumif(Plan!B:B,"806-958000-110",Plan!n:n)</f>
        <v>0</v>
      </c>
      <c r="O1148">
        <f>sumif(Plan!B:B,"806-958000-110",Plan!o:o)</f>
        <v>0</v>
      </c>
      <c r="P1148">
        <f>sumif(Plan!B:B,"806-958000-110",Plan!p:p)</f>
        <v>0</v>
      </c>
      <c r="Q1148">
        <f>sumif(Plan!B:B,"806-958000-110",Plan!q:q)</f>
        <v>0</v>
      </c>
      <c r="R1148">
        <f>sumif(Plan!B:B,"806-958000-110",Plan!r:r)</f>
        <v>0</v>
      </c>
      <c r="S1148">
        <f>sumif(Plan!B:B,"806-958000-110",Plan!s:s)</f>
        <v>0</v>
      </c>
      <c r="T1148">
        <f>sumif(Plan!B:B,"806-958000-110",Plan!t:t)</f>
        <v>0</v>
      </c>
      <c r="U1148">
        <f>sumif(Plan!B:B,"806-958000-110",Plan!u:u)</f>
        <v>0</v>
      </c>
      <c r="V1148">
        <f>sumif(Plan!B:B,"806-958000-110",Plan!v:v)</f>
        <v>0</v>
      </c>
      <c r="W1148">
        <f>sumif(Plan!B:B,"806-958000-110",Plan!w:w)</f>
        <v>0</v>
      </c>
      <c r="X1148">
        <f>sumif(Plan!B:B,"806-958000-110",Plan!x:x)</f>
        <v>0</v>
      </c>
      <c r="Y1148">
        <f>sumif(Plan!B:B,"806-958000-110",Plan!y:y)</f>
        <v>0</v>
      </c>
      <c r="Z1148">
        <f>sumif(Plan!B:B,"806-958000-110",Plan!z:z)</f>
        <v>0</v>
      </c>
      <c r="AA1148">
        <f>sumif(Plan!B:B,"806-958000-110",Plan!aa:aa)</f>
        <v>0</v>
      </c>
      <c r="AB1148">
        <f>sumif(Plan!B:B,"806-958000-110",Plan!ab:ab)</f>
        <v>0</v>
      </c>
      <c r="AC1148">
        <f>sumif(Plan!B:B,"806-958000-110",Plan!ac:ac)</f>
        <v>0</v>
      </c>
      <c r="AD1148">
        <f>sumif(Plan!B:B,"806-958000-110",Plan!ad:ad)</f>
        <v>0</v>
      </c>
      <c r="AE1148">
        <f>sumif(Plan!B:B,"806-958000-110",Plan!ae:ae)</f>
        <v>0</v>
      </c>
      <c r="AF1148">
        <f>sumif(Plan!B:B,"806-958000-110",Plan!af:af)</f>
        <v>0</v>
      </c>
      <c r="AG1148">
        <f>sumif(Plan!B:B,"806-958000-110",Plan!ag:ag)</f>
        <v>0</v>
      </c>
      <c r="AH1148">
        <f>sumif(Plan!B:B,"806-958000-110",Plan!ah:ah)</f>
        <v>0</v>
      </c>
      <c r="AI1148">
        <f>sumif(Plan!B:B,"806-958000-110",Plan!ai:ai)</f>
        <v>0</v>
      </c>
      <c r="AJ1148">
        <f>sumif(Plan!B:B,"806-958000-110",Plan!aj:aj)</f>
        <v>0</v>
      </c>
      <c r="AK1148">
        <f>sumif(Plan!B:B,"806-958000-110",Plan!ak:ak)</f>
        <v>0</v>
      </c>
      <c r="AL1148">
        <f>sumif(Plan!B:B,"806-958000-110",Plan!al:al)</f>
        <v>0</v>
      </c>
      <c r="AM1148">
        <f>sumif(Plan!B:B,"806-958000-110",Plan!am:am)</f>
        <v>0</v>
      </c>
      <c r="AN1148">
        <f>sumif(Plan!B:B,"806-958000-110",Plan!an:an)</f>
        <v>0</v>
      </c>
      <c r="AO1148">
        <f>sumif(Plan!B:B,"806-958000-110",Plan!ao:ao)</f>
        <v>0</v>
      </c>
    </row>
    <row r="1149" spans="1:41">
      <c r="A1149" t="s">
        <v>17</v>
      </c>
      <c r="B1149" t="s">
        <v>749</v>
      </c>
      <c r="C1149" t="s">
        <v>750</v>
      </c>
      <c r="E1149">
        <v>1</v>
      </c>
      <c r="F1149" t="s">
        <v>13</v>
      </c>
      <c r="H1149" t="s">
        <v>16</v>
      </c>
      <c r="J1149">
        <f>indirect(address(1149,9))+indirect(address(1147,10))-indirect(address(1148,10))</f>
        <v>0</v>
      </c>
      <c r="K1149">
        <f>indirect(address(1149,10))+indirect(address(1147,11))-indirect(address(1148,11))</f>
        <v>0</v>
      </c>
      <c r="L1149">
        <f>indirect(address(1149,11))+indirect(address(1147,12))-indirect(address(1148,12))</f>
        <v>0</v>
      </c>
      <c r="M1149">
        <f>indirect(address(1149,12))+indirect(address(1147,13))-indirect(address(1148,13))</f>
        <v>0</v>
      </c>
      <c r="N1149">
        <f>indirect(address(1149,13))+indirect(address(1147,14))-indirect(address(1148,14))</f>
        <v>0</v>
      </c>
      <c r="O1149">
        <f>indirect(address(1149,14))+indirect(address(1147,15))-indirect(address(1148,15))</f>
        <v>0</v>
      </c>
      <c r="P1149">
        <f>indirect(address(1149,15))+indirect(address(1147,16))-indirect(address(1148,16))</f>
        <v>0</v>
      </c>
      <c r="Q1149">
        <f>indirect(address(1149,16))+indirect(address(1147,17))-indirect(address(1148,17))</f>
        <v>0</v>
      </c>
      <c r="R1149">
        <f>indirect(address(1149,17))+indirect(address(1147,18))-indirect(address(1148,18))</f>
        <v>0</v>
      </c>
      <c r="S1149">
        <f>indirect(address(1149,18))+indirect(address(1147,19))-indirect(address(1148,19))</f>
        <v>0</v>
      </c>
      <c r="T1149">
        <f>indirect(address(1149,19))+indirect(address(1147,20))-indirect(address(1148,20))</f>
        <v>0</v>
      </c>
      <c r="U1149">
        <f>indirect(address(1149,20))+indirect(address(1147,21))-indirect(address(1148,21))</f>
        <v>0</v>
      </c>
      <c r="V1149">
        <f>indirect(address(1149,21))+indirect(address(1147,22))-indirect(address(1148,22))</f>
        <v>0</v>
      </c>
      <c r="W1149">
        <f>indirect(address(1149,22))+indirect(address(1147,23))-indirect(address(1148,23))</f>
        <v>0</v>
      </c>
      <c r="X1149">
        <f>indirect(address(1149,23))+indirect(address(1147,24))-indirect(address(1148,24))</f>
        <v>0</v>
      </c>
      <c r="Y1149">
        <f>indirect(address(1149,24))+indirect(address(1147,25))-indirect(address(1148,25))</f>
        <v>0</v>
      </c>
      <c r="Z1149">
        <f>indirect(address(1149,25))+indirect(address(1147,26))-indirect(address(1148,26))</f>
        <v>0</v>
      </c>
      <c r="AA1149">
        <f>indirect(address(1149,26))+indirect(address(1147,27))-indirect(address(1148,27))</f>
        <v>0</v>
      </c>
      <c r="AB1149">
        <f>indirect(address(1149,27))+indirect(address(1147,28))-indirect(address(1148,28))</f>
        <v>0</v>
      </c>
      <c r="AC1149">
        <f>indirect(address(1149,28))+indirect(address(1147,29))-indirect(address(1148,29))</f>
        <v>0</v>
      </c>
      <c r="AD1149">
        <f>indirect(address(1149,29))+indirect(address(1147,30))-indirect(address(1148,30))</f>
        <v>0</v>
      </c>
      <c r="AE1149">
        <f>indirect(address(1149,30))+indirect(address(1147,31))-indirect(address(1148,31))</f>
        <v>0</v>
      </c>
      <c r="AF1149">
        <f>indirect(address(1149,31))+indirect(address(1147,32))-indirect(address(1148,32))</f>
        <v>0</v>
      </c>
      <c r="AG1149">
        <f>indirect(address(1149,32))+indirect(address(1147,33))-indirect(address(1148,33))</f>
        <v>0</v>
      </c>
      <c r="AH1149">
        <f>indirect(address(1149,33))+indirect(address(1147,34))-indirect(address(1148,34))</f>
        <v>0</v>
      </c>
      <c r="AI1149">
        <f>indirect(address(1149,34))+indirect(address(1147,35))-indirect(address(1148,35))</f>
        <v>0</v>
      </c>
      <c r="AJ1149">
        <f>indirect(address(1149,35))+indirect(address(1147,36))-indirect(address(1148,36))</f>
        <v>0</v>
      </c>
      <c r="AK1149">
        <f>indirect(address(1149,36))+indirect(address(1147,37))-indirect(address(1148,37))</f>
        <v>0</v>
      </c>
      <c r="AL1149">
        <f>indirect(address(1149,37))+indirect(address(1147,38))-indirect(address(1148,38))</f>
        <v>0</v>
      </c>
      <c r="AM1149">
        <f>indirect(address(1149,38))+indirect(address(1147,39))-indirect(address(1148,39))</f>
        <v>0</v>
      </c>
      <c r="AN1149">
        <f>indirect(address(1149,39))+indirect(address(1147,40))-indirect(address(1148,40))</f>
        <v>0</v>
      </c>
      <c r="AO1149">
        <f>indirect(address(1149,40))+indirect(address(1147,41))-indirect(address(1148,41))</f>
        <v>0</v>
      </c>
    </row>
    <row r="1150" spans="1:41">
      <c r="I1150" t="s">
        <v>14</v>
      </c>
      <c r="AO1150">
        <f>sum(j1150:an1150)</f>
        <v>0</v>
      </c>
    </row>
    <row r="1151" spans="1:41">
      <c r="I1151" t="s">
        <v>15</v>
      </c>
      <c r="J1151">
        <f>sumif(Plan!B:B,"211-011900-000",Plan!j:j)</f>
        <v>0</v>
      </c>
      <c r="K1151">
        <f>sumif(Plan!B:B,"211-011900-000",Plan!k:k)</f>
        <v>0</v>
      </c>
      <c r="L1151">
        <f>sumif(Plan!B:B,"211-011900-000",Plan!l:l)</f>
        <v>0</v>
      </c>
      <c r="M1151">
        <f>sumif(Plan!B:B,"211-011900-000",Plan!m:m)</f>
        <v>0</v>
      </c>
      <c r="N1151">
        <f>sumif(Plan!B:B,"211-011900-000",Plan!n:n)</f>
        <v>0</v>
      </c>
      <c r="O1151">
        <f>sumif(Plan!B:B,"211-011900-000",Plan!o:o)</f>
        <v>0</v>
      </c>
      <c r="P1151">
        <f>sumif(Plan!B:B,"211-011900-000",Plan!p:p)</f>
        <v>0</v>
      </c>
      <c r="Q1151">
        <f>sumif(Plan!B:B,"211-011900-000",Plan!q:q)</f>
        <v>0</v>
      </c>
      <c r="R1151">
        <f>sumif(Plan!B:B,"211-011900-000",Plan!r:r)</f>
        <v>0</v>
      </c>
      <c r="S1151">
        <f>sumif(Plan!B:B,"211-011900-000",Plan!s:s)</f>
        <v>0</v>
      </c>
      <c r="T1151">
        <f>sumif(Plan!B:B,"211-011900-000",Plan!t:t)</f>
        <v>0</v>
      </c>
      <c r="U1151">
        <f>sumif(Plan!B:B,"211-011900-000",Plan!u:u)</f>
        <v>0</v>
      </c>
      <c r="V1151">
        <f>sumif(Plan!B:B,"211-011900-000",Plan!v:v)</f>
        <v>0</v>
      </c>
      <c r="W1151">
        <f>sumif(Plan!B:B,"211-011900-000",Plan!w:w)</f>
        <v>0</v>
      </c>
      <c r="X1151">
        <f>sumif(Plan!B:B,"211-011900-000",Plan!x:x)</f>
        <v>0</v>
      </c>
      <c r="Y1151">
        <f>sumif(Plan!B:B,"211-011900-000",Plan!y:y)</f>
        <v>0</v>
      </c>
      <c r="Z1151">
        <f>sumif(Plan!B:B,"211-011900-000",Plan!z:z)</f>
        <v>0</v>
      </c>
      <c r="AA1151">
        <f>sumif(Plan!B:B,"211-011900-000",Plan!aa:aa)</f>
        <v>0</v>
      </c>
      <c r="AB1151">
        <f>sumif(Plan!B:B,"211-011900-000",Plan!ab:ab)</f>
        <v>0</v>
      </c>
      <c r="AC1151">
        <f>sumif(Plan!B:B,"211-011900-000",Plan!ac:ac)</f>
        <v>0</v>
      </c>
      <c r="AD1151">
        <f>sumif(Plan!B:B,"211-011900-000",Plan!ad:ad)</f>
        <v>0</v>
      </c>
      <c r="AE1151">
        <f>sumif(Plan!B:B,"211-011900-000",Plan!ae:ae)</f>
        <v>0</v>
      </c>
      <c r="AF1151">
        <f>sumif(Plan!B:B,"211-011900-000",Plan!af:af)</f>
        <v>0</v>
      </c>
      <c r="AG1151">
        <f>sumif(Plan!B:B,"211-011900-000",Plan!ag:ag)</f>
        <v>0</v>
      </c>
      <c r="AH1151">
        <f>sumif(Plan!B:B,"211-011900-000",Plan!ah:ah)</f>
        <v>0</v>
      </c>
      <c r="AI1151">
        <f>sumif(Plan!B:B,"211-011900-000",Plan!ai:ai)</f>
        <v>0</v>
      </c>
      <c r="AJ1151">
        <f>sumif(Plan!B:B,"211-011900-000",Plan!aj:aj)</f>
        <v>0</v>
      </c>
      <c r="AK1151">
        <f>sumif(Plan!B:B,"211-011900-000",Plan!ak:ak)</f>
        <v>0</v>
      </c>
      <c r="AL1151">
        <f>sumif(Plan!B:B,"211-011900-000",Plan!al:al)</f>
        <v>0</v>
      </c>
      <c r="AM1151">
        <f>sumif(Plan!B:B,"211-011900-000",Plan!am:am)</f>
        <v>0</v>
      </c>
      <c r="AN1151">
        <f>sumif(Plan!B:B,"211-011900-000",Plan!an:an)</f>
        <v>0</v>
      </c>
      <c r="AO1151">
        <f>sumif(Plan!B:B,"211-011900-000",Plan!ao:ao)</f>
        <v>0</v>
      </c>
    </row>
    <row r="1152" spans="1:41">
      <c r="A1152" t="s">
        <v>22</v>
      </c>
      <c r="B1152" t="s">
        <v>751</v>
      </c>
      <c r="C1152" t="s">
        <v>752</v>
      </c>
      <c r="E1152">
        <v>1</v>
      </c>
      <c r="F1152" t="s">
        <v>13</v>
      </c>
      <c r="H1152" t="s">
        <v>16</v>
      </c>
      <c r="J1152">
        <f>indirect(address(1152,9))+indirect(address(1150,10))-indirect(address(1151,10))</f>
        <v>0</v>
      </c>
      <c r="K1152">
        <f>indirect(address(1152,10))+indirect(address(1150,11))-indirect(address(1151,11))</f>
        <v>0</v>
      </c>
      <c r="L1152">
        <f>indirect(address(1152,11))+indirect(address(1150,12))-indirect(address(1151,12))</f>
        <v>0</v>
      </c>
      <c r="M1152">
        <f>indirect(address(1152,12))+indirect(address(1150,13))-indirect(address(1151,13))</f>
        <v>0</v>
      </c>
      <c r="N1152">
        <f>indirect(address(1152,13))+indirect(address(1150,14))-indirect(address(1151,14))</f>
        <v>0</v>
      </c>
      <c r="O1152">
        <f>indirect(address(1152,14))+indirect(address(1150,15))-indirect(address(1151,15))</f>
        <v>0</v>
      </c>
      <c r="P1152">
        <f>indirect(address(1152,15))+indirect(address(1150,16))-indirect(address(1151,16))</f>
        <v>0</v>
      </c>
      <c r="Q1152">
        <f>indirect(address(1152,16))+indirect(address(1150,17))-indirect(address(1151,17))</f>
        <v>0</v>
      </c>
      <c r="R1152">
        <f>indirect(address(1152,17))+indirect(address(1150,18))-indirect(address(1151,18))</f>
        <v>0</v>
      </c>
      <c r="S1152">
        <f>indirect(address(1152,18))+indirect(address(1150,19))-indirect(address(1151,19))</f>
        <v>0</v>
      </c>
      <c r="T1152">
        <f>indirect(address(1152,19))+indirect(address(1150,20))-indirect(address(1151,20))</f>
        <v>0</v>
      </c>
      <c r="U1152">
        <f>indirect(address(1152,20))+indirect(address(1150,21))-indirect(address(1151,21))</f>
        <v>0</v>
      </c>
      <c r="V1152">
        <f>indirect(address(1152,21))+indirect(address(1150,22))-indirect(address(1151,22))</f>
        <v>0</v>
      </c>
      <c r="W1152">
        <f>indirect(address(1152,22))+indirect(address(1150,23))-indirect(address(1151,23))</f>
        <v>0</v>
      </c>
      <c r="X1152">
        <f>indirect(address(1152,23))+indirect(address(1150,24))-indirect(address(1151,24))</f>
        <v>0</v>
      </c>
      <c r="Y1152">
        <f>indirect(address(1152,24))+indirect(address(1150,25))-indirect(address(1151,25))</f>
        <v>0</v>
      </c>
      <c r="Z1152">
        <f>indirect(address(1152,25))+indirect(address(1150,26))-indirect(address(1151,26))</f>
        <v>0</v>
      </c>
      <c r="AA1152">
        <f>indirect(address(1152,26))+indirect(address(1150,27))-indirect(address(1151,27))</f>
        <v>0</v>
      </c>
      <c r="AB1152">
        <f>indirect(address(1152,27))+indirect(address(1150,28))-indirect(address(1151,28))</f>
        <v>0</v>
      </c>
      <c r="AC1152">
        <f>indirect(address(1152,28))+indirect(address(1150,29))-indirect(address(1151,29))</f>
        <v>0</v>
      </c>
      <c r="AD1152">
        <f>indirect(address(1152,29))+indirect(address(1150,30))-indirect(address(1151,30))</f>
        <v>0</v>
      </c>
      <c r="AE1152">
        <f>indirect(address(1152,30))+indirect(address(1150,31))-indirect(address(1151,31))</f>
        <v>0</v>
      </c>
      <c r="AF1152">
        <f>indirect(address(1152,31))+indirect(address(1150,32))-indirect(address(1151,32))</f>
        <v>0</v>
      </c>
      <c r="AG1152">
        <f>indirect(address(1152,32))+indirect(address(1150,33))-indirect(address(1151,33))</f>
        <v>0</v>
      </c>
      <c r="AH1152">
        <f>indirect(address(1152,33))+indirect(address(1150,34))-indirect(address(1151,34))</f>
        <v>0</v>
      </c>
      <c r="AI1152">
        <f>indirect(address(1152,34))+indirect(address(1150,35))-indirect(address(1151,35))</f>
        <v>0</v>
      </c>
      <c r="AJ1152">
        <f>indirect(address(1152,35))+indirect(address(1150,36))-indirect(address(1151,36))</f>
        <v>0</v>
      </c>
      <c r="AK1152">
        <f>indirect(address(1152,36))+indirect(address(1150,37))-indirect(address(1151,37))</f>
        <v>0</v>
      </c>
      <c r="AL1152">
        <f>indirect(address(1152,37))+indirect(address(1150,38))-indirect(address(1151,38))</f>
        <v>0</v>
      </c>
      <c r="AM1152">
        <f>indirect(address(1152,38))+indirect(address(1150,39))-indirect(address(1151,39))</f>
        <v>0</v>
      </c>
      <c r="AN1152">
        <f>indirect(address(1152,39))+indirect(address(1150,40))-indirect(address(1151,40))</f>
        <v>0</v>
      </c>
      <c r="AO1152">
        <f>indirect(address(1152,40))+indirect(address(1150,41))-indirect(address(1151,41))</f>
        <v>0</v>
      </c>
    </row>
    <row r="1153" spans="1:41">
      <c r="I1153" t="s">
        <v>14</v>
      </c>
      <c r="AO1153">
        <f>sum(j1153:an1153)</f>
        <v>0</v>
      </c>
    </row>
    <row r="1154" spans="1:41">
      <c r="I1154" t="s">
        <v>15</v>
      </c>
      <c r="J1154">
        <f>sumif(Plan!B:B,"211-006000-108",Plan!j:j)</f>
        <v>0</v>
      </c>
      <c r="K1154">
        <f>sumif(Plan!B:B,"211-006000-108",Plan!k:k)</f>
        <v>0</v>
      </c>
      <c r="L1154">
        <f>sumif(Plan!B:B,"211-006000-108",Plan!l:l)</f>
        <v>0</v>
      </c>
      <c r="M1154">
        <f>sumif(Plan!B:B,"211-006000-108",Plan!m:m)</f>
        <v>0</v>
      </c>
      <c r="N1154">
        <f>sumif(Plan!B:B,"211-006000-108",Plan!n:n)</f>
        <v>0</v>
      </c>
      <c r="O1154">
        <f>sumif(Plan!B:B,"211-006000-108",Plan!o:o)</f>
        <v>0</v>
      </c>
      <c r="P1154">
        <f>sumif(Plan!B:B,"211-006000-108",Plan!p:p)</f>
        <v>0</v>
      </c>
      <c r="Q1154">
        <f>sumif(Plan!B:B,"211-006000-108",Plan!q:q)</f>
        <v>0</v>
      </c>
      <c r="R1154">
        <f>sumif(Plan!B:B,"211-006000-108",Plan!r:r)</f>
        <v>0</v>
      </c>
      <c r="S1154">
        <f>sumif(Plan!B:B,"211-006000-108",Plan!s:s)</f>
        <v>0</v>
      </c>
      <c r="T1154">
        <f>sumif(Plan!B:B,"211-006000-108",Plan!t:t)</f>
        <v>0</v>
      </c>
      <c r="U1154">
        <f>sumif(Plan!B:B,"211-006000-108",Plan!u:u)</f>
        <v>0</v>
      </c>
      <c r="V1154">
        <f>sumif(Plan!B:B,"211-006000-108",Plan!v:v)</f>
        <v>0</v>
      </c>
      <c r="W1154">
        <f>sumif(Plan!B:B,"211-006000-108",Plan!w:w)</f>
        <v>0</v>
      </c>
      <c r="X1154">
        <f>sumif(Plan!B:B,"211-006000-108",Plan!x:x)</f>
        <v>0</v>
      </c>
      <c r="Y1154">
        <f>sumif(Plan!B:B,"211-006000-108",Plan!y:y)</f>
        <v>0</v>
      </c>
      <c r="Z1154">
        <f>sumif(Plan!B:B,"211-006000-108",Plan!z:z)</f>
        <v>0</v>
      </c>
      <c r="AA1154">
        <f>sumif(Plan!B:B,"211-006000-108",Plan!aa:aa)</f>
        <v>0</v>
      </c>
      <c r="AB1154">
        <f>sumif(Plan!B:B,"211-006000-108",Plan!ab:ab)</f>
        <v>0</v>
      </c>
      <c r="AC1154">
        <f>sumif(Plan!B:B,"211-006000-108",Plan!ac:ac)</f>
        <v>0</v>
      </c>
      <c r="AD1154">
        <f>sumif(Plan!B:B,"211-006000-108",Plan!ad:ad)</f>
        <v>0</v>
      </c>
      <c r="AE1154">
        <f>sumif(Plan!B:B,"211-006000-108",Plan!ae:ae)</f>
        <v>0</v>
      </c>
      <c r="AF1154">
        <f>sumif(Plan!B:B,"211-006000-108",Plan!af:af)</f>
        <v>0</v>
      </c>
      <c r="AG1154">
        <f>sumif(Plan!B:B,"211-006000-108",Plan!ag:ag)</f>
        <v>0</v>
      </c>
      <c r="AH1154">
        <f>sumif(Plan!B:B,"211-006000-108",Plan!ah:ah)</f>
        <v>0</v>
      </c>
      <c r="AI1154">
        <f>sumif(Plan!B:B,"211-006000-108",Plan!ai:ai)</f>
        <v>0</v>
      </c>
      <c r="AJ1154">
        <f>sumif(Plan!B:B,"211-006000-108",Plan!aj:aj)</f>
        <v>0</v>
      </c>
      <c r="AK1154">
        <f>sumif(Plan!B:B,"211-006000-108",Plan!ak:ak)</f>
        <v>0</v>
      </c>
      <c r="AL1154">
        <f>sumif(Plan!B:B,"211-006000-108",Plan!al:al)</f>
        <v>0</v>
      </c>
      <c r="AM1154">
        <f>sumif(Plan!B:B,"211-006000-108",Plan!am:am)</f>
        <v>0</v>
      </c>
      <c r="AN1154">
        <f>sumif(Plan!B:B,"211-006000-108",Plan!an:an)</f>
        <v>0</v>
      </c>
      <c r="AO1154">
        <f>sumif(Plan!B:B,"211-006000-108",Plan!ao:ao)</f>
        <v>0</v>
      </c>
    </row>
    <row r="1155" spans="1:41">
      <c r="A1155" t="s">
        <v>22</v>
      </c>
      <c r="B1155" t="s">
        <v>753</v>
      </c>
      <c r="C1155" t="s">
        <v>754</v>
      </c>
      <c r="E1155">
        <v>1</v>
      </c>
      <c r="F1155" t="s">
        <v>13</v>
      </c>
      <c r="H1155" t="s">
        <v>16</v>
      </c>
      <c r="J1155">
        <f>indirect(address(1155,9))+indirect(address(1153,10))-indirect(address(1154,10))</f>
        <v>0</v>
      </c>
      <c r="K1155">
        <f>indirect(address(1155,10))+indirect(address(1153,11))-indirect(address(1154,11))</f>
        <v>0</v>
      </c>
      <c r="L1155">
        <f>indirect(address(1155,11))+indirect(address(1153,12))-indirect(address(1154,12))</f>
        <v>0</v>
      </c>
      <c r="M1155">
        <f>indirect(address(1155,12))+indirect(address(1153,13))-indirect(address(1154,13))</f>
        <v>0</v>
      </c>
      <c r="N1155">
        <f>indirect(address(1155,13))+indirect(address(1153,14))-indirect(address(1154,14))</f>
        <v>0</v>
      </c>
      <c r="O1155">
        <f>indirect(address(1155,14))+indirect(address(1153,15))-indirect(address(1154,15))</f>
        <v>0</v>
      </c>
      <c r="P1155">
        <f>indirect(address(1155,15))+indirect(address(1153,16))-indirect(address(1154,16))</f>
        <v>0</v>
      </c>
      <c r="Q1155">
        <f>indirect(address(1155,16))+indirect(address(1153,17))-indirect(address(1154,17))</f>
        <v>0</v>
      </c>
      <c r="R1155">
        <f>indirect(address(1155,17))+indirect(address(1153,18))-indirect(address(1154,18))</f>
        <v>0</v>
      </c>
      <c r="S1155">
        <f>indirect(address(1155,18))+indirect(address(1153,19))-indirect(address(1154,19))</f>
        <v>0</v>
      </c>
      <c r="T1155">
        <f>indirect(address(1155,19))+indirect(address(1153,20))-indirect(address(1154,20))</f>
        <v>0</v>
      </c>
      <c r="U1155">
        <f>indirect(address(1155,20))+indirect(address(1153,21))-indirect(address(1154,21))</f>
        <v>0</v>
      </c>
      <c r="V1155">
        <f>indirect(address(1155,21))+indirect(address(1153,22))-indirect(address(1154,22))</f>
        <v>0</v>
      </c>
      <c r="W1155">
        <f>indirect(address(1155,22))+indirect(address(1153,23))-indirect(address(1154,23))</f>
        <v>0</v>
      </c>
      <c r="X1155">
        <f>indirect(address(1155,23))+indirect(address(1153,24))-indirect(address(1154,24))</f>
        <v>0</v>
      </c>
      <c r="Y1155">
        <f>indirect(address(1155,24))+indirect(address(1153,25))-indirect(address(1154,25))</f>
        <v>0</v>
      </c>
      <c r="Z1155">
        <f>indirect(address(1155,25))+indirect(address(1153,26))-indirect(address(1154,26))</f>
        <v>0</v>
      </c>
      <c r="AA1155">
        <f>indirect(address(1155,26))+indirect(address(1153,27))-indirect(address(1154,27))</f>
        <v>0</v>
      </c>
      <c r="AB1155">
        <f>indirect(address(1155,27))+indirect(address(1153,28))-indirect(address(1154,28))</f>
        <v>0</v>
      </c>
      <c r="AC1155">
        <f>indirect(address(1155,28))+indirect(address(1153,29))-indirect(address(1154,29))</f>
        <v>0</v>
      </c>
      <c r="AD1155">
        <f>indirect(address(1155,29))+indirect(address(1153,30))-indirect(address(1154,30))</f>
        <v>0</v>
      </c>
      <c r="AE1155">
        <f>indirect(address(1155,30))+indirect(address(1153,31))-indirect(address(1154,31))</f>
        <v>0</v>
      </c>
      <c r="AF1155">
        <f>indirect(address(1155,31))+indirect(address(1153,32))-indirect(address(1154,32))</f>
        <v>0</v>
      </c>
      <c r="AG1155">
        <f>indirect(address(1155,32))+indirect(address(1153,33))-indirect(address(1154,33))</f>
        <v>0</v>
      </c>
      <c r="AH1155">
        <f>indirect(address(1155,33))+indirect(address(1153,34))-indirect(address(1154,34))</f>
        <v>0</v>
      </c>
      <c r="AI1155">
        <f>indirect(address(1155,34))+indirect(address(1153,35))-indirect(address(1154,35))</f>
        <v>0</v>
      </c>
      <c r="AJ1155">
        <f>indirect(address(1155,35))+indirect(address(1153,36))-indirect(address(1154,36))</f>
        <v>0</v>
      </c>
      <c r="AK1155">
        <f>indirect(address(1155,36))+indirect(address(1153,37))-indirect(address(1154,37))</f>
        <v>0</v>
      </c>
      <c r="AL1155">
        <f>indirect(address(1155,37))+indirect(address(1153,38))-indirect(address(1154,38))</f>
        <v>0</v>
      </c>
      <c r="AM1155">
        <f>indirect(address(1155,38))+indirect(address(1153,39))-indirect(address(1154,39))</f>
        <v>0</v>
      </c>
      <c r="AN1155">
        <f>indirect(address(1155,39))+indirect(address(1153,40))-indirect(address(1154,40))</f>
        <v>0</v>
      </c>
      <c r="AO1155">
        <f>indirect(address(1155,40))+indirect(address(1153,41))-indirect(address(1154,41))</f>
        <v>0</v>
      </c>
    </row>
    <row r="1156" spans="1:41">
      <c r="I1156" t="s">
        <v>14</v>
      </c>
      <c r="AO1156">
        <f>sum(j1156:an1156)</f>
        <v>0</v>
      </c>
    </row>
    <row r="1157" spans="1:41">
      <c r="I1157" t="s">
        <v>15</v>
      </c>
      <c r="J1157">
        <f>sumif(Plan!B:B,"211-000550-155",Plan!j:j)</f>
        <v>0</v>
      </c>
      <c r="K1157">
        <f>sumif(Plan!B:B,"211-000550-155",Plan!k:k)</f>
        <v>0</v>
      </c>
      <c r="L1157">
        <f>sumif(Plan!B:B,"211-000550-155",Plan!l:l)</f>
        <v>0</v>
      </c>
      <c r="M1157">
        <f>sumif(Plan!B:B,"211-000550-155",Plan!m:m)</f>
        <v>0</v>
      </c>
      <c r="N1157">
        <f>sumif(Plan!B:B,"211-000550-155",Plan!n:n)</f>
        <v>0</v>
      </c>
      <c r="O1157">
        <f>sumif(Plan!B:B,"211-000550-155",Plan!o:o)</f>
        <v>0</v>
      </c>
      <c r="P1157">
        <f>sumif(Plan!B:B,"211-000550-155",Plan!p:p)</f>
        <v>0</v>
      </c>
      <c r="Q1157">
        <f>sumif(Plan!B:B,"211-000550-155",Plan!q:q)</f>
        <v>0</v>
      </c>
      <c r="R1157">
        <f>sumif(Plan!B:B,"211-000550-155",Plan!r:r)</f>
        <v>0</v>
      </c>
      <c r="S1157">
        <f>sumif(Plan!B:B,"211-000550-155",Plan!s:s)</f>
        <v>0</v>
      </c>
      <c r="T1157">
        <f>sumif(Plan!B:B,"211-000550-155",Plan!t:t)</f>
        <v>0</v>
      </c>
      <c r="U1157">
        <f>sumif(Plan!B:B,"211-000550-155",Plan!u:u)</f>
        <v>0</v>
      </c>
      <c r="V1157">
        <f>sumif(Plan!B:B,"211-000550-155",Plan!v:v)</f>
        <v>0</v>
      </c>
      <c r="W1157">
        <f>sumif(Plan!B:B,"211-000550-155",Plan!w:w)</f>
        <v>0</v>
      </c>
      <c r="X1157">
        <f>sumif(Plan!B:B,"211-000550-155",Plan!x:x)</f>
        <v>0</v>
      </c>
      <c r="Y1157">
        <f>sumif(Plan!B:B,"211-000550-155",Plan!y:y)</f>
        <v>0</v>
      </c>
      <c r="Z1157">
        <f>sumif(Plan!B:B,"211-000550-155",Plan!z:z)</f>
        <v>0</v>
      </c>
      <c r="AA1157">
        <f>sumif(Plan!B:B,"211-000550-155",Plan!aa:aa)</f>
        <v>0</v>
      </c>
      <c r="AB1157">
        <f>sumif(Plan!B:B,"211-000550-155",Plan!ab:ab)</f>
        <v>0</v>
      </c>
      <c r="AC1157">
        <f>sumif(Plan!B:B,"211-000550-155",Plan!ac:ac)</f>
        <v>0</v>
      </c>
      <c r="AD1157">
        <f>sumif(Plan!B:B,"211-000550-155",Plan!ad:ad)</f>
        <v>0</v>
      </c>
      <c r="AE1157">
        <f>sumif(Plan!B:B,"211-000550-155",Plan!ae:ae)</f>
        <v>0</v>
      </c>
      <c r="AF1157">
        <f>sumif(Plan!B:B,"211-000550-155",Plan!af:af)</f>
        <v>0</v>
      </c>
      <c r="AG1157">
        <f>sumif(Plan!B:B,"211-000550-155",Plan!ag:ag)</f>
        <v>0</v>
      </c>
      <c r="AH1157">
        <f>sumif(Plan!B:B,"211-000550-155",Plan!ah:ah)</f>
        <v>0</v>
      </c>
      <c r="AI1157">
        <f>sumif(Plan!B:B,"211-000550-155",Plan!ai:ai)</f>
        <v>0</v>
      </c>
      <c r="AJ1157">
        <f>sumif(Plan!B:B,"211-000550-155",Plan!aj:aj)</f>
        <v>0</v>
      </c>
      <c r="AK1157">
        <f>sumif(Plan!B:B,"211-000550-155",Plan!ak:ak)</f>
        <v>0</v>
      </c>
      <c r="AL1157">
        <f>sumif(Plan!B:B,"211-000550-155",Plan!al:al)</f>
        <v>0</v>
      </c>
      <c r="AM1157">
        <f>sumif(Plan!B:B,"211-000550-155",Plan!am:am)</f>
        <v>0</v>
      </c>
      <c r="AN1157">
        <f>sumif(Plan!B:B,"211-000550-155",Plan!an:an)</f>
        <v>0</v>
      </c>
      <c r="AO1157">
        <f>sumif(Plan!B:B,"211-000550-155",Plan!ao:ao)</f>
        <v>0</v>
      </c>
    </row>
    <row r="1158" spans="1:41">
      <c r="A1158" t="s">
        <v>22</v>
      </c>
      <c r="B1158" t="s">
        <v>721</v>
      </c>
      <c r="C1158" t="s">
        <v>755</v>
      </c>
      <c r="E1158">
        <v>2</v>
      </c>
      <c r="F1158" t="s">
        <v>13</v>
      </c>
      <c r="H1158" t="s">
        <v>16</v>
      </c>
      <c r="J1158">
        <f>indirect(address(1158,9))+indirect(address(1156,10))-indirect(address(1157,10))</f>
        <v>0</v>
      </c>
      <c r="K1158">
        <f>indirect(address(1158,10))+indirect(address(1156,11))-indirect(address(1157,11))</f>
        <v>0</v>
      </c>
      <c r="L1158">
        <f>indirect(address(1158,11))+indirect(address(1156,12))-indirect(address(1157,12))</f>
        <v>0</v>
      </c>
      <c r="M1158">
        <f>indirect(address(1158,12))+indirect(address(1156,13))-indirect(address(1157,13))</f>
        <v>0</v>
      </c>
      <c r="N1158">
        <f>indirect(address(1158,13))+indirect(address(1156,14))-indirect(address(1157,14))</f>
        <v>0</v>
      </c>
      <c r="O1158">
        <f>indirect(address(1158,14))+indirect(address(1156,15))-indirect(address(1157,15))</f>
        <v>0</v>
      </c>
      <c r="P1158">
        <f>indirect(address(1158,15))+indirect(address(1156,16))-indirect(address(1157,16))</f>
        <v>0</v>
      </c>
      <c r="Q1158">
        <f>indirect(address(1158,16))+indirect(address(1156,17))-indirect(address(1157,17))</f>
        <v>0</v>
      </c>
      <c r="R1158">
        <f>indirect(address(1158,17))+indirect(address(1156,18))-indirect(address(1157,18))</f>
        <v>0</v>
      </c>
      <c r="S1158">
        <f>indirect(address(1158,18))+indirect(address(1156,19))-indirect(address(1157,19))</f>
        <v>0</v>
      </c>
      <c r="T1158">
        <f>indirect(address(1158,19))+indirect(address(1156,20))-indirect(address(1157,20))</f>
        <v>0</v>
      </c>
      <c r="U1158">
        <f>indirect(address(1158,20))+indirect(address(1156,21))-indirect(address(1157,21))</f>
        <v>0</v>
      </c>
      <c r="V1158">
        <f>indirect(address(1158,21))+indirect(address(1156,22))-indirect(address(1157,22))</f>
        <v>0</v>
      </c>
      <c r="W1158">
        <f>indirect(address(1158,22))+indirect(address(1156,23))-indirect(address(1157,23))</f>
        <v>0</v>
      </c>
      <c r="X1158">
        <f>indirect(address(1158,23))+indirect(address(1156,24))-indirect(address(1157,24))</f>
        <v>0</v>
      </c>
      <c r="Y1158">
        <f>indirect(address(1158,24))+indirect(address(1156,25))-indirect(address(1157,25))</f>
        <v>0</v>
      </c>
      <c r="Z1158">
        <f>indirect(address(1158,25))+indirect(address(1156,26))-indirect(address(1157,26))</f>
        <v>0</v>
      </c>
      <c r="AA1158">
        <f>indirect(address(1158,26))+indirect(address(1156,27))-indirect(address(1157,27))</f>
        <v>0</v>
      </c>
      <c r="AB1158">
        <f>indirect(address(1158,27))+indirect(address(1156,28))-indirect(address(1157,28))</f>
        <v>0</v>
      </c>
      <c r="AC1158">
        <f>indirect(address(1158,28))+indirect(address(1156,29))-indirect(address(1157,29))</f>
        <v>0</v>
      </c>
      <c r="AD1158">
        <f>indirect(address(1158,29))+indirect(address(1156,30))-indirect(address(1157,30))</f>
        <v>0</v>
      </c>
      <c r="AE1158">
        <f>indirect(address(1158,30))+indirect(address(1156,31))-indirect(address(1157,31))</f>
        <v>0</v>
      </c>
      <c r="AF1158">
        <f>indirect(address(1158,31))+indirect(address(1156,32))-indirect(address(1157,32))</f>
        <v>0</v>
      </c>
      <c r="AG1158">
        <f>indirect(address(1158,32))+indirect(address(1156,33))-indirect(address(1157,33))</f>
        <v>0</v>
      </c>
      <c r="AH1158">
        <f>indirect(address(1158,33))+indirect(address(1156,34))-indirect(address(1157,34))</f>
        <v>0</v>
      </c>
      <c r="AI1158">
        <f>indirect(address(1158,34))+indirect(address(1156,35))-indirect(address(1157,35))</f>
        <v>0</v>
      </c>
      <c r="AJ1158">
        <f>indirect(address(1158,35))+indirect(address(1156,36))-indirect(address(1157,36))</f>
        <v>0</v>
      </c>
      <c r="AK1158">
        <f>indirect(address(1158,36))+indirect(address(1156,37))-indirect(address(1157,37))</f>
        <v>0</v>
      </c>
      <c r="AL1158">
        <f>indirect(address(1158,37))+indirect(address(1156,38))-indirect(address(1157,38))</f>
        <v>0</v>
      </c>
      <c r="AM1158">
        <f>indirect(address(1158,38))+indirect(address(1156,39))-indirect(address(1157,39))</f>
        <v>0</v>
      </c>
      <c r="AN1158">
        <f>indirect(address(1158,39))+indirect(address(1156,40))-indirect(address(1157,40))</f>
        <v>0</v>
      </c>
      <c r="AO1158">
        <f>indirect(address(1158,40))+indirect(address(1156,41))-indirect(address(1157,41))</f>
        <v>0</v>
      </c>
    </row>
    <row r="1159" spans="1:41">
      <c r="I1159" t="s">
        <v>14</v>
      </c>
      <c r="AO1159">
        <f>sum(j1159:an1159)</f>
        <v>0</v>
      </c>
    </row>
    <row r="1160" spans="1:41">
      <c r="I1160" t="s">
        <v>15</v>
      </c>
      <c r="J1160">
        <f>sumif(Plan!B:B,"211-074500-108",Plan!j:j)</f>
        <v>0</v>
      </c>
      <c r="K1160">
        <f>sumif(Plan!B:B,"211-074500-108",Plan!k:k)</f>
        <v>0</v>
      </c>
      <c r="L1160">
        <f>sumif(Plan!B:B,"211-074500-108",Plan!l:l)</f>
        <v>0</v>
      </c>
      <c r="M1160">
        <f>sumif(Plan!B:B,"211-074500-108",Plan!m:m)</f>
        <v>0</v>
      </c>
      <c r="N1160">
        <f>sumif(Plan!B:B,"211-074500-108",Plan!n:n)</f>
        <v>0</v>
      </c>
      <c r="O1160">
        <f>sumif(Plan!B:B,"211-074500-108",Plan!o:o)</f>
        <v>0</v>
      </c>
      <c r="P1160">
        <f>sumif(Plan!B:B,"211-074500-108",Plan!p:p)</f>
        <v>0</v>
      </c>
      <c r="Q1160">
        <f>sumif(Plan!B:B,"211-074500-108",Plan!q:q)</f>
        <v>0</v>
      </c>
      <c r="R1160">
        <f>sumif(Plan!B:B,"211-074500-108",Plan!r:r)</f>
        <v>0</v>
      </c>
      <c r="S1160">
        <f>sumif(Plan!B:B,"211-074500-108",Plan!s:s)</f>
        <v>0</v>
      </c>
      <c r="T1160">
        <f>sumif(Plan!B:B,"211-074500-108",Plan!t:t)</f>
        <v>0</v>
      </c>
      <c r="U1160">
        <f>sumif(Plan!B:B,"211-074500-108",Plan!u:u)</f>
        <v>0</v>
      </c>
      <c r="V1160">
        <f>sumif(Plan!B:B,"211-074500-108",Plan!v:v)</f>
        <v>0</v>
      </c>
      <c r="W1160">
        <f>sumif(Plan!B:B,"211-074500-108",Plan!w:w)</f>
        <v>0</v>
      </c>
      <c r="X1160">
        <f>sumif(Plan!B:B,"211-074500-108",Plan!x:x)</f>
        <v>0</v>
      </c>
      <c r="Y1160">
        <f>sumif(Plan!B:B,"211-074500-108",Plan!y:y)</f>
        <v>0</v>
      </c>
      <c r="Z1160">
        <f>sumif(Plan!B:B,"211-074500-108",Plan!z:z)</f>
        <v>0</v>
      </c>
      <c r="AA1160">
        <f>sumif(Plan!B:B,"211-074500-108",Plan!aa:aa)</f>
        <v>0</v>
      </c>
      <c r="AB1160">
        <f>sumif(Plan!B:B,"211-074500-108",Plan!ab:ab)</f>
        <v>0</v>
      </c>
      <c r="AC1160">
        <f>sumif(Plan!B:B,"211-074500-108",Plan!ac:ac)</f>
        <v>0</v>
      </c>
      <c r="AD1160">
        <f>sumif(Plan!B:B,"211-074500-108",Plan!ad:ad)</f>
        <v>0</v>
      </c>
      <c r="AE1160">
        <f>sumif(Plan!B:B,"211-074500-108",Plan!ae:ae)</f>
        <v>0</v>
      </c>
      <c r="AF1160">
        <f>sumif(Plan!B:B,"211-074500-108",Plan!af:af)</f>
        <v>0</v>
      </c>
      <c r="AG1160">
        <f>sumif(Plan!B:B,"211-074500-108",Plan!ag:ag)</f>
        <v>0</v>
      </c>
      <c r="AH1160">
        <f>sumif(Plan!B:B,"211-074500-108",Plan!ah:ah)</f>
        <v>0</v>
      </c>
      <c r="AI1160">
        <f>sumif(Plan!B:B,"211-074500-108",Plan!ai:ai)</f>
        <v>0</v>
      </c>
      <c r="AJ1160">
        <f>sumif(Plan!B:B,"211-074500-108",Plan!aj:aj)</f>
        <v>0</v>
      </c>
      <c r="AK1160">
        <f>sumif(Plan!B:B,"211-074500-108",Plan!ak:ak)</f>
        <v>0</v>
      </c>
      <c r="AL1160">
        <f>sumif(Plan!B:B,"211-074500-108",Plan!al:al)</f>
        <v>0</v>
      </c>
      <c r="AM1160">
        <f>sumif(Plan!B:B,"211-074500-108",Plan!am:am)</f>
        <v>0</v>
      </c>
      <c r="AN1160">
        <f>sumif(Plan!B:B,"211-074500-108",Plan!an:an)</f>
        <v>0</v>
      </c>
      <c r="AO1160">
        <f>sumif(Plan!B:B,"211-074500-108",Plan!ao:ao)</f>
        <v>0</v>
      </c>
    </row>
    <row r="1161" spans="1:41">
      <c r="A1161" t="s">
        <v>22</v>
      </c>
      <c r="B1161" t="s">
        <v>756</v>
      </c>
      <c r="C1161" t="s">
        <v>757</v>
      </c>
      <c r="E1161">
        <v>1</v>
      </c>
      <c r="F1161" t="s">
        <v>13</v>
      </c>
      <c r="H1161" t="s">
        <v>16</v>
      </c>
      <c r="J1161">
        <f>indirect(address(1161,9))+indirect(address(1159,10))-indirect(address(1160,10))</f>
        <v>0</v>
      </c>
      <c r="K1161">
        <f>indirect(address(1161,10))+indirect(address(1159,11))-indirect(address(1160,11))</f>
        <v>0</v>
      </c>
      <c r="L1161">
        <f>indirect(address(1161,11))+indirect(address(1159,12))-indirect(address(1160,12))</f>
        <v>0</v>
      </c>
      <c r="M1161">
        <f>indirect(address(1161,12))+indirect(address(1159,13))-indirect(address(1160,13))</f>
        <v>0</v>
      </c>
      <c r="N1161">
        <f>indirect(address(1161,13))+indirect(address(1159,14))-indirect(address(1160,14))</f>
        <v>0</v>
      </c>
      <c r="O1161">
        <f>indirect(address(1161,14))+indirect(address(1159,15))-indirect(address(1160,15))</f>
        <v>0</v>
      </c>
      <c r="P1161">
        <f>indirect(address(1161,15))+indirect(address(1159,16))-indirect(address(1160,16))</f>
        <v>0</v>
      </c>
      <c r="Q1161">
        <f>indirect(address(1161,16))+indirect(address(1159,17))-indirect(address(1160,17))</f>
        <v>0</v>
      </c>
      <c r="R1161">
        <f>indirect(address(1161,17))+indirect(address(1159,18))-indirect(address(1160,18))</f>
        <v>0</v>
      </c>
      <c r="S1161">
        <f>indirect(address(1161,18))+indirect(address(1159,19))-indirect(address(1160,19))</f>
        <v>0</v>
      </c>
      <c r="T1161">
        <f>indirect(address(1161,19))+indirect(address(1159,20))-indirect(address(1160,20))</f>
        <v>0</v>
      </c>
      <c r="U1161">
        <f>indirect(address(1161,20))+indirect(address(1159,21))-indirect(address(1160,21))</f>
        <v>0</v>
      </c>
      <c r="V1161">
        <f>indirect(address(1161,21))+indirect(address(1159,22))-indirect(address(1160,22))</f>
        <v>0</v>
      </c>
      <c r="W1161">
        <f>indirect(address(1161,22))+indirect(address(1159,23))-indirect(address(1160,23))</f>
        <v>0</v>
      </c>
      <c r="X1161">
        <f>indirect(address(1161,23))+indirect(address(1159,24))-indirect(address(1160,24))</f>
        <v>0</v>
      </c>
      <c r="Y1161">
        <f>indirect(address(1161,24))+indirect(address(1159,25))-indirect(address(1160,25))</f>
        <v>0</v>
      </c>
      <c r="Z1161">
        <f>indirect(address(1161,25))+indirect(address(1159,26))-indirect(address(1160,26))</f>
        <v>0</v>
      </c>
      <c r="AA1161">
        <f>indirect(address(1161,26))+indirect(address(1159,27))-indirect(address(1160,27))</f>
        <v>0</v>
      </c>
      <c r="AB1161">
        <f>indirect(address(1161,27))+indirect(address(1159,28))-indirect(address(1160,28))</f>
        <v>0</v>
      </c>
      <c r="AC1161">
        <f>indirect(address(1161,28))+indirect(address(1159,29))-indirect(address(1160,29))</f>
        <v>0</v>
      </c>
      <c r="AD1161">
        <f>indirect(address(1161,29))+indirect(address(1159,30))-indirect(address(1160,30))</f>
        <v>0</v>
      </c>
      <c r="AE1161">
        <f>indirect(address(1161,30))+indirect(address(1159,31))-indirect(address(1160,31))</f>
        <v>0</v>
      </c>
      <c r="AF1161">
        <f>indirect(address(1161,31))+indirect(address(1159,32))-indirect(address(1160,32))</f>
        <v>0</v>
      </c>
      <c r="AG1161">
        <f>indirect(address(1161,32))+indirect(address(1159,33))-indirect(address(1160,33))</f>
        <v>0</v>
      </c>
      <c r="AH1161">
        <f>indirect(address(1161,33))+indirect(address(1159,34))-indirect(address(1160,34))</f>
        <v>0</v>
      </c>
      <c r="AI1161">
        <f>indirect(address(1161,34))+indirect(address(1159,35))-indirect(address(1160,35))</f>
        <v>0</v>
      </c>
      <c r="AJ1161">
        <f>indirect(address(1161,35))+indirect(address(1159,36))-indirect(address(1160,36))</f>
        <v>0</v>
      </c>
      <c r="AK1161">
        <f>indirect(address(1161,36))+indirect(address(1159,37))-indirect(address(1160,37))</f>
        <v>0</v>
      </c>
      <c r="AL1161">
        <f>indirect(address(1161,37))+indirect(address(1159,38))-indirect(address(1160,38))</f>
        <v>0</v>
      </c>
      <c r="AM1161">
        <f>indirect(address(1161,38))+indirect(address(1159,39))-indirect(address(1160,39))</f>
        <v>0</v>
      </c>
      <c r="AN1161">
        <f>indirect(address(1161,39))+indirect(address(1159,40))-indirect(address(1160,40))</f>
        <v>0</v>
      </c>
      <c r="AO1161">
        <f>indirect(address(1161,40))+indirect(address(1159,41))-indirect(address(1160,41))</f>
        <v>0</v>
      </c>
    </row>
    <row r="1162" spans="1:41">
      <c r="I1162" t="s">
        <v>14</v>
      </c>
      <c r="AO1162">
        <f>sum(j1162:an1162)</f>
        <v>0</v>
      </c>
    </row>
    <row r="1163" spans="1:41">
      <c r="I1163" t="s">
        <v>15</v>
      </c>
      <c r="J1163">
        <f>sumif(Plan!B:B,"211-000300-108",Plan!j:j)</f>
        <v>0</v>
      </c>
      <c r="K1163">
        <f>sumif(Plan!B:B,"211-000300-108",Plan!k:k)</f>
        <v>0</v>
      </c>
      <c r="L1163">
        <f>sumif(Plan!B:B,"211-000300-108",Plan!l:l)</f>
        <v>0</v>
      </c>
      <c r="M1163">
        <f>sumif(Plan!B:B,"211-000300-108",Plan!m:m)</f>
        <v>0</v>
      </c>
      <c r="N1163">
        <f>sumif(Plan!B:B,"211-000300-108",Plan!n:n)</f>
        <v>0</v>
      </c>
      <c r="O1163">
        <f>sumif(Plan!B:B,"211-000300-108",Plan!o:o)</f>
        <v>0</v>
      </c>
      <c r="P1163">
        <f>sumif(Plan!B:B,"211-000300-108",Plan!p:p)</f>
        <v>0</v>
      </c>
      <c r="Q1163">
        <f>sumif(Plan!B:B,"211-000300-108",Plan!q:q)</f>
        <v>0</v>
      </c>
      <c r="R1163">
        <f>sumif(Plan!B:B,"211-000300-108",Plan!r:r)</f>
        <v>0</v>
      </c>
      <c r="S1163">
        <f>sumif(Plan!B:B,"211-000300-108",Plan!s:s)</f>
        <v>0</v>
      </c>
      <c r="T1163">
        <f>sumif(Plan!B:B,"211-000300-108",Plan!t:t)</f>
        <v>0</v>
      </c>
      <c r="U1163">
        <f>sumif(Plan!B:B,"211-000300-108",Plan!u:u)</f>
        <v>0</v>
      </c>
      <c r="V1163">
        <f>sumif(Plan!B:B,"211-000300-108",Plan!v:v)</f>
        <v>0</v>
      </c>
      <c r="W1163">
        <f>sumif(Plan!B:B,"211-000300-108",Plan!w:w)</f>
        <v>0</v>
      </c>
      <c r="X1163">
        <f>sumif(Plan!B:B,"211-000300-108",Plan!x:x)</f>
        <v>0</v>
      </c>
      <c r="Y1163">
        <f>sumif(Plan!B:B,"211-000300-108",Plan!y:y)</f>
        <v>0</v>
      </c>
      <c r="Z1163">
        <f>sumif(Plan!B:B,"211-000300-108",Plan!z:z)</f>
        <v>0</v>
      </c>
      <c r="AA1163">
        <f>sumif(Plan!B:B,"211-000300-108",Plan!aa:aa)</f>
        <v>0</v>
      </c>
      <c r="AB1163">
        <f>sumif(Plan!B:B,"211-000300-108",Plan!ab:ab)</f>
        <v>0</v>
      </c>
      <c r="AC1163">
        <f>sumif(Plan!B:B,"211-000300-108",Plan!ac:ac)</f>
        <v>0</v>
      </c>
      <c r="AD1163">
        <f>sumif(Plan!B:B,"211-000300-108",Plan!ad:ad)</f>
        <v>0</v>
      </c>
      <c r="AE1163">
        <f>sumif(Plan!B:B,"211-000300-108",Plan!ae:ae)</f>
        <v>0</v>
      </c>
      <c r="AF1163">
        <f>sumif(Plan!B:B,"211-000300-108",Plan!af:af)</f>
        <v>0</v>
      </c>
      <c r="AG1163">
        <f>sumif(Plan!B:B,"211-000300-108",Plan!ag:ag)</f>
        <v>0</v>
      </c>
      <c r="AH1163">
        <f>sumif(Plan!B:B,"211-000300-108",Plan!ah:ah)</f>
        <v>0</v>
      </c>
      <c r="AI1163">
        <f>sumif(Plan!B:B,"211-000300-108",Plan!ai:ai)</f>
        <v>0</v>
      </c>
      <c r="AJ1163">
        <f>sumif(Plan!B:B,"211-000300-108",Plan!aj:aj)</f>
        <v>0</v>
      </c>
      <c r="AK1163">
        <f>sumif(Plan!B:B,"211-000300-108",Plan!ak:ak)</f>
        <v>0</v>
      </c>
      <c r="AL1163">
        <f>sumif(Plan!B:B,"211-000300-108",Plan!al:al)</f>
        <v>0</v>
      </c>
      <c r="AM1163">
        <f>sumif(Plan!B:B,"211-000300-108",Plan!am:am)</f>
        <v>0</v>
      </c>
      <c r="AN1163">
        <f>sumif(Plan!B:B,"211-000300-108",Plan!an:an)</f>
        <v>0</v>
      </c>
      <c r="AO1163">
        <f>sumif(Plan!B:B,"211-000300-108",Plan!ao:ao)</f>
        <v>0</v>
      </c>
    </row>
    <row r="1164" spans="1:41">
      <c r="A1164" t="s">
        <v>22</v>
      </c>
      <c r="B1164" t="s">
        <v>758</v>
      </c>
      <c r="C1164" t="s">
        <v>759</v>
      </c>
      <c r="E1164">
        <v>2</v>
      </c>
      <c r="F1164" t="s">
        <v>13</v>
      </c>
      <c r="H1164" t="s">
        <v>16</v>
      </c>
      <c r="J1164">
        <f>indirect(address(1164,9))+indirect(address(1162,10))-indirect(address(1163,10))</f>
        <v>0</v>
      </c>
      <c r="K1164">
        <f>indirect(address(1164,10))+indirect(address(1162,11))-indirect(address(1163,11))</f>
        <v>0</v>
      </c>
      <c r="L1164">
        <f>indirect(address(1164,11))+indirect(address(1162,12))-indirect(address(1163,12))</f>
        <v>0</v>
      </c>
      <c r="M1164">
        <f>indirect(address(1164,12))+indirect(address(1162,13))-indirect(address(1163,13))</f>
        <v>0</v>
      </c>
      <c r="N1164">
        <f>indirect(address(1164,13))+indirect(address(1162,14))-indirect(address(1163,14))</f>
        <v>0</v>
      </c>
      <c r="O1164">
        <f>indirect(address(1164,14))+indirect(address(1162,15))-indirect(address(1163,15))</f>
        <v>0</v>
      </c>
      <c r="P1164">
        <f>indirect(address(1164,15))+indirect(address(1162,16))-indirect(address(1163,16))</f>
        <v>0</v>
      </c>
      <c r="Q1164">
        <f>indirect(address(1164,16))+indirect(address(1162,17))-indirect(address(1163,17))</f>
        <v>0</v>
      </c>
      <c r="R1164">
        <f>indirect(address(1164,17))+indirect(address(1162,18))-indirect(address(1163,18))</f>
        <v>0</v>
      </c>
      <c r="S1164">
        <f>indirect(address(1164,18))+indirect(address(1162,19))-indirect(address(1163,19))</f>
        <v>0</v>
      </c>
      <c r="T1164">
        <f>indirect(address(1164,19))+indirect(address(1162,20))-indirect(address(1163,20))</f>
        <v>0</v>
      </c>
      <c r="U1164">
        <f>indirect(address(1164,20))+indirect(address(1162,21))-indirect(address(1163,21))</f>
        <v>0</v>
      </c>
      <c r="V1164">
        <f>indirect(address(1164,21))+indirect(address(1162,22))-indirect(address(1163,22))</f>
        <v>0</v>
      </c>
      <c r="W1164">
        <f>indirect(address(1164,22))+indirect(address(1162,23))-indirect(address(1163,23))</f>
        <v>0</v>
      </c>
      <c r="X1164">
        <f>indirect(address(1164,23))+indirect(address(1162,24))-indirect(address(1163,24))</f>
        <v>0</v>
      </c>
      <c r="Y1164">
        <f>indirect(address(1164,24))+indirect(address(1162,25))-indirect(address(1163,25))</f>
        <v>0</v>
      </c>
      <c r="Z1164">
        <f>indirect(address(1164,25))+indirect(address(1162,26))-indirect(address(1163,26))</f>
        <v>0</v>
      </c>
      <c r="AA1164">
        <f>indirect(address(1164,26))+indirect(address(1162,27))-indirect(address(1163,27))</f>
        <v>0</v>
      </c>
      <c r="AB1164">
        <f>indirect(address(1164,27))+indirect(address(1162,28))-indirect(address(1163,28))</f>
        <v>0</v>
      </c>
      <c r="AC1164">
        <f>indirect(address(1164,28))+indirect(address(1162,29))-indirect(address(1163,29))</f>
        <v>0</v>
      </c>
      <c r="AD1164">
        <f>indirect(address(1164,29))+indirect(address(1162,30))-indirect(address(1163,30))</f>
        <v>0</v>
      </c>
      <c r="AE1164">
        <f>indirect(address(1164,30))+indirect(address(1162,31))-indirect(address(1163,31))</f>
        <v>0</v>
      </c>
      <c r="AF1164">
        <f>indirect(address(1164,31))+indirect(address(1162,32))-indirect(address(1163,32))</f>
        <v>0</v>
      </c>
      <c r="AG1164">
        <f>indirect(address(1164,32))+indirect(address(1162,33))-indirect(address(1163,33))</f>
        <v>0</v>
      </c>
      <c r="AH1164">
        <f>indirect(address(1164,33))+indirect(address(1162,34))-indirect(address(1163,34))</f>
        <v>0</v>
      </c>
      <c r="AI1164">
        <f>indirect(address(1164,34))+indirect(address(1162,35))-indirect(address(1163,35))</f>
        <v>0</v>
      </c>
      <c r="AJ1164">
        <f>indirect(address(1164,35))+indirect(address(1162,36))-indirect(address(1163,36))</f>
        <v>0</v>
      </c>
      <c r="AK1164">
        <f>indirect(address(1164,36))+indirect(address(1162,37))-indirect(address(1163,37))</f>
        <v>0</v>
      </c>
      <c r="AL1164">
        <f>indirect(address(1164,37))+indirect(address(1162,38))-indirect(address(1163,38))</f>
        <v>0</v>
      </c>
      <c r="AM1164">
        <f>indirect(address(1164,38))+indirect(address(1162,39))-indirect(address(1163,39))</f>
        <v>0</v>
      </c>
      <c r="AN1164">
        <f>indirect(address(1164,39))+indirect(address(1162,40))-indirect(address(1163,40))</f>
        <v>0</v>
      </c>
      <c r="AO1164">
        <f>indirect(address(1164,40))+indirect(address(1162,41))-indirect(address(1163,41))</f>
        <v>0</v>
      </c>
    </row>
    <row r="1165" spans="1:41">
      <c r="I1165" t="s">
        <v>14</v>
      </c>
      <c r="AO1165">
        <f>sum(j1165:an1165)</f>
        <v>0</v>
      </c>
    </row>
    <row r="1166" spans="1:41">
      <c r="I1166" t="s">
        <v>15</v>
      </c>
      <c r="J1166">
        <f>sumif(Plan!B:B,"211-006950-108",Plan!j:j)</f>
        <v>0</v>
      </c>
      <c r="K1166">
        <f>sumif(Plan!B:B,"211-006950-108",Plan!k:k)</f>
        <v>0</v>
      </c>
      <c r="L1166">
        <f>sumif(Plan!B:B,"211-006950-108",Plan!l:l)</f>
        <v>0</v>
      </c>
      <c r="M1166">
        <f>sumif(Plan!B:B,"211-006950-108",Plan!m:m)</f>
        <v>0</v>
      </c>
      <c r="N1166">
        <f>sumif(Plan!B:B,"211-006950-108",Plan!n:n)</f>
        <v>0</v>
      </c>
      <c r="O1166">
        <f>sumif(Plan!B:B,"211-006950-108",Plan!o:o)</f>
        <v>0</v>
      </c>
      <c r="P1166">
        <f>sumif(Plan!B:B,"211-006950-108",Plan!p:p)</f>
        <v>0</v>
      </c>
      <c r="Q1166">
        <f>sumif(Plan!B:B,"211-006950-108",Plan!q:q)</f>
        <v>0</v>
      </c>
      <c r="R1166">
        <f>sumif(Plan!B:B,"211-006950-108",Plan!r:r)</f>
        <v>0</v>
      </c>
      <c r="S1166">
        <f>sumif(Plan!B:B,"211-006950-108",Plan!s:s)</f>
        <v>0</v>
      </c>
      <c r="T1166">
        <f>sumif(Plan!B:B,"211-006950-108",Plan!t:t)</f>
        <v>0</v>
      </c>
      <c r="U1166">
        <f>sumif(Plan!B:B,"211-006950-108",Plan!u:u)</f>
        <v>0</v>
      </c>
      <c r="V1166">
        <f>sumif(Plan!B:B,"211-006950-108",Plan!v:v)</f>
        <v>0</v>
      </c>
      <c r="W1166">
        <f>sumif(Plan!B:B,"211-006950-108",Plan!w:w)</f>
        <v>0</v>
      </c>
      <c r="X1166">
        <f>sumif(Plan!B:B,"211-006950-108",Plan!x:x)</f>
        <v>0</v>
      </c>
      <c r="Y1166">
        <f>sumif(Plan!B:B,"211-006950-108",Plan!y:y)</f>
        <v>0</v>
      </c>
      <c r="Z1166">
        <f>sumif(Plan!B:B,"211-006950-108",Plan!z:z)</f>
        <v>0</v>
      </c>
      <c r="AA1166">
        <f>sumif(Plan!B:B,"211-006950-108",Plan!aa:aa)</f>
        <v>0</v>
      </c>
      <c r="AB1166">
        <f>sumif(Plan!B:B,"211-006950-108",Plan!ab:ab)</f>
        <v>0</v>
      </c>
      <c r="AC1166">
        <f>sumif(Plan!B:B,"211-006950-108",Plan!ac:ac)</f>
        <v>0</v>
      </c>
      <c r="AD1166">
        <f>sumif(Plan!B:B,"211-006950-108",Plan!ad:ad)</f>
        <v>0</v>
      </c>
      <c r="AE1166">
        <f>sumif(Plan!B:B,"211-006950-108",Plan!ae:ae)</f>
        <v>0</v>
      </c>
      <c r="AF1166">
        <f>sumif(Plan!B:B,"211-006950-108",Plan!af:af)</f>
        <v>0</v>
      </c>
      <c r="AG1166">
        <f>sumif(Plan!B:B,"211-006950-108",Plan!ag:ag)</f>
        <v>0</v>
      </c>
      <c r="AH1166">
        <f>sumif(Plan!B:B,"211-006950-108",Plan!ah:ah)</f>
        <v>0</v>
      </c>
      <c r="AI1166">
        <f>sumif(Plan!B:B,"211-006950-108",Plan!ai:ai)</f>
        <v>0</v>
      </c>
      <c r="AJ1166">
        <f>sumif(Plan!B:B,"211-006950-108",Plan!aj:aj)</f>
        <v>0</v>
      </c>
      <c r="AK1166">
        <f>sumif(Plan!B:B,"211-006950-108",Plan!ak:ak)</f>
        <v>0</v>
      </c>
      <c r="AL1166">
        <f>sumif(Plan!B:B,"211-006950-108",Plan!al:al)</f>
        <v>0</v>
      </c>
      <c r="AM1166">
        <f>sumif(Plan!B:B,"211-006950-108",Plan!am:am)</f>
        <v>0</v>
      </c>
      <c r="AN1166">
        <f>sumif(Plan!B:B,"211-006950-108",Plan!an:an)</f>
        <v>0</v>
      </c>
      <c r="AO1166">
        <f>sumif(Plan!B:B,"211-006950-108",Plan!ao:ao)</f>
        <v>0</v>
      </c>
    </row>
    <row r="1167" spans="1:41">
      <c r="A1167" t="s">
        <v>22</v>
      </c>
      <c r="B1167" t="s">
        <v>760</v>
      </c>
      <c r="C1167" t="s">
        <v>761</v>
      </c>
      <c r="E1167">
        <v>1</v>
      </c>
      <c r="F1167" t="s">
        <v>13</v>
      </c>
      <c r="H1167" t="s">
        <v>16</v>
      </c>
      <c r="J1167">
        <f>indirect(address(1167,9))+indirect(address(1165,10))-indirect(address(1166,10))</f>
        <v>0</v>
      </c>
      <c r="K1167">
        <f>indirect(address(1167,10))+indirect(address(1165,11))-indirect(address(1166,11))</f>
        <v>0</v>
      </c>
      <c r="L1167">
        <f>indirect(address(1167,11))+indirect(address(1165,12))-indirect(address(1166,12))</f>
        <v>0</v>
      </c>
      <c r="M1167">
        <f>indirect(address(1167,12))+indirect(address(1165,13))-indirect(address(1166,13))</f>
        <v>0</v>
      </c>
      <c r="N1167">
        <f>indirect(address(1167,13))+indirect(address(1165,14))-indirect(address(1166,14))</f>
        <v>0</v>
      </c>
      <c r="O1167">
        <f>indirect(address(1167,14))+indirect(address(1165,15))-indirect(address(1166,15))</f>
        <v>0</v>
      </c>
      <c r="P1167">
        <f>indirect(address(1167,15))+indirect(address(1165,16))-indirect(address(1166,16))</f>
        <v>0</v>
      </c>
      <c r="Q1167">
        <f>indirect(address(1167,16))+indirect(address(1165,17))-indirect(address(1166,17))</f>
        <v>0</v>
      </c>
      <c r="R1167">
        <f>indirect(address(1167,17))+indirect(address(1165,18))-indirect(address(1166,18))</f>
        <v>0</v>
      </c>
      <c r="S1167">
        <f>indirect(address(1167,18))+indirect(address(1165,19))-indirect(address(1166,19))</f>
        <v>0</v>
      </c>
      <c r="T1167">
        <f>indirect(address(1167,19))+indirect(address(1165,20))-indirect(address(1166,20))</f>
        <v>0</v>
      </c>
      <c r="U1167">
        <f>indirect(address(1167,20))+indirect(address(1165,21))-indirect(address(1166,21))</f>
        <v>0</v>
      </c>
      <c r="V1167">
        <f>indirect(address(1167,21))+indirect(address(1165,22))-indirect(address(1166,22))</f>
        <v>0</v>
      </c>
      <c r="W1167">
        <f>indirect(address(1167,22))+indirect(address(1165,23))-indirect(address(1166,23))</f>
        <v>0</v>
      </c>
      <c r="X1167">
        <f>indirect(address(1167,23))+indirect(address(1165,24))-indirect(address(1166,24))</f>
        <v>0</v>
      </c>
      <c r="Y1167">
        <f>indirect(address(1167,24))+indirect(address(1165,25))-indirect(address(1166,25))</f>
        <v>0</v>
      </c>
      <c r="Z1167">
        <f>indirect(address(1167,25))+indirect(address(1165,26))-indirect(address(1166,26))</f>
        <v>0</v>
      </c>
      <c r="AA1167">
        <f>indirect(address(1167,26))+indirect(address(1165,27))-indirect(address(1166,27))</f>
        <v>0</v>
      </c>
      <c r="AB1167">
        <f>indirect(address(1167,27))+indirect(address(1165,28))-indirect(address(1166,28))</f>
        <v>0</v>
      </c>
      <c r="AC1167">
        <f>indirect(address(1167,28))+indirect(address(1165,29))-indirect(address(1166,29))</f>
        <v>0</v>
      </c>
      <c r="AD1167">
        <f>indirect(address(1167,29))+indirect(address(1165,30))-indirect(address(1166,30))</f>
        <v>0</v>
      </c>
      <c r="AE1167">
        <f>indirect(address(1167,30))+indirect(address(1165,31))-indirect(address(1166,31))</f>
        <v>0</v>
      </c>
      <c r="AF1167">
        <f>indirect(address(1167,31))+indirect(address(1165,32))-indirect(address(1166,32))</f>
        <v>0</v>
      </c>
      <c r="AG1167">
        <f>indirect(address(1167,32))+indirect(address(1165,33))-indirect(address(1166,33))</f>
        <v>0</v>
      </c>
      <c r="AH1167">
        <f>indirect(address(1167,33))+indirect(address(1165,34))-indirect(address(1166,34))</f>
        <v>0</v>
      </c>
      <c r="AI1167">
        <f>indirect(address(1167,34))+indirect(address(1165,35))-indirect(address(1166,35))</f>
        <v>0</v>
      </c>
      <c r="AJ1167">
        <f>indirect(address(1167,35))+indirect(address(1165,36))-indirect(address(1166,36))</f>
        <v>0</v>
      </c>
      <c r="AK1167">
        <f>indirect(address(1167,36))+indirect(address(1165,37))-indirect(address(1166,37))</f>
        <v>0</v>
      </c>
      <c r="AL1167">
        <f>indirect(address(1167,37))+indirect(address(1165,38))-indirect(address(1166,38))</f>
        <v>0</v>
      </c>
      <c r="AM1167">
        <f>indirect(address(1167,38))+indirect(address(1165,39))-indirect(address(1166,39))</f>
        <v>0</v>
      </c>
      <c r="AN1167">
        <f>indirect(address(1167,39))+indirect(address(1165,40))-indirect(address(1166,40))</f>
        <v>0</v>
      </c>
      <c r="AO1167">
        <f>indirect(address(1167,40))+indirect(address(1165,41))-indirect(address(1166,41))</f>
        <v>0</v>
      </c>
    </row>
    <row r="1168" spans="1:41">
      <c r="I1168" t="s">
        <v>14</v>
      </c>
      <c r="AO1168">
        <f>sum(j1168:an1168)</f>
        <v>0</v>
      </c>
    </row>
    <row r="1169" spans="1:41">
      <c r="I1169" t="s">
        <v>15</v>
      </c>
      <c r="J1169">
        <f>sumif(Plan!B:B,"806-793000-110",Plan!j:j)</f>
        <v>0</v>
      </c>
      <c r="K1169">
        <f>sumif(Plan!B:B,"806-793000-110",Plan!k:k)</f>
        <v>0</v>
      </c>
      <c r="L1169">
        <f>sumif(Plan!B:B,"806-793000-110",Plan!l:l)</f>
        <v>0</v>
      </c>
      <c r="M1169">
        <f>sumif(Plan!B:B,"806-793000-110",Plan!m:m)</f>
        <v>0</v>
      </c>
      <c r="N1169">
        <f>sumif(Plan!B:B,"806-793000-110",Plan!n:n)</f>
        <v>0</v>
      </c>
      <c r="O1169">
        <f>sumif(Plan!B:B,"806-793000-110",Plan!o:o)</f>
        <v>0</v>
      </c>
      <c r="P1169">
        <f>sumif(Plan!B:B,"806-793000-110",Plan!p:p)</f>
        <v>0</v>
      </c>
      <c r="Q1169">
        <f>sumif(Plan!B:B,"806-793000-110",Plan!q:q)</f>
        <v>0</v>
      </c>
      <c r="R1169">
        <f>sumif(Plan!B:B,"806-793000-110",Plan!r:r)</f>
        <v>0</v>
      </c>
      <c r="S1169">
        <f>sumif(Plan!B:B,"806-793000-110",Plan!s:s)</f>
        <v>0</v>
      </c>
      <c r="T1169">
        <f>sumif(Plan!B:B,"806-793000-110",Plan!t:t)</f>
        <v>0</v>
      </c>
      <c r="U1169">
        <f>sumif(Plan!B:B,"806-793000-110",Plan!u:u)</f>
        <v>0</v>
      </c>
      <c r="V1169">
        <f>sumif(Plan!B:B,"806-793000-110",Plan!v:v)</f>
        <v>0</v>
      </c>
      <c r="W1169">
        <f>sumif(Plan!B:B,"806-793000-110",Plan!w:w)</f>
        <v>0</v>
      </c>
      <c r="X1169">
        <f>sumif(Plan!B:B,"806-793000-110",Plan!x:x)</f>
        <v>0</v>
      </c>
      <c r="Y1169">
        <f>sumif(Plan!B:B,"806-793000-110",Plan!y:y)</f>
        <v>0</v>
      </c>
      <c r="Z1169">
        <f>sumif(Plan!B:B,"806-793000-110",Plan!z:z)</f>
        <v>0</v>
      </c>
      <c r="AA1169">
        <f>sumif(Plan!B:B,"806-793000-110",Plan!aa:aa)</f>
        <v>0</v>
      </c>
      <c r="AB1169">
        <f>sumif(Plan!B:B,"806-793000-110",Plan!ab:ab)</f>
        <v>0</v>
      </c>
      <c r="AC1169">
        <f>sumif(Plan!B:B,"806-793000-110",Plan!ac:ac)</f>
        <v>0</v>
      </c>
      <c r="AD1169">
        <f>sumif(Plan!B:B,"806-793000-110",Plan!ad:ad)</f>
        <v>0</v>
      </c>
      <c r="AE1169">
        <f>sumif(Plan!B:B,"806-793000-110",Plan!ae:ae)</f>
        <v>0</v>
      </c>
      <c r="AF1169">
        <f>sumif(Plan!B:B,"806-793000-110",Plan!af:af)</f>
        <v>0</v>
      </c>
      <c r="AG1169">
        <f>sumif(Plan!B:B,"806-793000-110",Plan!ag:ag)</f>
        <v>0</v>
      </c>
      <c r="AH1169">
        <f>sumif(Plan!B:B,"806-793000-110",Plan!ah:ah)</f>
        <v>0</v>
      </c>
      <c r="AI1169">
        <f>sumif(Plan!B:B,"806-793000-110",Plan!ai:ai)</f>
        <v>0</v>
      </c>
      <c r="AJ1169">
        <f>sumif(Plan!B:B,"806-793000-110",Plan!aj:aj)</f>
        <v>0</v>
      </c>
      <c r="AK1169">
        <f>sumif(Plan!B:B,"806-793000-110",Plan!ak:ak)</f>
        <v>0</v>
      </c>
      <c r="AL1169">
        <f>sumif(Plan!B:B,"806-793000-110",Plan!al:al)</f>
        <v>0</v>
      </c>
      <c r="AM1169">
        <f>sumif(Plan!B:B,"806-793000-110",Plan!am:am)</f>
        <v>0</v>
      </c>
      <c r="AN1169">
        <f>sumif(Plan!B:B,"806-793000-110",Plan!an:an)</f>
        <v>0</v>
      </c>
      <c r="AO1169">
        <f>sumif(Plan!B:B,"806-793000-110",Plan!ao:ao)</f>
        <v>0</v>
      </c>
    </row>
    <row r="1170" spans="1:41">
      <c r="A1170" t="s">
        <v>17</v>
      </c>
      <c r="B1170" t="s">
        <v>763</v>
      </c>
      <c r="C1170" t="s">
        <v>764</v>
      </c>
      <c r="E1170">
        <v>1</v>
      </c>
      <c r="F1170" t="s">
        <v>13</v>
      </c>
      <c r="H1170" t="s">
        <v>16</v>
      </c>
      <c r="J1170">
        <f>indirect(address(1170,9))+indirect(address(1168,10))-indirect(address(1169,10))</f>
        <v>0</v>
      </c>
      <c r="K1170">
        <f>indirect(address(1170,10))+indirect(address(1168,11))-indirect(address(1169,11))</f>
        <v>0</v>
      </c>
      <c r="L1170">
        <f>indirect(address(1170,11))+indirect(address(1168,12))-indirect(address(1169,12))</f>
        <v>0</v>
      </c>
      <c r="M1170">
        <f>indirect(address(1170,12))+indirect(address(1168,13))-indirect(address(1169,13))</f>
        <v>0</v>
      </c>
      <c r="N1170">
        <f>indirect(address(1170,13))+indirect(address(1168,14))-indirect(address(1169,14))</f>
        <v>0</v>
      </c>
      <c r="O1170">
        <f>indirect(address(1170,14))+indirect(address(1168,15))-indirect(address(1169,15))</f>
        <v>0</v>
      </c>
      <c r="P1170">
        <f>indirect(address(1170,15))+indirect(address(1168,16))-indirect(address(1169,16))</f>
        <v>0</v>
      </c>
      <c r="Q1170">
        <f>indirect(address(1170,16))+indirect(address(1168,17))-indirect(address(1169,17))</f>
        <v>0</v>
      </c>
      <c r="R1170">
        <f>indirect(address(1170,17))+indirect(address(1168,18))-indirect(address(1169,18))</f>
        <v>0</v>
      </c>
      <c r="S1170">
        <f>indirect(address(1170,18))+indirect(address(1168,19))-indirect(address(1169,19))</f>
        <v>0</v>
      </c>
      <c r="T1170">
        <f>indirect(address(1170,19))+indirect(address(1168,20))-indirect(address(1169,20))</f>
        <v>0</v>
      </c>
      <c r="U1170">
        <f>indirect(address(1170,20))+indirect(address(1168,21))-indirect(address(1169,21))</f>
        <v>0</v>
      </c>
      <c r="V1170">
        <f>indirect(address(1170,21))+indirect(address(1168,22))-indirect(address(1169,22))</f>
        <v>0</v>
      </c>
      <c r="W1170">
        <f>indirect(address(1170,22))+indirect(address(1168,23))-indirect(address(1169,23))</f>
        <v>0</v>
      </c>
      <c r="X1170">
        <f>indirect(address(1170,23))+indirect(address(1168,24))-indirect(address(1169,24))</f>
        <v>0</v>
      </c>
      <c r="Y1170">
        <f>indirect(address(1170,24))+indirect(address(1168,25))-indirect(address(1169,25))</f>
        <v>0</v>
      </c>
      <c r="Z1170">
        <f>indirect(address(1170,25))+indirect(address(1168,26))-indirect(address(1169,26))</f>
        <v>0</v>
      </c>
      <c r="AA1170">
        <f>indirect(address(1170,26))+indirect(address(1168,27))-indirect(address(1169,27))</f>
        <v>0</v>
      </c>
      <c r="AB1170">
        <f>indirect(address(1170,27))+indirect(address(1168,28))-indirect(address(1169,28))</f>
        <v>0</v>
      </c>
      <c r="AC1170">
        <f>indirect(address(1170,28))+indirect(address(1168,29))-indirect(address(1169,29))</f>
        <v>0</v>
      </c>
      <c r="AD1170">
        <f>indirect(address(1170,29))+indirect(address(1168,30))-indirect(address(1169,30))</f>
        <v>0</v>
      </c>
      <c r="AE1170">
        <f>indirect(address(1170,30))+indirect(address(1168,31))-indirect(address(1169,31))</f>
        <v>0</v>
      </c>
      <c r="AF1170">
        <f>indirect(address(1170,31))+indirect(address(1168,32))-indirect(address(1169,32))</f>
        <v>0</v>
      </c>
      <c r="AG1170">
        <f>indirect(address(1170,32))+indirect(address(1168,33))-indirect(address(1169,33))</f>
        <v>0</v>
      </c>
      <c r="AH1170">
        <f>indirect(address(1170,33))+indirect(address(1168,34))-indirect(address(1169,34))</f>
        <v>0</v>
      </c>
      <c r="AI1170">
        <f>indirect(address(1170,34))+indirect(address(1168,35))-indirect(address(1169,35))</f>
        <v>0</v>
      </c>
      <c r="AJ1170">
        <f>indirect(address(1170,35))+indirect(address(1168,36))-indirect(address(1169,36))</f>
        <v>0</v>
      </c>
      <c r="AK1170">
        <f>indirect(address(1170,36))+indirect(address(1168,37))-indirect(address(1169,37))</f>
        <v>0</v>
      </c>
      <c r="AL1170">
        <f>indirect(address(1170,37))+indirect(address(1168,38))-indirect(address(1169,38))</f>
        <v>0</v>
      </c>
      <c r="AM1170">
        <f>indirect(address(1170,38))+indirect(address(1168,39))-indirect(address(1169,39))</f>
        <v>0</v>
      </c>
      <c r="AN1170">
        <f>indirect(address(1170,39))+indirect(address(1168,40))-indirect(address(1169,40))</f>
        <v>0</v>
      </c>
      <c r="AO1170">
        <f>indirect(address(1170,40))+indirect(address(1168,41))-indirect(address(1169,41))</f>
        <v>0</v>
      </c>
    </row>
    <row r="1171" spans="1:41">
      <c r="I1171" t="s">
        <v>14</v>
      </c>
      <c r="AO1171">
        <f>sum(j1171:an1171)</f>
        <v>0</v>
      </c>
    </row>
    <row r="1172" spans="1:41">
      <c r="I1172" t="s">
        <v>15</v>
      </c>
      <c r="J1172">
        <f>sumif(Plan!B:B,"261-000000-013",Plan!j:j)</f>
        <v>0</v>
      </c>
      <c r="K1172">
        <f>sumif(Plan!B:B,"261-000000-013",Plan!k:k)</f>
        <v>0</v>
      </c>
      <c r="L1172">
        <f>sumif(Plan!B:B,"261-000000-013",Plan!l:l)</f>
        <v>0</v>
      </c>
      <c r="M1172">
        <f>sumif(Plan!B:B,"261-000000-013",Plan!m:m)</f>
        <v>0</v>
      </c>
      <c r="N1172">
        <f>sumif(Plan!B:B,"261-000000-013",Plan!n:n)</f>
        <v>0</v>
      </c>
      <c r="O1172">
        <f>sumif(Plan!B:B,"261-000000-013",Plan!o:o)</f>
        <v>0</v>
      </c>
      <c r="P1172">
        <f>sumif(Plan!B:B,"261-000000-013",Plan!p:p)</f>
        <v>0</v>
      </c>
      <c r="Q1172">
        <f>sumif(Plan!B:B,"261-000000-013",Plan!q:q)</f>
        <v>0</v>
      </c>
      <c r="R1172">
        <f>sumif(Plan!B:B,"261-000000-013",Plan!r:r)</f>
        <v>0</v>
      </c>
      <c r="S1172">
        <f>sumif(Plan!B:B,"261-000000-013",Plan!s:s)</f>
        <v>0</v>
      </c>
      <c r="T1172">
        <f>sumif(Plan!B:B,"261-000000-013",Plan!t:t)</f>
        <v>0</v>
      </c>
      <c r="U1172">
        <f>sumif(Plan!B:B,"261-000000-013",Plan!u:u)</f>
        <v>0</v>
      </c>
      <c r="V1172">
        <f>sumif(Plan!B:B,"261-000000-013",Plan!v:v)</f>
        <v>0</v>
      </c>
      <c r="W1172">
        <f>sumif(Plan!B:B,"261-000000-013",Plan!w:w)</f>
        <v>0</v>
      </c>
      <c r="X1172">
        <f>sumif(Plan!B:B,"261-000000-013",Plan!x:x)</f>
        <v>0</v>
      </c>
      <c r="Y1172">
        <f>sumif(Plan!B:B,"261-000000-013",Plan!y:y)</f>
        <v>0</v>
      </c>
      <c r="Z1172">
        <f>sumif(Plan!B:B,"261-000000-013",Plan!z:z)</f>
        <v>0</v>
      </c>
      <c r="AA1172">
        <f>sumif(Plan!B:B,"261-000000-013",Plan!aa:aa)</f>
        <v>0</v>
      </c>
      <c r="AB1172">
        <f>sumif(Plan!B:B,"261-000000-013",Plan!ab:ab)</f>
        <v>0</v>
      </c>
      <c r="AC1172">
        <f>sumif(Plan!B:B,"261-000000-013",Plan!ac:ac)</f>
        <v>0</v>
      </c>
      <c r="AD1172">
        <f>sumif(Plan!B:B,"261-000000-013",Plan!ad:ad)</f>
        <v>0</v>
      </c>
      <c r="AE1172">
        <f>sumif(Plan!B:B,"261-000000-013",Plan!ae:ae)</f>
        <v>0</v>
      </c>
      <c r="AF1172">
        <f>sumif(Plan!B:B,"261-000000-013",Plan!af:af)</f>
        <v>0</v>
      </c>
      <c r="AG1172">
        <f>sumif(Plan!B:B,"261-000000-013",Plan!ag:ag)</f>
        <v>0</v>
      </c>
      <c r="AH1172">
        <f>sumif(Plan!B:B,"261-000000-013",Plan!ah:ah)</f>
        <v>0</v>
      </c>
      <c r="AI1172">
        <f>sumif(Plan!B:B,"261-000000-013",Plan!ai:ai)</f>
        <v>0</v>
      </c>
      <c r="AJ1172">
        <f>sumif(Plan!B:B,"261-000000-013",Plan!aj:aj)</f>
        <v>0</v>
      </c>
      <c r="AK1172">
        <f>sumif(Plan!B:B,"261-000000-013",Plan!ak:ak)</f>
        <v>0</v>
      </c>
      <c r="AL1172">
        <f>sumif(Plan!B:B,"261-000000-013",Plan!al:al)</f>
        <v>0</v>
      </c>
      <c r="AM1172">
        <f>sumif(Plan!B:B,"261-000000-013",Plan!am:am)</f>
        <v>0</v>
      </c>
      <c r="AN1172">
        <f>sumif(Plan!B:B,"261-000000-013",Plan!an:an)</f>
        <v>0</v>
      </c>
      <c r="AO1172">
        <f>sumif(Plan!B:B,"261-000000-013",Plan!ao:ao)</f>
        <v>0</v>
      </c>
    </row>
    <row r="1173" spans="1:41">
      <c r="A1173" t="s">
        <v>22</v>
      </c>
      <c r="B1173" t="s">
        <v>641</v>
      </c>
      <c r="C1173" t="s">
        <v>765</v>
      </c>
      <c r="E1173">
        <v>2</v>
      </c>
      <c r="F1173" t="s">
        <v>13</v>
      </c>
      <c r="H1173" t="s">
        <v>16</v>
      </c>
      <c r="J1173">
        <f>indirect(address(1173,9))+indirect(address(1171,10))-indirect(address(1172,10))</f>
        <v>0</v>
      </c>
      <c r="K1173">
        <f>indirect(address(1173,10))+indirect(address(1171,11))-indirect(address(1172,11))</f>
        <v>0</v>
      </c>
      <c r="L1173">
        <f>indirect(address(1173,11))+indirect(address(1171,12))-indirect(address(1172,12))</f>
        <v>0</v>
      </c>
      <c r="M1173">
        <f>indirect(address(1173,12))+indirect(address(1171,13))-indirect(address(1172,13))</f>
        <v>0</v>
      </c>
      <c r="N1173">
        <f>indirect(address(1173,13))+indirect(address(1171,14))-indirect(address(1172,14))</f>
        <v>0</v>
      </c>
      <c r="O1173">
        <f>indirect(address(1173,14))+indirect(address(1171,15))-indirect(address(1172,15))</f>
        <v>0</v>
      </c>
      <c r="P1173">
        <f>indirect(address(1173,15))+indirect(address(1171,16))-indirect(address(1172,16))</f>
        <v>0</v>
      </c>
      <c r="Q1173">
        <f>indirect(address(1173,16))+indirect(address(1171,17))-indirect(address(1172,17))</f>
        <v>0</v>
      </c>
      <c r="R1173">
        <f>indirect(address(1173,17))+indirect(address(1171,18))-indirect(address(1172,18))</f>
        <v>0</v>
      </c>
      <c r="S1173">
        <f>indirect(address(1173,18))+indirect(address(1171,19))-indirect(address(1172,19))</f>
        <v>0</v>
      </c>
      <c r="T1173">
        <f>indirect(address(1173,19))+indirect(address(1171,20))-indirect(address(1172,20))</f>
        <v>0</v>
      </c>
      <c r="U1173">
        <f>indirect(address(1173,20))+indirect(address(1171,21))-indirect(address(1172,21))</f>
        <v>0</v>
      </c>
      <c r="V1173">
        <f>indirect(address(1173,21))+indirect(address(1171,22))-indirect(address(1172,22))</f>
        <v>0</v>
      </c>
      <c r="W1173">
        <f>indirect(address(1173,22))+indirect(address(1171,23))-indirect(address(1172,23))</f>
        <v>0</v>
      </c>
      <c r="X1173">
        <f>indirect(address(1173,23))+indirect(address(1171,24))-indirect(address(1172,24))</f>
        <v>0</v>
      </c>
      <c r="Y1173">
        <f>indirect(address(1173,24))+indirect(address(1171,25))-indirect(address(1172,25))</f>
        <v>0</v>
      </c>
      <c r="Z1173">
        <f>indirect(address(1173,25))+indirect(address(1171,26))-indirect(address(1172,26))</f>
        <v>0</v>
      </c>
      <c r="AA1173">
        <f>indirect(address(1173,26))+indirect(address(1171,27))-indirect(address(1172,27))</f>
        <v>0</v>
      </c>
      <c r="AB1173">
        <f>indirect(address(1173,27))+indirect(address(1171,28))-indirect(address(1172,28))</f>
        <v>0</v>
      </c>
      <c r="AC1173">
        <f>indirect(address(1173,28))+indirect(address(1171,29))-indirect(address(1172,29))</f>
        <v>0</v>
      </c>
      <c r="AD1173">
        <f>indirect(address(1173,29))+indirect(address(1171,30))-indirect(address(1172,30))</f>
        <v>0</v>
      </c>
      <c r="AE1173">
        <f>indirect(address(1173,30))+indirect(address(1171,31))-indirect(address(1172,31))</f>
        <v>0</v>
      </c>
      <c r="AF1173">
        <f>indirect(address(1173,31))+indirect(address(1171,32))-indirect(address(1172,32))</f>
        <v>0</v>
      </c>
      <c r="AG1173">
        <f>indirect(address(1173,32))+indirect(address(1171,33))-indirect(address(1172,33))</f>
        <v>0</v>
      </c>
      <c r="AH1173">
        <f>indirect(address(1173,33))+indirect(address(1171,34))-indirect(address(1172,34))</f>
        <v>0</v>
      </c>
      <c r="AI1173">
        <f>indirect(address(1173,34))+indirect(address(1171,35))-indirect(address(1172,35))</f>
        <v>0</v>
      </c>
      <c r="AJ1173">
        <f>indirect(address(1173,35))+indirect(address(1171,36))-indirect(address(1172,36))</f>
        <v>0</v>
      </c>
      <c r="AK1173">
        <f>indirect(address(1173,36))+indirect(address(1171,37))-indirect(address(1172,37))</f>
        <v>0</v>
      </c>
      <c r="AL1173">
        <f>indirect(address(1173,37))+indirect(address(1171,38))-indirect(address(1172,38))</f>
        <v>0</v>
      </c>
      <c r="AM1173">
        <f>indirect(address(1173,38))+indirect(address(1171,39))-indirect(address(1172,39))</f>
        <v>0</v>
      </c>
      <c r="AN1173">
        <f>indirect(address(1173,39))+indirect(address(1171,40))-indirect(address(1172,40))</f>
        <v>0</v>
      </c>
      <c r="AO1173">
        <f>indirect(address(1173,40))+indirect(address(1171,41))-indirect(address(1172,41))</f>
        <v>0</v>
      </c>
    </row>
    <row r="1174" spans="1:41">
      <c r="I1174" t="s">
        <v>14</v>
      </c>
      <c r="AO1174">
        <f>sum(j1174:an1174)</f>
        <v>0</v>
      </c>
    </row>
    <row r="1175" spans="1:41">
      <c r="I1175" t="s">
        <v>15</v>
      </c>
      <c r="J1175">
        <f>sumif(Plan!B:B,"261-008000-305",Plan!j:j)</f>
        <v>0</v>
      </c>
      <c r="K1175">
        <f>sumif(Plan!B:B,"261-008000-305",Plan!k:k)</f>
        <v>0</v>
      </c>
      <c r="L1175">
        <f>sumif(Plan!B:B,"261-008000-305",Plan!l:l)</f>
        <v>0</v>
      </c>
      <c r="M1175">
        <f>sumif(Plan!B:B,"261-008000-305",Plan!m:m)</f>
        <v>0</v>
      </c>
      <c r="N1175">
        <f>sumif(Plan!B:B,"261-008000-305",Plan!n:n)</f>
        <v>0</v>
      </c>
      <c r="O1175">
        <f>sumif(Plan!B:B,"261-008000-305",Plan!o:o)</f>
        <v>0</v>
      </c>
      <c r="P1175">
        <f>sumif(Plan!B:B,"261-008000-305",Plan!p:p)</f>
        <v>0</v>
      </c>
      <c r="Q1175">
        <f>sumif(Plan!B:B,"261-008000-305",Plan!q:q)</f>
        <v>0</v>
      </c>
      <c r="R1175">
        <f>sumif(Plan!B:B,"261-008000-305",Plan!r:r)</f>
        <v>0</v>
      </c>
      <c r="S1175">
        <f>sumif(Plan!B:B,"261-008000-305",Plan!s:s)</f>
        <v>0</v>
      </c>
      <c r="T1175">
        <f>sumif(Plan!B:B,"261-008000-305",Plan!t:t)</f>
        <v>0</v>
      </c>
      <c r="U1175">
        <f>sumif(Plan!B:B,"261-008000-305",Plan!u:u)</f>
        <v>0</v>
      </c>
      <c r="V1175">
        <f>sumif(Plan!B:B,"261-008000-305",Plan!v:v)</f>
        <v>0</v>
      </c>
      <c r="W1175">
        <f>sumif(Plan!B:B,"261-008000-305",Plan!w:w)</f>
        <v>0</v>
      </c>
      <c r="X1175">
        <f>sumif(Plan!B:B,"261-008000-305",Plan!x:x)</f>
        <v>0</v>
      </c>
      <c r="Y1175">
        <f>sumif(Plan!B:B,"261-008000-305",Plan!y:y)</f>
        <v>0</v>
      </c>
      <c r="Z1175">
        <f>sumif(Plan!B:B,"261-008000-305",Plan!z:z)</f>
        <v>0</v>
      </c>
      <c r="AA1175">
        <f>sumif(Plan!B:B,"261-008000-305",Plan!aa:aa)</f>
        <v>0</v>
      </c>
      <c r="AB1175">
        <f>sumif(Plan!B:B,"261-008000-305",Plan!ab:ab)</f>
        <v>0</v>
      </c>
      <c r="AC1175">
        <f>sumif(Plan!B:B,"261-008000-305",Plan!ac:ac)</f>
        <v>0</v>
      </c>
      <c r="AD1175">
        <f>sumif(Plan!B:B,"261-008000-305",Plan!ad:ad)</f>
        <v>0</v>
      </c>
      <c r="AE1175">
        <f>sumif(Plan!B:B,"261-008000-305",Plan!ae:ae)</f>
        <v>0</v>
      </c>
      <c r="AF1175">
        <f>sumif(Plan!B:B,"261-008000-305",Plan!af:af)</f>
        <v>0</v>
      </c>
      <c r="AG1175">
        <f>sumif(Plan!B:B,"261-008000-305",Plan!ag:ag)</f>
        <v>0</v>
      </c>
      <c r="AH1175">
        <f>sumif(Plan!B:B,"261-008000-305",Plan!ah:ah)</f>
        <v>0</v>
      </c>
      <c r="AI1175">
        <f>sumif(Plan!B:B,"261-008000-305",Plan!ai:ai)</f>
        <v>0</v>
      </c>
      <c r="AJ1175">
        <f>sumif(Plan!B:B,"261-008000-305",Plan!aj:aj)</f>
        <v>0</v>
      </c>
      <c r="AK1175">
        <f>sumif(Plan!B:B,"261-008000-305",Plan!ak:ak)</f>
        <v>0</v>
      </c>
      <c r="AL1175">
        <f>sumif(Plan!B:B,"261-008000-305",Plan!al:al)</f>
        <v>0</v>
      </c>
      <c r="AM1175">
        <f>sumif(Plan!B:B,"261-008000-305",Plan!am:am)</f>
        <v>0</v>
      </c>
      <c r="AN1175">
        <f>sumif(Plan!B:B,"261-008000-305",Plan!an:an)</f>
        <v>0</v>
      </c>
      <c r="AO1175">
        <f>sumif(Plan!B:B,"261-008000-305",Plan!ao:ao)</f>
        <v>0</v>
      </c>
    </row>
    <row r="1176" spans="1:41">
      <c r="A1176" t="s">
        <v>22</v>
      </c>
      <c r="B1176" t="s">
        <v>766</v>
      </c>
      <c r="C1176" t="s">
        <v>767</v>
      </c>
      <c r="E1176">
        <v>1</v>
      </c>
      <c r="F1176" t="s">
        <v>13</v>
      </c>
      <c r="H1176" t="s">
        <v>16</v>
      </c>
      <c r="J1176">
        <f>indirect(address(1176,9))+indirect(address(1174,10))-indirect(address(1175,10))</f>
        <v>0</v>
      </c>
      <c r="K1176">
        <f>indirect(address(1176,10))+indirect(address(1174,11))-indirect(address(1175,11))</f>
        <v>0</v>
      </c>
      <c r="L1176">
        <f>indirect(address(1176,11))+indirect(address(1174,12))-indirect(address(1175,12))</f>
        <v>0</v>
      </c>
      <c r="M1176">
        <f>indirect(address(1176,12))+indirect(address(1174,13))-indirect(address(1175,13))</f>
        <v>0</v>
      </c>
      <c r="N1176">
        <f>indirect(address(1176,13))+indirect(address(1174,14))-indirect(address(1175,14))</f>
        <v>0</v>
      </c>
      <c r="O1176">
        <f>indirect(address(1176,14))+indirect(address(1174,15))-indirect(address(1175,15))</f>
        <v>0</v>
      </c>
      <c r="P1176">
        <f>indirect(address(1176,15))+indirect(address(1174,16))-indirect(address(1175,16))</f>
        <v>0</v>
      </c>
      <c r="Q1176">
        <f>indirect(address(1176,16))+indirect(address(1174,17))-indirect(address(1175,17))</f>
        <v>0</v>
      </c>
      <c r="R1176">
        <f>indirect(address(1176,17))+indirect(address(1174,18))-indirect(address(1175,18))</f>
        <v>0</v>
      </c>
      <c r="S1176">
        <f>indirect(address(1176,18))+indirect(address(1174,19))-indirect(address(1175,19))</f>
        <v>0</v>
      </c>
      <c r="T1176">
        <f>indirect(address(1176,19))+indirect(address(1174,20))-indirect(address(1175,20))</f>
        <v>0</v>
      </c>
      <c r="U1176">
        <f>indirect(address(1176,20))+indirect(address(1174,21))-indirect(address(1175,21))</f>
        <v>0</v>
      </c>
      <c r="V1176">
        <f>indirect(address(1176,21))+indirect(address(1174,22))-indirect(address(1175,22))</f>
        <v>0</v>
      </c>
      <c r="W1176">
        <f>indirect(address(1176,22))+indirect(address(1174,23))-indirect(address(1175,23))</f>
        <v>0</v>
      </c>
      <c r="X1176">
        <f>indirect(address(1176,23))+indirect(address(1174,24))-indirect(address(1175,24))</f>
        <v>0</v>
      </c>
      <c r="Y1176">
        <f>indirect(address(1176,24))+indirect(address(1174,25))-indirect(address(1175,25))</f>
        <v>0</v>
      </c>
      <c r="Z1176">
        <f>indirect(address(1176,25))+indirect(address(1174,26))-indirect(address(1175,26))</f>
        <v>0</v>
      </c>
      <c r="AA1176">
        <f>indirect(address(1176,26))+indirect(address(1174,27))-indirect(address(1175,27))</f>
        <v>0</v>
      </c>
      <c r="AB1176">
        <f>indirect(address(1176,27))+indirect(address(1174,28))-indirect(address(1175,28))</f>
        <v>0</v>
      </c>
      <c r="AC1176">
        <f>indirect(address(1176,28))+indirect(address(1174,29))-indirect(address(1175,29))</f>
        <v>0</v>
      </c>
      <c r="AD1176">
        <f>indirect(address(1176,29))+indirect(address(1174,30))-indirect(address(1175,30))</f>
        <v>0</v>
      </c>
      <c r="AE1176">
        <f>indirect(address(1176,30))+indirect(address(1174,31))-indirect(address(1175,31))</f>
        <v>0</v>
      </c>
      <c r="AF1176">
        <f>indirect(address(1176,31))+indirect(address(1174,32))-indirect(address(1175,32))</f>
        <v>0</v>
      </c>
      <c r="AG1176">
        <f>indirect(address(1176,32))+indirect(address(1174,33))-indirect(address(1175,33))</f>
        <v>0</v>
      </c>
      <c r="AH1176">
        <f>indirect(address(1176,33))+indirect(address(1174,34))-indirect(address(1175,34))</f>
        <v>0</v>
      </c>
      <c r="AI1176">
        <f>indirect(address(1176,34))+indirect(address(1174,35))-indirect(address(1175,35))</f>
        <v>0</v>
      </c>
      <c r="AJ1176">
        <f>indirect(address(1176,35))+indirect(address(1174,36))-indirect(address(1175,36))</f>
        <v>0</v>
      </c>
      <c r="AK1176">
        <f>indirect(address(1176,36))+indirect(address(1174,37))-indirect(address(1175,37))</f>
        <v>0</v>
      </c>
      <c r="AL1176">
        <f>indirect(address(1176,37))+indirect(address(1174,38))-indirect(address(1175,38))</f>
        <v>0</v>
      </c>
      <c r="AM1176">
        <f>indirect(address(1176,38))+indirect(address(1174,39))-indirect(address(1175,39))</f>
        <v>0</v>
      </c>
      <c r="AN1176">
        <f>indirect(address(1176,39))+indirect(address(1174,40))-indirect(address(1175,40))</f>
        <v>0</v>
      </c>
      <c r="AO1176">
        <f>indirect(address(1176,40))+indirect(address(1174,41))-indirect(address(1175,41))</f>
        <v>0</v>
      </c>
    </row>
    <row r="1177" spans="1:41">
      <c r="I1177" t="s">
        <v>14</v>
      </c>
      <c r="AO1177">
        <f>sum(j1177:an1177)</f>
        <v>0</v>
      </c>
    </row>
    <row r="1178" spans="1:41">
      <c r="I1178" t="s">
        <v>15</v>
      </c>
      <c r="J1178">
        <f>sumif(Plan!B:B,"806-959000-110",Plan!j:j)</f>
        <v>0</v>
      </c>
      <c r="K1178">
        <f>sumif(Plan!B:B,"806-959000-110",Plan!k:k)</f>
        <v>0</v>
      </c>
      <c r="L1178">
        <f>sumif(Plan!B:B,"806-959000-110",Plan!l:l)</f>
        <v>0</v>
      </c>
      <c r="M1178">
        <f>sumif(Plan!B:B,"806-959000-110",Plan!m:m)</f>
        <v>0</v>
      </c>
      <c r="N1178">
        <f>sumif(Plan!B:B,"806-959000-110",Plan!n:n)</f>
        <v>0</v>
      </c>
      <c r="O1178">
        <f>sumif(Plan!B:B,"806-959000-110",Plan!o:o)</f>
        <v>0</v>
      </c>
      <c r="P1178">
        <f>sumif(Plan!B:B,"806-959000-110",Plan!p:p)</f>
        <v>0</v>
      </c>
      <c r="Q1178">
        <f>sumif(Plan!B:B,"806-959000-110",Plan!q:q)</f>
        <v>0</v>
      </c>
      <c r="R1178">
        <f>sumif(Plan!B:B,"806-959000-110",Plan!r:r)</f>
        <v>0</v>
      </c>
      <c r="S1178">
        <f>sumif(Plan!B:B,"806-959000-110",Plan!s:s)</f>
        <v>0</v>
      </c>
      <c r="T1178">
        <f>sumif(Plan!B:B,"806-959000-110",Plan!t:t)</f>
        <v>0</v>
      </c>
      <c r="U1178">
        <f>sumif(Plan!B:B,"806-959000-110",Plan!u:u)</f>
        <v>0</v>
      </c>
      <c r="V1178">
        <f>sumif(Plan!B:B,"806-959000-110",Plan!v:v)</f>
        <v>0</v>
      </c>
      <c r="W1178">
        <f>sumif(Plan!B:B,"806-959000-110",Plan!w:w)</f>
        <v>0</v>
      </c>
      <c r="X1178">
        <f>sumif(Plan!B:B,"806-959000-110",Plan!x:x)</f>
        <v>0</v>
      </c>
      <c r="Y1178">
        <f>sumif(Plan!B:B,"806-959000-110",Plan!y:y)</f>
        <v>0</v>
      </c>
      <c r="Z1178">
        <f>sumif(Plan!B:B,"806-959000-110",Plan!z:z)</f>
        <v>0</v>
      </c>
      <c r="AA1178">
        <f>sumif(Plan!B:B,"806-959000-110",Plan!aa:aa)</f>
        <v>0</v>
      </c>
      <c r="AB1178">
        <f>sumif(Plan!B:B,"806-959000-110",Plan!ab:ab)</f>
        <v>0</v>
      </c>
      <c r="AC1178">
        <f>sumif(Plan!B:B,"806-959000-110",Plan!ac:ac)</f>
        <v>0</v>
      </c>
      <c r="AD1178">
        <f>sumif(Plan!B:B,"806-959000-110",Plan!ad:ad)</f>
        <v>0</v>
      </c>
      <c r="AE1178">
        <f>sumif(Plan!B:B,"806-959000-110",Plan!ae:ae)</f>
        <v>0</v>
      </c>
      <c r="AF1178">
        <f>sumif(Plan!B:B,"806-959000-110",Plan!af:af)</f>
        <v>0</v>
      </c>
      <c r="AG1178">
        <f>sumif(Plan!B:B,"806-959000-110",Plan!ag:ag)</f>
        <v>0</v>
      </c>
      <c r="AH1178">
        <f>sumif(Plan!B:B,"806-959000-110",Plan!ah:ah)</f>
        <v>0</v>
      </c>
      <c r="AI1178">
        <f>sumif(Plan!B:B,"806-959000-110",Plan!ai:ai)</f>
        <v>0</v>
      </c>
      <c r="AJ1178">
        <f>sumif(Plan!B:B,"806-959000-110",Plan!aj:aj)</f>
        <v>0</v>
      </c>
      <c r="AK1178">
        <f>sumif(Plan!B:B,"806-959000-110",Plan!ak:ak)</f>
        <v>0</v>
      </c>
      <c r="AL1178">
        <f>sumif(Plan!B:B,"806-959000-110",Plan!al:al)</f>
        <v>0</v>
      </c>
      <c r="AM1178">
        <f>sumif(Plan!B:B,"806-959000-110",Plan!am:am)</f>
        <v>0</v>
      </c>
      <c r="AN1178">
        <f>sumif(Plan!B:B,"806-959000-110",Plan!an:an)</f>
        <v>0</v>
      </c>
      <c r="AO1178">
        <f>sumif(Plan!B:B,"806-959000-110",Plan!ao:ao)</f>
        <v>0</v>
      </c>
    </row>
    <row r="1179" spans="1:41">
      <c r="A1179" t="s">
        <v>17</v>
      </c>
      <c r="B1179" t="s">
        <v>770</v>
      </c>
      <c r="C1179" t="s">
        <v>771</v>
      </c>
      <c r="E1179">
        <v>1</v>
      </c>
      <c r="F1179" t="s">
        <v>13</v>
      </c>
      <c r="H1179" t="s">
        <v>16</v>
      </c>
      <c r="J1179">
        <f>indirect(address(1179,9))+indirect(address(1177,10))-indirect(address(1178,10))</f>
        <v>0</v>
      </c>
      <c r="K1179">
        <f>indirect(address(1179,10))+indirect(address(1177,11))-indirect(address(1178,11))</f>
        <v>0</v>
      </c>
      <c r="L1179">
        <f>indirect(address(1179,11))+indirect(address(1177,12))-indirect(address(1178,12))</f>
        <v>0</v>
      </c>
      <c r="M1179">
        <f>indirect(address(1179,12))+indirect(address(1177,13))-indirect(address(1178,13))</f>
        <v>0</v>
      </c>
      <c r="N1179">
        <f>indirect(address(1179,13))+indirect(address(1177,14))-indirect(address(1178,14))</f>
        <v>0</v>
      </c>
      <c r="O1179">
        <f>indirect(address(1179,14))+indirect(address(1177,15))-indirect(address(1178,15))</f>
        <v>0</v>
      </c>
      <c r="P1179">
        <f>indirect(address(1179,15))+indirect(address(1177,16))-indirect(address(1178,16))</f>
        <v>0</v>
      </c>
      <c r="Q1179">
        <f>indirect(address(1179,16))+indirect(address(1177,17))-indirect(address(1178,17))</f>
        <v>0</v>
      </c>
      <c r="R1179">
        <f>indirect(address(1179,17))+indirect(address(1177,18))-indirect(address(1178,18))</f>
        <v>0</v>
      </c>
      <c r="S1179">
        <f>indirect(address(1179,18))+indirect(address(1177,19))-indirect(address(1178,19))</f>
        <v>0</v>
      </c>
      <c r="T1179">
        <f>indirect(address(1179,19))+indirect(address(1177,20))-indirect(address(1178,20))</f>
        <v>0</v>
      </c>
      <c r="U1179">
        <f>indirect(address(1179,20))+indirect(address(1177,21))-indirect(address(1178,21))</f>
        <v>0</v>
      </c>
      <c r="V1179">
        <f>indirect(address(1179,21))+indirect(address(1177,22))-indirect(address(1178,22))</f>
        <v>0</v>
      </c>
      <c r="W1179">
        <f>indirect(address(1179,22))+indirect(address(1177,23))-indirect(address(1178,23))</f>
        <v>0</v>
      </c>
      <c r="X1179">
        <f>indirect(address(1179,23))+indirect(address(1177,24))-indirect(address(1178,24))</f>
        <v>0</v>
      </c>
      <c r="Y1179">
        <f>indirect(address(1179,24))+indirect(address(1177,25))-indirect(address(1178,25))</f>
        <v>0</v>
      </c>
      <c r="Z1179">
        <f>indirect(address(1179,25))+indirect(address(1177,26))-indirect(address(1178,26))</f>
        <v>0</v>
      </c>
      <c r="AA1179">
        <f>indirect(address(1179,26))+indirect(address(1177,27))-indirect(address(1178,27))</f>
        <v>0</v>
      </c>
      <c r="AB1179">
        <f>indirect(address(1179,27))+indirect(address(1177,28))-indirect(address(1178,28))</f>
        <v>0</v>
      </c>
      <c r="AC1179">
        <f>indirect(address(1179,28))+indirect(address(1177,29))-indirect(address(1178,29))</f>
        <v>0</v>
      </c>
      <c r="AD1179">
        <f>indirect(address(1179,29))+indirect(address(1177,30))-indirect(address(1178,30))</f>
        <v>0</v>
      </c>
      <c r="AE1179">
        <f>indirect(address(1179,30))+indirect(address(1177,31))-indirect(address(1178,31))</f>
        <v>0</v>
      </c>
      <c r="AF1179">
        <f>indirect(address(1179,31))+indirect(address(1177,32))-indirect(address(1178,32))</f>
        <v>0</v>
      </c>
      <c r="AG1179">
        <f>indirect(address(1179,32))+indirect(address(1177,33))-indirect(address(1178,33))</f>
        <v>0</v>
      </c>
      <c r="AH1179">
        <f>indirect(address(1179,33))+indirect(address(1177,34))-indirect(address(1178,34))</f>
        <v>0</v>
      </c>
      <c r="AI1179">
        <f>indirect(address(1179,34))+indirect(address(1177,35))-indirect(address(1178,35))</f>
        <v>0</v>
      </c>
      <c r="AJ1179">
        <f>indirect(address(1179,35))+indirect(address(1177,36))-indirect(address(1178,36))</f>
        <v>0</v>
      </c>
      <c r="AK1179">
        <f>indirect(address(1179,36))+indirect(address(1177,37))-indirect(address(1178,37))</f>
        <v>0</v>
      </c>
      <c r="AL1179">
        <f>indirect(address(1179,37))+indirect(address(1177,38))-indirect(address(1178,38))</f>
        <v>0</v>
      </c>
      <c r="AM1179">
        <f>indirect(address(1179,38))+indirect(address(1177,39))-indirect(address(1178,39))</f>
        <v>0</v>
      </c>
      <c r="AN1179">
        <f>indirect(address(1179,39))+indirect(address(1177,40))-indirect(address(1178,40))</f>
        <v>0</v>
      </c>
      <c r="AO1179">
        <f>indirect(address(1179,40))+indirect(address(1177,41))-indirect(address(1178,41))</f>
        <v>0</v>
      </c>
    </row>
    <row r="1180" spans="1:41">
      <c r="I1180" t="s">
        <v>14</v>
      </c>
      <c r="AO1180">
        <f>sum(j1180:an1180)</f>
        <v>0</v>
      </c>
    </row>
    <row r="1181" spans="1:41">
      <c r="I1181" t="s">
        <v>15</v>
      </c>
      <c r="J1181">
        <f>sumif(Plan!B:B,"211-012000-000",Plan!j:j)</f>
        <v>0</v>
      </c>
      <c r="K1181">
        <f>sumif(Plan!B:B,"211-012000-000",Plan!k:k)</f>
        <v>0</v>
      </c>
      <c r="L1181">
        <f>sumif(Plan!B:B,"211-012000-000",Plan!l:l)</f>
        <v>0</v>
      </c>
      <c r="M1181">
        <f>sumif(Plan!B:B,"211-012000-000",Plan!m:m)</f>
        <v>0</v>
      </c>
      <c r="N1181">
        <f>sumif(Plan!B:B,"211-012000-000",Plan!n:n)</f>
        <v>0</v>
      </c>
      <c r="O1181">
        <f>sumif(Plan!B:B,"211-012000-000",Plan!o:o)</f>
        <v>0</v>
      </c>
      <c r="P1181">
        <f>sumif(Plan!B:B,"211-012000-000",Plan!p:p)</f>
        <v>0</v>
      </c>
      <c r="Q1181">
        <f>sumif(Plan!B:B,"211-012000-000",Plan!q:q)</f>
        <v>0</v>
      </c>
      <c r="R1181">
        <f>sumif(Plan!B:B,"211-012000-000",Plan!r:r)</f>
        <v>0</v>
      </c>
      <c r="S1181">
        <f>sumif(Plan!B:B,"211-012000-000",Plan!s:s)</f>
        <v>0</v>
      </c>
      <c r="T1181">
        <f>sumif(Plan!B:B,"211-012000-000",Plan!t:t)</f>
        <v>0</v>
      </c>
      <c r="U1181">
        <f>sumif(Plan!B:B,"211-012000-000",Plan!u:u)</f>
        <v>0</v>
      </c>
      <c r="V1181">
        <f>sumif(Plan!B:B,"211-012000-000",Plan!v:v)</f>
        <v>0</v>
      </c>
      <c r="W1181">
        <f>sumif(Plan!B:B,"211-012000-000",Plan!w:w)</f>
        <v>0</v>
      </c>
      <c r="X1181">
        <f>sumif(Plan!B:B,"211-012000-000",Plan!x:x)</f>
        <v>0</v>
      </c>
      <c r="Y1181">
        <f>sumif(Plan!B:B,"211-012000-000",Plan!y:y)</f>
        <v>0</v>
      </c>
      <c r="Z1181">
        <f>sumif(Plan!B:B,"211-012000-000",Plan!z:z)</f>
        <v>0</v>
      </c>
      <c r="AA1181">
        <f>sumif(Plan!B:B,"211-012000-000",Plan!aa:aa)</f>
        <v>0</v>
      </c>
      <c r="AB1181">
        <f>sumif(Plan!B:B,"211-012000-000",Plan!ab:ab)</f>
        <v>0</v>
      </c>
      <c r="AC1181">
        <f>sumif(Plan!B:B,"211-012000-000",Plan!ac:ac)</f>
        <v>0</v>
      </c>
      <c r="AD1181">
        <f>sumif(Plan!B:B,"211-012000-000",Plan!ad:ad)</f>
        <v>0</v>
      </c>
      <c r="AE1181">
        <f>sumif(Plan!B:B,"211-012000-000",Plan!ae:ae)</f>
        <v>0</v>
      </c>
      <c r="AF1181">
        <f>sumif(Plan!B:B,"211-012000-000",Plan!af:af)</f>
        <v>0</v>
      </c>
      <c r="AG1181">
        <f>sumif(Plan!B:B,"211-012000-000",Plan!ag:ag)</f>
        <v>0</v>
      </c>
      <c r="AH1181">
        <f>sumif(Plan!B:B,"211-012000-000",Plan!ah:ah)</f>
        <v>0</v>
      </c>
      <c r="AI1181">
        <f>sumif(Plan!B:B,"211-012000-000",Plan!ai:ai)</f>
        <v>0</v>
      </c>
      <c r="AJ1181">
        <f>sumif(Plan!B:B,"211-012000-000",Plan!aj:aj)</f>
        <v>0</v>
      </c>
      <c r="AK1181">
        <f>sumif(Plan!B:B,"211-012000-000",Plan!ak:ak)</f>
        <v>0</v>
      </c>
      <c r="AL1181">
        <f>sumif(Plan!B:B,"211-012000-000",Plan!al:al)</f>
        <v>0</v>
      </c>
      <c r="AM1181">
        <f>sumif(Plan!B:B,"211-012000-000",Plan!am:am)</f>
        <v>0</v>
      </c>
      <c r="AN1181">
        <f>sumif(Plan!B:B,"211-012000-000",Plan!an:an)</f>
        <v>0</v>
      </c>
      <c r="AO1181">
        <f>sumif(Plan!B:B,"211-012000-000",Plan!ao:ao)</f>
        <v>0</v>
      </c>
    </row>
    <row r="1182" spans="1:41">
      <c r="A1182" t="s">
        <v>22</v>
      </c>
      <c r="B1182" t="s">
        <v>772</v>
      </c>
      <c r="C1182" t="s">
        <v>773</v>
      </c>
      <c r="E1182">
        <v>1</v>
      </c>
      <c r="F1182" t="s">
        <v>13</v>
      </c>
      <c r="H1182" t="s">
        <v>16</v>
      </c>
      <c r="J1182">
        <f>indirect(address(1182,9))+indirect(address(1180,10))-indirect(address(1181,10))</f>
        <v>0</v>
      </c>
      <c r="K1182">
        <f>indirect(address(1182,10))+indirect(address(1180,11))-indirect(address(1181,11))</f>
        <v>0</v>
      </c>
      <c r="L1182">
        <f>indirect(address(1182,11))+indirect(address(1180,12))-indirect(address(1181,12))</f>
        <v>0</v>
      </c>
      <c r="M1182">
        <f>indirect(address(1182,12))+indirect(address(1180,13))-indirect(address(1181,13))</f>
        <v>0</v>
      </c>
      <c r="N1182">
        <f>indirect(address(1182,13))+indirect(address(1180,14))-indirect(address(1181,14))</f>
        <v>0</v>
      </c>
      <c r="O1182">
        <f>indirect(address(1182,14))+indirect(address(1180,15))-indirect(address(1181,15))</f>
        <v>0</v>
      </c>
      <c r="P1182">
        <f>indirect(address(1182,15))+indirect(address(1180,16))-indirect(address(1181,16))</f>
        <v>0</v>
      </c>
      <c r="Q1182">
        <f>indirect(address(1182,16))+indirect(address(1180,17))-indirect(address(1181,17))</f>
        <v>0</v>
      </c>
      <c r="R1182">
        <f>indirect(address(1182,17))+indirect(address(1180,18))-indirect(address(1181,18))</f>
        <v>0</v>
      </c>
      <c r="S1182">
        <f>indirect(address(1182,18))+indirect(address(1180,19))-indirect(address(1181,19))</f>
        <v>0</v>
      </c>
      <c r="T1182">
        <f>indirect(address(1182,19))+indirect(address(1180,20))-indirect(address(1181,20))</f>
        <v>0</v>
      </c>
      <c r="U1182">
        <f>indirect(address(1182,20))+indirect(address(1180,21))-indirect(address(1181,21))</f>
        <v>0</v>
      </c>
      <c r="V1182">
        <f>indirect(address(1182,21))+indirect(address(1180,22))-indirect(address(1181,22))</f>
        <v>0</v>
      </c>
      <c r="W1182">
        <f>indirect(address(1182,22))+indirect(address(1180,23))-indirect(address(1181,23))</f>
        <v>0</v>
      </c>
      <c r="X1182">
        <f>indirect(address(1182,23))+indirect(address(1180,24))-indirect(address(1181,24))</f>
        <v>0</v>
      </c>
      <c r="Y1182">
        <f>indirect(address(1182,24))+indirect(address(1180,25))-indirect(address(1181,25))</f>
        <v>0</v>
      </c>
      <c r="Z1182">
        <f>indirect(address(1182,25))+indirect(address(1180,26))-indirect(address(1181,26))</f>
        <v>0</v>
      </c>
      <c r="AA1182">
        <f>indirect(address(1182,26))+indirect(address(1180,27))-indirect(address(1181,27))</f>
        <v>0</v>
      </c>
      <c r="AB1182">
        <f>indirect(address(1182,27))+indirect(address(1180,28))-indirect(address(1181,28))</f>
        <v>0</v>
      </c>
      <c r="AC1182">
        <f>indirect(address(1182,28))+indirect(address(1180,29))-indirect(address(1181,29))</f>
        <v>0</v>
      </c>
      <c r="AD1182">
        <f>indirect(address(1182,29))+indirect(address(1180,30))-indirect(address(1181,30))</f>
        <v>0</v>
      </c>
      <c r="AE1182">
        <f>indirect(address(1182,30))+indirect(address(1180,31))-indirect(address(1181,31))</f>
        <v>0</v>
      </c>
      <c r="AF1182">
        <f>indirect(address(1182,31))+indirect(address(1180,32))-indirect(address(1181,32))</f>
        <v>0</v>
      </c>
      <c r="AG1182">
        <f>indirect(address(1182,32))+indirect(address(1180,33))-indirect(address(1181,33))</f>
        <v>0</v>
      </c>
      <c r="AH1182">
        <f>indirect(address(1182,33))+indirect(address(1180,34))-indirect(address(1181,34))</f>
        <v>0</v>
      </c>
      <c r="AI1182">
        <f>indirect(address(1182,34))+indirect(address(1180,35))-indirect(address(1181,35))</f>
        <v>0</v>
      </c>
      <c r="AJ1182">
        <f>indirect(address(1182,35))+indirect(address(1180,36))-indirect(address(1181,36))</f>
        <v>0</v>
      </c>
      <c r="AK1182">
        <f>indirect(address(1182,36))+indirect(address(1180,37))-indirect(address(1181,37))</f>
        <v>0</v>
      </c>
      <c r="AL1182">
        <f>indirect(address(1182,37))+indirect(address(1180,38))-indirect(address(1181,38))</f>
        <v>0</v>
      </c>
      <c r="AM1182">
        <f>indirect(address(1182,38))+indirect(address(1180,39))-indirect(address(1181,39))</f>
        <v>0</v>
      </c>
      <c r="AN1182">
        <f>indirect(address(1182,39))+indirect(address(1180,40))-indirect(address(1181,40))</f>
        <v>0</v>
      </c>
      <c r="AO1182">
        <f>indirect(address(1182,40))+indirect(address(1180,41))-indirect(address(1181,41))</f>
        <v>0</v>
      </c>
    </row>
    <row r="1183" spans="1:41">
      <c r="I1183" t="s">
        <v>14</v>
      </c>
      <c r="AO1183">
        <f>sum(j1183:an1183)</f>
        <v>0</v>
      </c>
    </row>
    <row r="1184" spans="1:41">
      <c r="I1184" t="s">
        <v>15</v>
      </c>
      <c r="J1184">
        <f>sumif(Plan!B:B,"211-008400-000",Plan!j:j)</f>
        <v>0</v>
      </c>
      <c r="K1184">
        <f>sumif(Plan!B:B,"211-008400-000",Plan!k:k)</f>
        <v>0</v>
      </c>
      <c r="L1184">
        <f>sumif(Plan!B:B,"211-008400-000",Plan!l:l)</f>
        <v>0</v>
      </c>
      <c r="M1184">
        <f>sumif(Plan!B:B,"211-008400-000",Plan!m:m)</f>
        <v>0</v>
      </c>
      <c r="N1184">
        <f>sumif(Plan!B:B,"211-008400-000",Plan!n:n)</f>
        <v>0</v>
      </c>
      <c r="O1184">
        <f>sumif(Plan!B:B,"211-008400-000",Plan!o:o)</f>
        <v>0</v>
      </c>
      <c r="P1184">
        <f>sumif(Plan!B:B,"211-008400-000",Plan!p:p)</f>
        <v>0</v>
      </c>
      <c r="Q1184">
        <f>sumif(Plan!B:B,"211-008400-000",Plan!q:q)</f>
        <v>0</v>
      </c>
      <c r="R1184">
        <f>sumif(Plan!B:B,"211-008400-000",Plan!r:r)</f>
        <v>0</v>
      </c>
      <c r="S1184">
        <f>sumif(Plan!B:B,"211-008400-000",Plan!s:s)</f>
        <v>0</v>
      </c>
      <c r="T1184">
        <f>sumif(Plan!B:B,"211-008400-000",Plan!t:t)</f>
        <v>0</v>
      </c>
      <c r="U1184">
        <f>sumif(Plan!B:B,"211-008400-000",Plan!u:u)</f>
        <v>0</v>
      </c>
      <c r="V1184">
        <f>sumif(Plan!B:B,"211-008400-000",Plan!v:v)</f>
        <v>0</v>
      </c>
      <c r="W1184">
        <f>sumif(Plan!B:B,"211-008400-000",Plan!w:w)</f>
        <v>0</v>
      </c>
      <c r="X1184">
        <f>sumif(Plan!B:B,"211-008400-000",Plan!x:x)</f>
        <v>0</v>
      </c>
      <c r="Y1184">
        <f>sumif(Plan!B:B,"211-008400-000",Plan!y:y)</f>
        <v>0</v>
      </c>
      <c r="Z1184">
        <f>sumif(Plan!B:B,"211-008400-000",Plan!z:z)</f>
        <v>0</v>
      </c>
      <c r="AA1184">
        <f>sumif(Plan!B:B,"211-008400-000",Plan!aa:aa)</f>
        <v>0</v>
      </c>
      <c r="AB1184">
        <f>sumif(Plan!B:B,"211-008400-000",Plan!ab:ab)</f>
        <v>0</v>
      </c>
      <c r="AC1184">
        <f>sumif(Plan!B:B,"211-008400-000",Plan!ac:ac)</f>
        <v>0</v>
      </c>
      <c r="AD1184">
        <f>sumif(Plan!B:B,"211-008400-000",Plan!ad:ad)</f>
        <v>0</v>
      </c>
      <c r="AE1184">
        <f>sumif(Plan!B:B,"211-008400-000",Plan!ae:ae)</f>
        <v>0</v>
      </c>
      <c r="AF1184">
        <f>sumif(Plan!B:B,"211-008400-000",Plan!af:af)</f>
        <v>0</v>
      </c>
      <c r="AG1184">
        <f>sumif(Plan!B:B,"211-008400-000",Plan!ag:ag)</f>
        <v>0</v>
      </c>
      <c r="AH1184">
        <f>sumif(Plan!B:B,"211-008400-000",Plan!ah:ah)</f>
        <v>0</v>
      </c>
      <c r="AI1184">
        <f>sumif(Plan!B:B,"211-008400-000",Plan!ai:ai)</f>
        <v>0</v>
      </c>
      <c r="AJ1184">
        <f>sumif(Plan!B:B,"211-008400-000",Plan!aj:aj)</f>
        <v>0</v>
      </c>
      <c r="AK1184">
        <f>sumif(Plan!B:B,"211-008400-000",Plan!ak:ak)</f>
        <v>0</v>
      </c>
      <c r="AL1184">
        <f>sumif(Plan!B:B,"211-008400-000",Plan!al:al)</f>
        <v>0</v>
      </c>
      <c r="AM1184">
        <f>sumif(Plan!B:B,"211-008400-000",Plan!am:am)</f>
        <v>0</v>
      </c>
      <c r="AN1184">
        <f>sumif(Plan!B:B,"211-008400-000",Plan!an:an)</f>
        <v>0</v>
      </c>
      <c r="AO1184">
        <f>sumif(Plan!B:B,"211-008400-000",Plan!ao:ao)</f>
        <v>0</v>
      </c>
    </row>
    <row r="1185" spans="1:41">
      <c r="A1185" t="s">
        <v>22</v>
      </c>
      <c r="B1185" t="s">
        <v>774</v>
      </c>
      <c r="C1185" t="s">
        <v>775</v>
      </c>
      <c r="E1185">
        <v>1</v>
      </c>
      <c r="F1185" t="s">
        <v>13</v>
      </c>
      <c r="H1185" t="s">
        <v>16</v>
      </c>
      <c r="J1185">
        <f>indirect(address(1185,9))+indirect(address(1183,10))-indirect(address(1184,10))</f>
        <v>0</v>
      </c>
      <c r="K1185">
        <f>indirect(address(1185,10))+indirect(address(1183,11))-indirect(address(1184,11))</f>
        <v>0</v>
      </c>
      <c r="L1185">
        <f>indirect(address(1185,11))+indirect(address(1183,12))-indirect(address(1184,12))</f>
        <v>0</v>
      </c>
      <c r="M1185">
        <f>indirect(address(1185,12))+indirect(address(1183,13))-indirect(address(1184,13))</f>
        <v>0</v>
      </c>
      <c r="N1185">
        <f>indirect(address(1185,13))+indirect(address(1183,14))-indirect(address(1184,14))</f>
        <v>0</v>
      </c>
      <c r="O1185">
        <f>indirect(address(1185,14))+indirect(address(1183,15))-indirect(address(1184,15))</f>
        <v>0</v>
      </c>
      <c r="P1185">
        <f>indirect(address(1185,15))+indirect(address(1183,16))-indirect(address(1184,16))</f>
        <v>0</v>
      </c>
      <c r="Q1185">
        <f>indirect(address(1185,16))+indirect(address(1183,17))-indirect(address(1184,17))</f>
        <v>0</v>
      </c>
      <c r="R1185">
        <f>indirect(address(1185,17))+indirect(address(1183,18))-indirect(address(1184,18))</f>
        <v>0</v>
      </c>
      <c r="S1185">
        <f>indirect(address(1185,18))+indirect(address(1183,19))-indirect(address(1184,19))</f>
        <v>0</v>
      </c>
      <c r="T1185">
        <f>indirect(address(1185,19))+indirect(address(1183,20))-indirect(address(1184,20))</f>
        <v>0</v>
      </c>
      <c r="U1185">
        <f>indirect(address(1185,20))+indirect(address(1183,21))-indirect(address(1184,21))</f>
        <v>0</v>
      </c>
      <c r="V1185">
        <f>indirect(address(1185,21))+indirect(address(1183,22))-indirect(address(1184,22))</f>
        <v>0</v>
      </c>
      <c r="W1185">
        <f>indirect(address(1185,22))+indirect(address(1183,23))-indirect(address(1184,23))</f>
        <v>0</v>
      </c>
      <c r="X1185">
        <f>indirect(address(1185,23))+indirect(address(1183,24))-indirect(address(1184,24))</f>
        <v>0</v>
      </c>
      <c r="Y1185">
        <f>indirect(address(1185,24))+indirect(address(1183,25))-indirect(address(1184,25))</f>
        <v>0</v>
      </c>
      <c r="Z1185">
        <f>indirect(address(1185,25))+indirect(address(1183,26))-indirect(address(1184,26))</f>
        <v>0</v>
      </c>
      <c r="AA1185">
        <f>indirect(address(1185,26))+indirect(address(1183,27))-indirect(address(1184,27))</f>
        <v>0</v>
      </c>
      <c r="AB1185">
        <f>indirect(address(1185,27))+indirect(address(1183,28))-indirect(address(1184,28))</f>
        <v>0</v>
      </c>
      <c r="AC1185">
        <f>indirect(address(1185,28))+indirect(address(1183,29))-indirect(address(1184,29))</f>
        <v>0</v>
      </c>
      <c r="AD1185">
        <f>indirect(address(1185,29))+indirect(address(1183,30))-indirect(address(1184,30))</f>
        <v>0</v>
      </c>
      <c r="AE1185">
        <f>indirect(address(1185,30))+indirect(address(1183,31))-indirect(address(1184,31))</f>
        <v>0</v>
      </c>
      <c r="AF1185">
        <f>indirect(address(1185,31))+indirect(address(1183,32))-indirect(address(1184,32))</f>
        <v>0</v>
      </c>
      <c r="AG1185">
        <f>indirect(address(1185,32))+indirect(address(1183,33))-indirect(address(1184,33))</f>
        <v>0</v>
      </c>
      <c r="AH1185">
        <f>indirect(address(1185,33))+indirect(address(1183,34))-indirect(address(1184,34))</f>
        <v>0</v>
      </c>
      <c r="AI1185">
        <f>indirect(address(1185,34))+indirect(address(1183,35))-indirect(address(1184,35))</f>
        <v>0</v>
      </c>
      <c r="AJ1185">
        <f>indirect(address(1185,35))+indirect(address(1183,36))-indirect(address(1184,36))</f>
        <v>0</v>
      </c>
      <c r="AK1185">
        <f>indirect(address(1185,36))+indirect(address(1183,37))-indirect(address(1184,37))</f>
        <v>0</v>
      </c>
      <c r="AL1185">
        <f>indirect(address(1185,37))+indirect(address(1183,38))-indirect(address(1184,38))</f>
        <v>0</v>
      </c>
      <c r="AM1185">
        <f>indirect(address(1185,38))+indirect(address(1183,39))-indirect(address(1184,39))</f>
        <v>0</v>
      </c>
      <c r="AN1185">
        <f>indirect(address(1185,39))+indirect(address(1183,40))-indirect(address(1184,40))</f>
        <v>0</v>
      </c>
      <c r="AO1185">
        <f>indirect(address(1185,40))+indirect(address(1183,41))-indirect(address(1184,41))</f>
        <v>0</v>
      </c>
    </row>
    <row r="1186" spans="1:41">
      <c r="I1186" t="s">
        <v>14</v>
      </c>
      <c r="AO1186">
        <f>sum(j1186:an1186)</f>
        <v>0</v>
      </c>
    </row>
    <row r="1187" spans="1:41">
      <c r="I1187" t="s">
        <v>15</v>
      </c>
      <c r="J1187">
        <f>sumif(Plan!B:B,"211-008500-000",Plan!j:j)</f>
        <v>0</v>
      </c>
      <c r="K1187">
        <f>sumif(Plan!B:B,"211-008500-000",Plan!k:k)</f>
        <v>0</v>
      </c>
      <c r="L1187">
        <f>sumif(Plan!B:B,"211-008500-000",Plan!l:l)</f>
        <v>0</v>
      </c>
      <c r="M1187">
        <f>sumif(Plan!B:B,"211-008500-000",Plan!m:m)</f>
        <v>0</v>
      </c>
      <c r="N1187">
        <f>sumif(Plan!B:B,"211-008500-000",Plan!n:n)</f>
        <v>0</v>
      </c>
      <c r="O1187">
        <f>sumif(Plan!B:B,"211-008500-000",Plan!o:o)</f>
        <v>0</v>
      </c>
      <c r="P1187">
        <f>sumif(Plan!B:B,"211-008500-000",Plan!p:p)</f>
        <v>0</v>
      </c>
      <c r="Q1187">
        <f>sumif(Plan!B:B,"211-008500-000",Plan!q:q)</f>
        <v>0</v>
      </c>
      <c r="R1187">
        <f>sumif(Plan!B:B,"211-008500-000",Plan!r:r)</f>
        <v>0</v>
      </c>
      <c r="S1187">
        <f>sumif(Plan!B:B,"211-008500-000",Plan!s:s)</f>
        <v>0</v>
      </c>
      <c r="T1187">
        <f>sumif(Plan!B:B,"211-008500-000",Plan!t:t)</f>
        <v>0</v>
      </c>
      <c r="U1187">
        <f>sumif(Plan!B:B,"211-008500-000",Plan!u:u)</f>
        <v>0</v>
      </c>
      <c r="V1187">
        <f>sumif(Plan!B:B,"211-008500-000",Plan!v:v)</f>
        <v>0</v>
      </c>
      <c r="W1187">
        <f>sumif(Plan!B:B,"211-008500-000",Plan!w:w)</f>
        <v>0</v>
      </c>
      <c r="X1187">
        <f>sumif(Plan!B:B,"211-008500-000",Plan!x:x)</f>
        <v>0</v>
      </c>
      <c r="Y1187">
        <f>sumif(Plan!B:B,"211-008500-000",Plan!y:y)</f>
        <v>0</v>
      </c>
      <c r="Z1187">
        <f>sumif(Plan!B:B,"211-008500-000",Plan!z:z)</f>
        <v>0</v>
      </c>
      <c r="AA1187">
        <f>sumif(Plan!B:B,"211-008500-000",Plan!aa:aa)</f>
        <v>0</v>
      </c>
      <c r="AB1187">
        <f>sumif(Plan!B:B,"211-008500-000",Plan!ab:ab)</f>
        <v>0</v>
      </c>
      <c r="AC1187">
        <f>sumif(Plan!B:B,"211-008500-000",Plan!ac:ac)</f>
        <v>0</v>
      </c>
      <c r="AD1187">
        <f>sumif(Plan!B:B,"211-008500-000",Plan!ad:ad)</f>
        <v>0</v>
      </c>
      <c r="AE1187">
        <f>sumif(Plan!B:B,"211-008500-000",Plan!ae:ae)</f>
        <v>0</v>
      </c>
      <c r="AF1187">
        <f>sumif(Plan!B:B,"211-008500-000",Plan!af:af)</f>
        <v>0</v>
      </c>
      <c r="AG1187">
        <f>sumif(Plan!B:B,"211-008500-000",Plan!ag:ag)</f>
        <v>0</v>
      </c>
      <c r="AH1187">
        <f>sumif(Plan!B:B,"211-008500-000",Plan!ah:ah)</f>
        <v>0</v>
      </c>
      <c r="AI1187">
        <f>sumif(Plan!B:B,"211-008500-000",Plan!ai:ai)</f>
        <v>0</v>
      </c>
      <c r="AJ1187">
        <f>sumif(Plan!B:B,"211-008500-000",Plan!aj:aj)</f>
        <v>0</v>
      </c>
      <c r="AK1187">
        <f>sumif(Plan!B:B,"211-008500-000",Plan!ak:ak)</f>
        <v>0</v>
      </c>
      <c r="AL1187">
        <f>sumif(Plan!B:B,"211-008500-000",Plan!al:al)</f>
        <v>0</v>
      </c>
      <c r="AM1187">
        <f>sumif(Plan!B:B,"211-008500-000",Plan!am:am)</f>
        <v>0</v>
      </c>
      <c r="AN1187">
        <f>sumif(Plan!B:B,"211-008500-000",Plan!an:an)</f>
        <v>0</v>
      </c>
      <c r="AO1187">
        <f>sumif(Plan!B:B,"211-008500-000",Plan!ao:ao)</f>
        <v>0</v>
      </c>
    </row>
    <row r="1188" spans="1:41">
      <c r="A1188" t="s">
        <v>22</v>
      </c>
      <c r="B1188" t="s">
        <v>776</v>
      </c>
      <c r="C1188" t="s">
        <v>777</v>
      </c>
      <c r="E1188">
        <v>1</v>
      </c>
      <c r="F1188" t="s">
        <v>13</v>
      </c>
      <c r="H1188" t="s">
        <v>16</v>
      </c>
      <c r="J1188">
        <f>indirect(address(1188,9))+indirect(address(1186,10))-indirect(address(1187,10))</f>
        <v>0</v>
      </c>
      <c r="K1188">
        <f>indirect(address(1188,10))+indirect(address(1186,11))-indirect(address(1187,11))</f>
        <v>0</v>
      </c>
      <c r="L1188">
        <f>indirect(address(1188,11))+indirect(address(1186,12))-indirect(address(1187,12))</f>
        <v>0</v>
      </c>
      <c r="M1188">
        <f>indirect(address(1188,12))+indirect(address(1186,13))-indirect(address(1187,13))</f>
        <v>0</v>
      </c>
      <c r="N1188">
        <f>indirect(address(1188,13))+indirect(address(1186,14))-indirect(address(1187,14))</f>
        <v>0</v>
      </c>
      <c r="O1188">
        <f>indirect(address(1188,14))+indirect(address(1186,15))-indirect(address(1187,15))</f>
        <v>0</v>
      </c>
      <c r="P1188">
        <f>indirect(address(1188,15))+indirect(address(1186,16))-indirect(address(1187,16))</f>
        <v>0</v>
      </c>
      <c r="Q1188">
        <f>indirect(address(1188,16))+indirect(address(1186,17))-indirect(address(1187,17))</f>
        <v>0</v>
      </c>
      <c r="R1188">
        <f>indirect(address(1188,17))+indirect(address(1186,18))-indirect(address(1187,18))</f>
        <v>0</v>
      </c>
      <c r="S1188">
        <f>indirect(address(1188,18))+indirect(address(1186,19))-indirect(address(1187,19))</f>
        <v>0</v>
      </c>
      <c r="T1188">
        <f>indirect(address(1188,19))+indirect(address(1186,20))-indirect(address(1187,20))</f>
        <v>0</v>
      </c>
      <c r="U1188">
        <f>indirect(address(1188,20))+indirect(address(1186,21))-indirect(address(1187,21))</f>
        <v>0</v>
      </c>
      <c r="V1188">
        <f>indirect(address(1188,21))+indirect(address(1186,22))-indirect(address(1187,22))</f>
        <v>0</v>
      </c>
      <c r="W1188">
        <f>indirect(address(1188,22))+indirect(address(1186,23))-indirect(address(1187,23))</f>
        <v>0</v>
      </c>
      <c r="X1188">
        <f>indirect(address(1188,23))+indirect(address(1186,24))-indirect(address(1187,24))</f>
        <v>0</v>
      </c>
      <c r="Y1188">
        <f>indirect(address(1188,24))+indirect(address(1186,25))-indirect(address(1187,25))</f>
        <v>0</v>
      </c>
      <c r="Z1188">
        <f>indirect(address(1188,25))+indirect(address(1186,26))-indirect(address(1187,26))</f>
        <v>0</v>
      </c>
      <c r="AA1188">
        <f>indirect(address(1188,26))+indirect(address(1186,27))-indirect(address(1187,27))</f>
        <v>0</v>
      </c>
      <c r="AB1188">
        <f>indirect(address(1188,27))+indirect(address(1186,28))-indirect(address(1187,28))</f>
        <v>0</v>
      </c>
      <c r="AC1188">
        <f>indirect(address(1188,28))+indirect(address(1186,29))-indirect(address(1187,29))</f>
        <v>0</v>
      </c>
      <c r="AD1188">
        <f>indirect(address(1188,29))+indirect(address(1186,30))-indirect(address(1187,30))</f>
        <v>0</v>
      </c>
      <c r="AE1188">
        <f>indirect(address(1188,30))+indirect(address(1186,31))-indirect(address(1187,31))</f>
        <v>0</v>
      </c>
      <c r="AF1188">
        <f>indirect(address(1188,31))+indirect(address(1186,32))-indirect(address(1187,32))</f>
        <v>0</v>
      </c>
      <c r="AG1188">
        <f>indirect(address(1188,32))+indirect(address(1186,33))-indirect(address(1187,33))</f>
        <v>0</v>
      </c>
      <c r="AH1188">
        <f>indirect(address(1188,33))+indirect(address(1186,34))-indirect(address(1187,34))</f>
        <v>0</v>
      </c>
      <c r="AI1188">
        <f>indirect(address(1188,34))+indirect(address(1186,35))-indirect(address(1187,35))</f>
        <v>0</v>
      </c>
      <c r="AJ1188">
        <f>indirect(address(1188,35))+indirect(address(1186,36))-indirect(address(1187,36))</f>
        <v>0</v>
      </c>
      <c r="AK1188">
        <f>indirect(address(1188,36))+indirect(address(1186,37))-indirect(address(1187,37))</f>
        <v>0</v>
      </c>
      <c r="AL1188">
        <f>indirect(address(1188,37))+indirect(address(1186,38))-indirect(address(1187,38))</f>
        <v>0</v>
      </c>
      <c r="AM1188">
        <f>indirect(address(1188,38))+indirect(address(1186,39))-indirect(address(1187,39))</f>
        <v>0</v>
      </c>
      <c r="AN1188">
        <f>indirect(address(1188,39))+indirect(address(1186,40))-indirect(address(1187,40))</f>
        <v>0</v>
      </c>
      <c r="AO1188">
        <f>indirect(address(1188,40))+indirect(address(1186,41))-indirect(address(1187,41))</f>
        <v>0</v>
      </c>
    </row>
    <row r="1189" spans="1:41">
      <c r="I1189" t="s">
        <v>14</v>
      </c>
      <c r="AO1189">
        <f>sum(j1189:an1189)</f>
        <v>0</v>
      </c>
    </row>
    <row r="1190" spans="1:41">
      <c r="I1190" t="s">
        <v>15</v>
      </c>
      <c r="J1190">
        <f>sumif(Plan!B:B,"906-722000-210",Plan!j:j)</f>
        <v>0</v>
      </c>
      <c r="K1190">
        <f>sumif(Plan!B:B,"906-722000-210",Plan!k:k)</f>
        <v>0</v>
      </c>
      <c r="L1190">
        <f>sumif(Plan!B:B,"906-722000-210",Plan!l:l)</f>
        <v>0</v>
      </c>
      <c r="M1190">
        <f>sumif(Plan!B:B,"906-722000-210",Plan!m:m)</f>
        <v>0</v>
      </c>
      <c r="N1190">
        <f>sumif(Plan!B:B,"906-722000-210",Plan!n:n)</f>
        <v>0</v>
      </c>
      <c r="O1190">
        <f>sumif(Plan!B:B,"906-722000-210",Plan!o:o)</f>
        <v>0</v>
      </c>
      <c r="P1190">
        <f>sumif(Plan!B:B,"906-722000-210",Plan!p:p)</f>
        <v>0</v>
      </c>
      <c r="Q1190">
        <f>sumif(Plan!B:B,"906-722000-210",Plan!q:q)</f>
        <v>0</v>
      </c>
      <c r="R1190">
        <f>sumif(Plan!B:B,"906-722000-210",Plan!r:r)</f>
        <v>0</v>
      </c>
      <c r="S1190">
        <f>sumif(Plan!B:B,"906-722000-210",Plan!s:s)</f>
        <v>0</v>
      </c>
      <c r="T1190">
        <f>sumif(Plan!B:B,"906-722000-210",Plan!t:t)</f>
        <v>0</v>
      </c>
      <c r="U1190">
        <f>sumif(Plan!B:B,"906-722000-210",Plan!u:u)</f>
        <v>0</v>
      </c>
      <c r="V1190">
        <f>sumif(Plan!B:B,"906-722000-210",Plan!v:v)</f>
        <v>0</v>
      </c>
      <c r="W1190">
        <f>sumif(Plan!B:B,"906-722000-210",Plan!w:w)</f>
        <v>0</v>
      </c>
      <c r="X1190">
        <f>sumif(Plan!B:B,"906-722000-210",Plan!x:x)</f>
        <v>0</v>
      </c>
      <c r="Y1190">
        <f>sumif(Plan!B:B,"906-722000-210",Plan!y:y)</f>
        <v>0</v>
      </c>
      <c r="Z1190">
        <f>sumif(Plan!B:B,"906-722000-210",Plan!z:z)</f>
        <v>0</v>
      </c>
      <c r="AA1190">
        <f>sumif(Plan!B:B,"906-722000-210",Plan!aa:aa)</f>
        <v>0</v>
      </c>
      <c r="AB1190">
        <f>sumif(Plan!B:B,"906-722000-210",Plan!ab:ab)</f>
        <v>0</v>
      </c>
      <c r="AC1190">
        <f>sumif(Plan!B:B,"906-722000-210",Plan!ac:ac)</f>
        <v>0</v>
      </c>
      <c r="AD1190">
        <f>sumif(Plan!B:B,"906-722000-210",Plan!ad:ad)</f>
        <v>0</v>
      </c>
      <c r="AE1190">
        <f>sumif(Plan!B:B,"906-722000-210",Plan!ae:ae)</f>
        <v>0</v>
      </c>
      <c r="AF1190">
        <f>sumif(Plan!B:B,"906-722000-210",Plan!af:af)</f>
        <v>0</v>
      </c>
      <c r="AG1190">
        <f>sumif(Plan!B:B,"906-722000-210",Plan!ag:ag)</f>
        <v>0</v>
      </c>
      <c r="AH1190">
        <f>sumif(Plan!B:B,"906-722000-210",Plan!ah:ah)</f>
        <v>0</v>
      </c>
      <c r="AI1190">
        <f>sumif(Plan!B:B,"906-722000-210",Plan!ai:ai)</f>
        <v>0</v>
      </c>
      <c r="AJ1190">
        <f>sumif(Plan!B:B,"906-722000-210",Plan!aj:aj)</f>
        <v>0</v>
      </c>
      <c r="AK1190">
        <f>sumif(Plan!B:B,"906-722000-210",Plan!ak:ak)</f>
        <v>0</v>
      </c>
      <c r="AL1190">
        <f>sumif(Plan!B:B,"906-722000-210",Plan!al:al)</f>
        <v>0</v>
      </c>
      <c r="AM1190">
        <f>sumif(Plan!B:B,"906-722000-210",Plan!am:am)</f>
        <v>0</v>
      </c>
      <c r="AN1190">
        <f>sumif(Plan!B:B,"906-722000-210",Plan!an:an)</f>
        <v>0</v>
      </c>
      <c r="AO1190">
        <f>sumif(Plan!B:B,"906-722000-210",Plan!ao:ao)</f>
        <v>0</v>
      </c>
    </row>
    <row r="1191" spans="1:41">
      <c r="A1191" t="s">
        <v>17</v>
      </c>
      <c r="B1191" t="s">
        <v>780</v>
      </c>
      <c r="C1191" t="s">
        <v>781</v>
      </c>
      <c r="E1191">
        <v>1</v>
      </c>
      <c r="F1191" t="s">
        <v>13</v>
      </c>
      <c r="H1191" t="s">
        <v>16</v>
      </c>
      <c r="J1191">
        <f>indirect(address(1191,9))+indirect(address(1189,10))-indirect(address(1190,10))</f>
        <v>0</v>
      </c>
      <c r="K1191">
        <f>indirect(address(1191,10))+indirect(address(1189,11))-indirect(address(1190,11))</f>
        <v>0</v>
      </c>
      <c r="L1191">
        <f>indirect(address(1191,11))+indirect(address(1189,12))-indirect(address(1190,12))</f>
        <v>0</v>
      </c>
      <c r="M1191">
        <f>indirect(address(1191,12))+indirect(address(1189,13))-indirect(address(1190,13))</f>
        <v>0</v>
      </c>
      <c r="N1191">
        <f>indirect(address(1191,13))+indirect(address(1189,14))-indirect(address(1190,14))</f>
        <v>0</v>
      </c>
      <c r="O1191">
        <f>indirect(address(1191,14))+indirect(address(1189,15))-indirect(address(1190,15))</f>
        <v>0</v>
      </c>
      <c r="P1191">
        <f>indirect(address(1191,15))+indirect(address(1189,16))-indirect(address(1190,16))</f>
        <v>0</v>
      </c>
      <c r="Q1191">
        <f>indirect(address(1191,16))+indirect(address(1189,17))-indirect(address(1190,17))</f>
        <v>0</v>
      </c>
      <c r="R1191">
        <f>indirect(address(1191,17))+indirect(address(1189,18))-indirect(address(1190,18))</f>
        <v>0</v>
      </c>
      <c r="S1191">
        <f>indirect(address(1191,18))+indirect(address(1189,19))-indirect(address(1190,19))</f>
        <v>0</v>
      </c>
      <c r="T1191">
        <f>indirect(address(1191,19))+indirect(address(1189,20))-indirect(address(1190,20))</f>
        <v>0</v>
      </c>
      <c r="U1191">
        <f>indirect(address(1191,20))+indirect(address(1189,21))-indirect(address(1190,21))</f>
        <v>0</v>
      </c>
      <c r="V1191">
        <f>indirect(address(1191,21))+indirect(address(1189,22))-indirect(address(1190,22))</f>
        <v>0</v>
      </c>
      <c r="W1191">
        <f>indirect(address(1191,22))+indirect(address(1189,23))-indirect(address(1190,23))</f>
        <v>0</v>
      </c>
      <c r="X1191">
        <f>indirect(address(1191,23))+indirect(address(1189,24))-indirect(address(1190,24))</f>
        <v>0</v>
      </c>
      <c r="Y1191">
        <f>indirect(address(1191,24))+indirect(address(1189,25))-indirect(address(1190,25))</f>
        <v>0</v>
      </c>
      <c r="Z1191">
        <f>indirect(address(1191,25))+indirect(address(1189,26))-indirect(address(1190,26))</f>
        <v>0</v>
      </c>
      <c r="AA1191">
        <f>indirect(address(1191,26))+indirect(address(1189,27))-indirect(address(1190,27))</f>
        <v>0</v>
      </c>
      <c r="AB1191">
        <f>indirect(address(1191,27))+indirect(address(1189,28))-indirect(address(1190,28))</f>
        <v>0</v>
      </c>
      <c r="AC1191">
        <f>indirect(address(1191,28))+indirect(address(1189,29))-indirect(address(1190,29))</f>
        <v>0</v>
      </c>
      <c r="AD1191">
        <f>indirect(address(1191,29))+indirect(address(1189,30))-indirect(address(1190,30))</f>
        <v>0</v>
      </c>
      <c r="AE1191">
        <f>indirect(address(1191,30))+indirect(address(1189,31))-indirect(address(1190,31))</f>
        <v>0</v>
      </c>
      <c r="AF1191">
        <f>indirect(address(1191,31))+indirect(address(1189,32))-indirect(address(1190,32))</f>
        <v>0</v>
      </c>
      <c r="AG1191">
        <f>indirect(address(1191,32))+indirect(address(1189,33))-indirect(address(1190,33))</f>
        <v>0</v>
      </c>
      <c r="AH1191">
        <f>indirect(address(1191,33))+indirect(address(1189,34))-indirect(address(1190,34))</f>
        <v>0</v>
      </c>
      <c r="AI1191">
        <f>indirect(address(1191,34))+indirect(address(1189,35))-indirect(address(1190,35))</f>
        <v>0</v>
      </c>
      <c r="AJ1191">
        <f>indirect(address(1191,35))+indirect(address(1189,36))-indirect(address(1190,36))</f>
        <v>0</v>
      </c>
      <c r="AK1191">
        <f>indirect(address(1191,36))+indirect(address(1189,37))-indirect(address(1190,37))</f>
        <v>0</v>
      </c>
      <c r="AL1191">
        <f>indirect(address(1191,37))+indirect(address(1189,38))-indirect(address(1190,38))</f>
        <v>0</v>
      </c>
      <c r="AM1191">
        <f>indirect(address(1191,38))+indirect(address(1189,39))-indirect(address(1190,39))</f>
        <v>0</v>
      </c>
      <c r="AN1191">
        <f>indirect(address(1191,39))+indirect(address(1189,40))-indirect(address(1190,40))</f>
        <v>0</v>
      </c>
      <c r="AO1191">
        <f>indirect(address(1191,40))+indirect(address(1189,41))-indirect(address(1190,41))</f>
        <v>0</v>
      </c>
    </row>
    <row r="1192" spans="1:41">
      <c r="I1192" t="s">
        <v>14</v>
      </c>
      <c r="AO1192">
        <f>sum(j1192:an1192)</f>
        <v>0</v>
      </c>
    </row>
    <row r="1193" spans="1:41">
      <c r="I1193" t="s">
        <v>15</v>
      </c>
      <c r="J1193">
        <f>sumif(Plan!B:B,"906-721000-410",Plan!j:j)</f>
        <v>0</v>
      </c>
      <c r="K1193">
        <f>sumif(Plan!B:B,"906-721000-410",Plan!k:k)</f>
        <v>0</v>
      </c>
      <c r="L1193">
        <f>sumif(Plan!B:B,"906-721000-410",Plan!l:l)</f>
        <v>0</v>
      </c>
      <c r="M1193">
        <f>sumif(Plan!B:B,"906-721000-410",Plan!m:m)</f>
        <v>0</v>
      </c>
      <c r="N1193">
        <f>sumif(Plan!B:B,"906-721000-410",Plan!n:n)</f>
        <v>0</v>
      </c>
      <c r="O1193">
        <f>sumif(Plan!B:B,"906-721000-410",Plan!o:o)</f>
        <v>0</v>
      </c>
      <c r="P1193">
        <f>sumif(Plan!B:B,"906-721000-410",Plan!p:p)</f>
        <v>0</v>
      </c>
      <c r="Q1193">
        <f>sumif(Plan!B:B,"906-721000-410",Plan!q:q)</f>
        <v>0</v>
      </c>
      <c r="R1193">
        <f>sumif(Plan!B:B,"906-721000-410",Plan!r:r)</f>
        <v>0</v>
      </c>
      <c r="S1193">
        <f>sumif(Plan!B:B,"906-721000-410",Plan!s:s)</f>
        <v>0</v>
      </c>
      <c r="T1193">
        <f>sumif(Plan!B:B,"906-721000-410",Plan!t:t)</f>
        <v>0</v>
      </c>
      <c r="U1193">
        <f>sumif(Plan!B:B,"906-721000-410",Plan!u:u)</f>
        <v>0</v>
      </c>
      <c r="V1193">
        <f>sumif(Plan!B:B,"906-721000-410",Plan!v:v)</f>
        <v>0</v>
      </c>
      <c r="W1193">
        <f>sumif(Plan!B:B,"906-721000-410",Plan!w:w)</f>
        <v>0</v>
      </c>
      <c r="X1193">
        <f>sumif(Plan!B:B,"906-721000-410",Plan!x:x)</f>
        <v>0</v>
      </c>
      <c r="Y1193">
        <f>sumif(Plan!B:B,"906-721000-410",Plan!y:y)</f>
        <v>0</v>
      </c>
      <c r="Z1193">
        <f>sumif(Plan!B:B,"906-721000-410",Plan!z:z)</f>
        <v>0</v>
      </c>
      <c r="AA1193">
        <f>sumif(Plan!B:B,"906-721000-410",Plan!aa:aa)</f>
        <v>0</v>
      </c>
      <c r="AB1193">
        <f>sumif(Plan!B:B,"906-721000-410",Plan!ab:ab)</f>
        <v>0</v>
      </c>
      <c r="AC1193">
        <f>sumif(Plan!B:B,"906-721000-410",Plan!ac:ac)</f>
        <v>0</v>
      </c>
      <c r="AD1193">
        <f>sumif(Plan!B:B,"906-721000-410",Plan!ad:ad)</f>
        <v>0</v>
      </c>
      <c r="AE1193">
        <f>sumif(Plan!B:B,"906-721000-410",Plan!ae:ae)</f>
        <v>0</v>
      </c>
      <c r="AF1193">
        <f>sumif(Plan!B:B,"906-721000-410",Plan!af:af)</f>
        <v>0</v>
      </c>
      <c r="AG1193">
        <f>sumif(Plan!B:B,"906-721000-410",Plan!ag:ag)</f>
        <v>0</v>
      </c>
      <c r="AH1193">
        <f>sumif(Plan!B:B,"906-721000-410",Plan!ah:ah)</f>
        <v>0</v>
      </c>
      <c r="AI1193">
        <f>sumif(Plan!B:B,"906-721000-410",Plan!ai:ai)</f>
        <v>0</v>
      </c>
      <c r="AJ1193">
        <f>sumif(Plan!B:B,"906-721000-410",Plan!aj:aj)</f>
        <v>0</v>
      </c>
      <c r="AK1193">
        <f>sumif(Plan!B:B,"906-721000-410",Plan!ak:ak)</f>
        <v>0</v>
      </c>
      <c r="AL1193">
        <f>sumif(Plan!B:B,"906-721000-410",Plan!al:al)</f>
        <v>0</v>
      </c>
      <c r="AM1193">
        <f>sumif(Plan!B:B,"906-721000-410",Plan!am:am)</f>
        <v>0</v>
      </c>
      <c r="AN1193">
        <f>sumif(Plan!B:B,"906-721000-410",Plan!an:an)</f>
        <v>0</v>
      </c>
      <c r="AO1193">
        <f>sumif(Plan!B:B,"906-721000-410",Plan!ao:ao)</f>
        <v>0</v>
      </c>
    </row>
    <row r="1194" spans="1:41">
      <c r="A1194" t="s">
        <v>17</v>
      </c>
      <c r="B1194" t="s">
        <v>782</v>
      </c>
      <c r="C1194" t="s">
        <v>783</v>
      </c>
      <c r="E1194">
        <v>1</v>
      </c>
      <c r="F1194" t="s">
        <v>13</v>
      </c>
      <c r="H1194" t="s">
        <v>16</v>
      </c>
      <c r="J1194">
        <f>indirect(address(1194,9))+indirect(address(1192,10))-indirect(address(1193,10))</f>
        <v>0</v>
      </c>
      <c r="K1194">
        <f>indirect(address(1194,10))+indirect(address(1192,11))-indirect(address(1193,11))</f>
        <v>0</v>
      </c>
      <c r="L1194">
        <f>indirect(address(1194,11))+indirect(address(1192,12))-indirect(address(1193,12))</f>
        <v>0</v>
      </c>
      <c r="M1194">
        <f>indirect(address(1194,12))+indirect(address(1192,13))-indirect(address(1193,13))</f>
        <v>0</v>
      </c>
      <c r="N1194">
        <f>indirect(address(1194,13))+indirect(address(1192,14))-indirect(address(1193,14))</f>
        <v>0</v>
      </c>
      <c r="O1194">
        <f>indirect(address(1194,14))+indirect(address(1192,15))-indirect(address(1193,15))</f>
        <v>0</v>
      </c>
      <c r="P1194">
        <f>indirect(address(1194,15))+indirect(address(1192,16))-indirect(address(1193,16))</f>
        <v>0</v>
      </c>
      <c r="Q1194">
        <f>indirect(address(1194,16))+indirect(address(1192,17))-indirect(address(1193,17))</f>
        <v>0</v>
      </c>
      <c r="R1194">
        <f>indirect(address(1194,17))+indirect(address(1192,18))-indirect(address(1193,18))</f>
        <v>0</v>
      </c>
      <c r="S1194">
        <f>indirect(address(1194,18))+indirect(address(1192,19))-indirect(address(1193,19))</f>
        <v>0</v>
      </c>
      <c r="T1194">
        <f>indirect(address(1194,19))+indirect(address(1192,20))-indirect(address(1193,20))</f>
        <v>0</v>
      </c>
      <c r="U1194">
        <f>indirect(address(1194,20))+indirect(address(1192,21))-indirect(address(1193,21))</f>
        <v>0</v>
      </c>
      <c r="V1194">
        <f>indirect(address(1194,21))+indirect(address(1192,22))-indirect(address(1193,22))</f>
        <v>0</v>
      </c>
      <c r="W1194">
        <f>indirect(address(1194,22))+indirect(address(1192,23))-indirect(address(1193,23))</f>
        <v>0</v>
      </c>
      <c r="X1194">
        <f>indirect(address(1194,23))+indirect(address(1192,24))-indirect(address(1193,24))</f>
        <v>0</v>
      </c>
      <c r="Y1194">
        <f>indirect(address(1194,24))+indirect(address(1192,25))-indirect(address(1193,25))</f>
        <v>0</v>
      </c>
      <c r="Z1194">
        <f>indirect(address(1194,25))+indirect(address(1192,26))-indirect(address(1193,26))</f>
        <v>0</v>
      </c>
      <c r="AA1194">
        <f>indirect(address(1194,26))+indirect(address(1192,27))-indirect(address(1193,27))</f>
        <v>0</v>
      </c>
      <c r="AB1194">
        <f>indirect(address(1194,27))+indirect(address(1192,28))-indirect(address(1193,28))</f>
        <v>0</v>
      </c>
      <c r="AC1194">
        <f>indirect(address(1194,28))+indirect(address(1192,29))-indirect(address(1193,29))</f>
        <v>0</v>
      </c>
      <c r="AD1194">
        <f>indirect(address(1194,29))+indirect(address(1192,30))-indirect(address(1193,30))</f>
        <v>0</v>
      </c>
      <c r="AE1194">
        <f>indirect(address(1194,30))+indirect(address(1192,31))-indirect(address(1193,31))</f>
        <v>0</v>
      </c>
      <c r="AF1194">
        <f>indirect(address(1194,31))+indirect(address(1192,32))-indirect(address(1193,32))</f>
        <v>0</v>
      </c>
      <c r="AG1194">
        <f>indirect(address(1194,32))+indirect(address(1192,33))-indirect(address(1193,33))</f>
        <v>0</v>
      </c>
      <c r="AH1194">
        <f>indirect(address(1194,33))+indirect(address(1192,34))-indirect(address(1193,34))</f>
        <v>0</v>
      </c>
      <c r="AI1194">
        <f>indirect(address(1194,34))+indirect(address(1192,35))-indirect(address(1193,35))</f>
        <v>0</v>
      </c>
      <c r="AJ1194">
        <f>indirect(address(1194,35))+indirect(address(1192,36))-indirect(address(1193,36))</f>
        <v>0</v>
      </c>
      <c r="AK1194">
        <f>indirect(address(1194,36))+indirect(address(1192,37))-indirect(address(1193,37))</f>
        <v>0</v>
      </c>
      <c r="AL1194">
        <f>indirect(address(1194,37))+indirect(address(1192,38))-indirect(address(1193,38))</f>
        <v>0</v>
      </c>
      <c r="AM1194">
        <f>indirect(address(1194,38))+indirect(address(1192,39))-indirect(address(1193,39))</f>
        <v>0</v>
      </c>
      <c r="AN1194">
        <f>indirect(address(1194,39))+indirect(address(1192,40))-indirect(address(1193,40))</f>
        <v>0</v>
      </c>
      <c r="AO1194">
        <f>indirect(address(1194,40))+indirect(address(1192,41))-indirect(address(1193,41))</f>
        <v>0</v>
      </c>
    </row>
    <row r="1195" spans="1:41">
      <c r="I1195" t="s">
        <v>14</v>
      </c>
      <c r="AO1195">
        <f>sum(j1195:an1195)</f>
        <v>0</v>
      </c>
    </row>
    <row r="1196" spans="1:41">
      <c r="I1196" t="s">
        <v>15</v>
      </c>
      <c r="J1196">
        <f>sumif(Plan!B:B,"906-739000-210",Plan!j:j)</f>
        <v>0</v>
      </c>
      <c r="K1196">
        <f>sumif(Plan!B:B,"906-739000-210",Plan!k:k)</f>
        <v>0</v>
      </c>
      <c r="L1196">
        <f>sumif(Plan!B:B,"906-739000-210",Plan!l:l)</f>
        <v>0</v>
      </c>
      <c r="M1196">
        <f>sumif(Plan!B:B,"906-739000-210",Plan!m:m)</f>
        <v>0</v>
      </c>
      <c r="N1196">
        <f>sumif(Plan!B:B,"906-739000-210",Plan!n:n)</f>
        <v>0</v>
      </c>
      <c r="O1196">
        <f>sumif(Plan!B:B,"906-739000-210",Plan!o:o)</f>
        <v>0</v>
      </c>
      <c r="P1196">
        <f>sumif(Plan!B:B,"906-739000-210",Plan!p:p)</f>
        <v>0</v>
      </c>
      <c r="Q1196">
        <f>sumif(Plan!B:B,"906-739000-210",Plan!q:q)</f>
        <v>0</v>
      </c>
      <c r="R1196">
        <f>sumif(Plan!B:B,"906-739000-210",Plan!r:r)</f>
        <v>0</v>
      </c>
      <c r="S1196">
        <f>sumif(Plan!B:B,"906-739000-210",Plan!s:s)</f>
        <v>0</v>
      </c>
      <c r="T1196">
        <f>sumif(Plan!B:B,"906-739000-210",Plan!t:t)</f>
        <v>0</v>
      </c>
      <c r="U1196">
        <f>sumif(Plan!B:B,"906-739000-210",Plan!u:u)</f>
        <v>0</v>
      </c>
      <c r="V1196">
        <f>sumif(Plan!B:B,"906-739000-210",Plan!v:v)</f>
        <v>0</v>
      </c>
      <c r="W1196">
        <f>sumif(Plan!B:B,"906-739000-210",Plan!w:w)</f>
        <v>0</v>
      </c>
      <c r="X1196">
        <f>sumif(Plan!B:B,"906-739000-210",Plan!x:x)</f>
        <v>0</v>
      </c>
      <c r="Y1196">
        <f>sumif(Plan!B:B,"906-739000-210",Plan!y:y)</f>
        <v>0</v>
      </c>
      <c r="Z1196">
        <f>sumif(Plan!B:B,"906-739000-210",Plan!z:z)</f>
        <v>0</v>
      </c>
      <c r="AA1196">
        <f>sumif(Plan!B:B,"906-739000-210",Plan!aa:aa)</f>
        <v>0</v>
      </c>
      <c r="AB1196">
        <f>sumif(Plan!B:B,"906-739000-210",Plan!ab:ab)</f>
        <v>0</v>
      </c>
      <c r="AC1196">
        <f>sumif(Plan!B:B,"906-739000-210",Plan!ac:ac)</f>
        <v>0</v>
      </c>
      <c r="AD1196">
        <f>sumif(Plan!B:B,"906-739000-210",Plan!ad:ad)</f>
        <v>0</v>
      </c>
      <c r="AE1196">
        <f>sumif(Plan!B:B,"906-739000-210",Plan!ae:ae)</f>
        <v>0</v>
      </c>
      <c r="AF1196">
        <f>sumif(Plan!B:B,"906-739000-210",Plan!af:af)</f>
        <v>0</v>
      </c>
      <c r="AG1196">
        <f>sumif(Plan!B:B,"906-739000-210",Plan!ag:ag)</f>
        <v>0</v>
      </c>
      <c r="AH1196">
        <f>sumif(Plan!B:B,"906-739000-210",Plan!ah:ah)</f>
        <v>0</v>
      </c>
      <c r="AI1196">
        <f>sumif(Plan!B:B,"906-739000-210",Plan!ai:ai)</f>
        <v>0</v>
      </c>
      <c r="AJ1196">
        <f>sumif(Plan!B:B,"906-739000-210",Plan!aj:aj)</f>
        <v>0</v>
      </c>
      <c r="AK1196">
        <f>sumif(Plan!B:B,"906-739000-210",Plan!ak:ak)</f>
        <v>0</v>
      </c>
      <c r="AL1196">
        <f>sumif(Plan!B:B,"906-739000-210",Plan!al:al)</f>
        <v>0</v>
      </c>
      <c r="AM1196">
        <f>sumif(Plan!B:B,"906-739000-210",Plan!am:am)</f>
        <v>0</v>
      </c>
      <c r="AN1196">
        <f>sumif(Plan!B:B,"906-739000-210",Plan!an:an)</f>
        <v>0</v>
      </c>
      <c r="AO1196">
        <f>sumif(Plan!B:B,"906-739000-210",Plan!ao:ao)</f>
        <v>0</v>
      </c>
    </row>
    <row r="1197" spans="1:41">
      <c r="A1197" t="s">
        <v>17</v>
      </c>
      <c r="B1197" t="s">
        <v>786</v>
      </c>
      <c r="C1197" t="s">
        <v>787</v>
      </c>
      <c r="E1197">
        <v>1</v>
      </c>
      <c r="F1197" t="s">
        <v>13</v>
      </c>
      <c r="H1197" t="s">
        <v>16</v>
      </c>
      <c r="J1197">
        <f>indirect(address(1197,9))+indirect(address(1195,10))-indirect(address(1196,10))</f>
        <v>0</v>
      </c>
      <c r="K1197">
        <f>indirect(address(1197,10))+indirect(address(1195,11))-indirect(address(1196,11))</f>
        <v>0</v>
      </c>
      <c r="L1197">
        <f>indirect(address(1197,11))+indirect(address(1195,12))-indirect(address(1196,12))</f>
        <v>0</v>
      </c>
      <c r="M1197">
        <f>indirect(address(1197,12))+indirect(address(1195,13))-indirect(address(1196,13))</f>
        <v>0</v>
      </c>
      <c r="N1197">
        <f>indirect(address(1197,13))+indirect(address(1195,14))-indirect(address(1196,14))</f>
        <v>0</v>
      </c>
      <c r="O1197">
        <f>indirect(address(1197,14))+indirect(address(1195,15))-indirect(address(1196,15))</f>
        <v>0</v>
      </c>
      <c r="P1197">
        <f>indirect(address(1197,15))+indirect(address(1195,16))-indirect(address(1196,16))</f>
        <v>0</v>
      </c>
      <c r="Q1197">
        <f>indirect(address(1197,16))+indirect(address(1195,17))-indirect(address(1196,17))</f>
        <v>0</v>
      </c>
      <c r="R1197">
        <f>indirect(address(1197,17))+indirect(address(1195,18))-indirect(address(1196,18))</f>
        <v>0</v>
      </c>
      <c r="S1197">
        <f>indirect(address(1197,18))+indirect(address(1195,19))-indirect(address(1196,19))</f>
        <v>0</v>
      </c>
      <c r="T1197">
        <f>indirect(address(1197,19))+indirect(address(1195,20))-indirect(address(1196,20))</f>
        <v>0</v>
      </c>
      <c r="U1197">
        <f>indirect(address(1197,20))+indirect(address(1195,21))-indirect(address(1196,21))</f>
        <v>0</v>
      </c>
      <c r="V1197">
        <f>indirect(address(1197,21))+indirect(address(1195,22))-indirect(address(1196,22))</f>
        <v>0</v>
      </c>
      <c r="W1197">
        <f>indirect(address(1197,22))+indirect(address(1195,23))-indirect(address(1196,23))</f>
        <v>0</v>
      </c>
      <c r="X1197">
        <f>indirect(address(1197,23))+indirect(address(1195,24))-indirect(address(1196,24))</f>
        <v>0</v>
      </c>
      <c r="Y1197">
        <f>indirect(address(1197,24))+indirect(address(1195,25))-indirect(address(1196,25))</f>
        <v>0</v>
      </c>
      <c r="Z1197">
        <f>indirect(address(1197,25))+indirect(address(1195,26))-indirect(address(1196,26))</f>
        <v>0</v>
      </c>
      <c r="AA1197">
        <f>indirect(address(1197,26))+indirect(address(1195,27))-indirect(address(1196,27))</f>
        <v>0</v>
      </c>
      <c r="AB1197">
        <f>indirect(address(1197,27))+indirect(address(1195,28))-indirect(address(1196,28))</f>
        <v>0</v>
      </c>
      <c r="AC1197">
        <f>indirect(address(1197,28))+indirect(address(1195,29))-indirect(address(1196,29))</f>
        <v>0</v>
      </c>
      <c r="AD1197">
        <f>indirect(address(1197,29))+indirect(address(1195,30))-indirect(address(1196,30))</f>
        <v>0</v>
      </c>
      <c r="AE1197">
        <f>indirect(address(1197,30))+indirect(address(1195,31))-indirect(address(1196,31))</f>
        <v>0</v>
      </c>
      <c r="AF1197">
        <f>indirect(address(1197,31))+indirect(address(1195,32))-indirect(address(1196,32))</f>
        <v>0</v>
      </c>
      <c r="AG1197">
        <f>indirect(address(1197,32))+indirect(address(1195,33))-indirect(address(1196,33))</f>
        <v>0</v>
      </c>
      <c r="AH1197">
        <f>indirect(address(1197,33))+indirect(address(1195,34))-indirect(address(1196,34))</f>
        <v>0</v>
      </c>
      <c r="AI1197">
        <f>indirect(address(1197,34))+indirect(address(1195,35))-indirect(address(1196,35))</f>
        <v>0</v>
      </c>
      <c r="AJ1197">
        <f>indirect(address(1197,35))+indirect(address(1195,36))-indirect(address(1196,36))</f>
        <v>0</v>
      </c>
      <c r="AK1197">
        <f>indirect(address(1197,36))+indirect(address(1195,37))-indirect(address(1196,37))</f>
        <v>0</v>
      </c>
      <c r="AL1197">
        <f>indirect(address(1197,37))+indirect(address(1195,38))-indirect(address(1196,38))</f>
        <v>0</v>
      </c>
      <c r="AM1197">
        <f>indirect(address(1197,38))+indirect(address(1195,39))-indirect(address(1196,39))</f>
        <v>0</v>
      </c>
      <c r="AN1197">
        <f>indirect(address(1197,39))+indirect(address(1195,40))-indirect(address(1196,40))</f>
        <v>0</v>
      </c>
      <c r="AO1197">
        <f>indirect(address(1197,40))+indirect(address(1195,41))-indirect(address(1196,41))</f>
        <v>0</v>
      </c>
    </row>
    <row r="1198" spans="1:41">
      <c r="I1198" t="s">
        <v>14</v>
      </c>
      <c r="AO1198">
        <f>sum(j1198:an1198)</f>
        <v>0</v>
      </c>
    </row>
    <row r="1199" spans="1:41">
      <c r="I1199" t="s">
        <v>15</v>
      </c>
      <c r="J1199">
        <f>sumif(Plan!B:B,"906-738000-410",Plan!j:j)</f>
        <v>0</v>
      </c>
      <c r="K1199">
        <f>sumif(Plan!B:B,"906-738000-410",Plan!k:k)</f>
        <v>0</v>
      </c>
      <c r="L1199">
        <f>sumif(Plan!B:B,"906-738000-410",Plan!l:l)</f>
        <v>0</v>
      </c>
      <c r="M1199">
        <f>sumif(Plan!B:B,"906-738000-410",Plan!m:m)</f>
        <v>0</v>
      </c>
      <c r="N1199">
        <f>sumif(Plan!B:B,"906-738000-410",Plan!n:n)</f>
        <v>0</v>
      </c>
      <c r="O1199">
        <f>sumif(Plan!B:B,"906-738000-410",Plan!o:o)</f>
        <v>0</v>
      </c>
      <c r="P1199">
        <f>sumif(Plan!B:B,"906-738000-410",Plan!p:p)</f>
        <v>0</v>
      </c>
      <c r="Q1199">
        <f>sumif(Plan!B:B,"906-738000-410",Plan!q:q)</f>
        <v>0</v>
      </c>
      <c r="R1199">
        <f>sumif(Plan!B:B,"906-738000-410",Plan!r:r)</f>
        <v>0</v>
      </c>
      <c r="S1199">
        <f>sumif(Plan!B:B,"906-738000-410",Plan!s:s)</f>
        <v>0</v>
      </c>
      <c r="T1199">
        <f>sumif(Plan!B:B,"906-738000-410",Plan!t:t)</f>
        <v>0</v>
      </c>
      <c r="U1199">
        <f>sumif(Plan!B:B,"906-738000-410",Plan!u:u)</f>
        <v>0</v>
      </c>
      <c r="V1199">
        <f>sumif(Plan!B:B,"906-738000-410",Plan!v:v)</f>
        <v>0</v>
      </c>
      <c r="W1199">
        <f>sumif(Plan!B:B,"906-738000-410",Plan!w:w)</f>
        <v>0</v>
      </c>
      <c r="X1199">
        <f>sumif(Plan!B:B,"906-738000-410",Plan!x:x)</f>
        <v>0</v>
      </c>
      <c r="Y1199">
        <f>sumif(Plan!B:B,"906-738000-410",Plan!y:y)</f>
        <v>0</v>
      </c>
      <c r="Z1199">
        <f>sumif(Plan!B:B,"906-738000-410",Plan!z:z)</f>
        <v>0</v>
      </c>
      <c r="AA1199">
        <f>sumif(Plan!B:B,"906-738000-410",Plan!aa:aa)</f>
        <v>0</v>
      </c>
      <c r="AB1199">
        <f>sumif(Plan!B:B,"906-738000-410",Plan!ab:ab)</f>
        <v>0</v>
      </c>
      <c r="AC1199">
        <f>sumif(Plan!B:B,"906-738000-410",Plan!ac:ac)</f>
        <v>0</v>
      </c>
      <c r="AD1199">
        <f>sumif(Plan!B:B,"906-738000-410",Plan!ad:ad)</f>
        <v>0</v>
      </c>
      <c r="AE1199">
        <f>sumif(Plan!B:B,"906-738000-410",Plan!ae:ae)</f>
        <v>0</v>
      </c>
      <c r="AF1199">
        <f>sumif(Plan!B:B,"906-738000-410",Plan!af:af)</f>
        <v>0</v>
      </c>
      <c r="AG1199">
        <f>sumif(Plan!B:B,"906-738000-410",Plan!ag:ag)</f>
        <v>0</v>
      </c>
      <c r="AH1199">
        <f>sumif(Plan!B:B,"906-738000-410",Plan!ah:ah)</f>
        <v>0</v>
      </c>
      <c r="AI1199">
        <f>sumif(Plan!B:B,"906-738000-410",Plan!ai:ai)</f>
        <v>0</v>
      </c>
      <c r="AJ1199">
        <f>sumif(Plan!B:B,"906-738000-410",Plan!aj:aj)</f>
        <v>0</v>
      </c>
      <c r="AK1199">
        <f>sumif(Plan!B:B,"906-738000-410",Plan!ak:ak)</f>
        <v>0</v>
      </c>
      <c r="AL1199">
        <f>sumif(Plan!B:B,"906-738000-410",Plan!al:al)</f>
        <v>0</v>
      </c>
      <c r="AM1199">
        <f>sumif(Plan!B:B,"906-738000-410",Plan!am:am)</f>
        <v>0</v>
      </c>
      <c r="AN1199">
        <f>sumif(Plan!B:B,"906-738000-410",Plan!an:an)</f>
        <v>0</v>
      </c>
      <c r="AO1199">
        <f>sumif(Plan!B:B,"906-738000-410",Plan!ao:ao)</f>
        <v>0</v>
      </c>
    </row>
    <row r="1200" spans="1:41">
      <c r="A1200" t="s">
        <v>17</v>
      </c>
      <c r="B1200" t="s">
        <v>788</v>
      </c>
      <c r="C1200" t="s">
        <v>789</v>
      </c>
      <c r="E1200">
        <v>1</v>
      </c>
      <c r="F1200" t="s">
        <v>13</v>
      </c>
      <c r="H1200" t="s">
        <v>16</v>
      </c>
      <c r="J1200">
        <f>indirect(address(1200,9))+indirect(address(1198,10))-indirect(address(1199,10))</f>
        <v>0</v>
      </c>
      <c r="K1200">
        <f>indirect(address(1200,10))+indirect(address(1198,11))-indirect(address(1199,11))</f>
        <v>0</v>
      </c>
      <c r="L1200">
        <f>indirect(address(1200,11))+indirect(address(1198,12))-indirect(address(1199,12))</f>
        <v>0</v>
      </c>
      <c r="M1200">
        <f>indirect(address(1200,12))+indirect(address(1198,13))-indirect(address(1199,13))</f>
        <v>0</v>
      </c>
      <c r="N1200">
        <f>indirect(address(1200,13))+indirect(address(1198,14))-indirect(address(1199,14))</f>
        <v>0</v>
      </c>
      <c r="O1200">
        <f>indirect(address(1200,14))+indirect(address(1198,15))-indirect(address(1199,15))</f>
        <v>0</v>
      </c>
      <c r="P1200">
        <f>indirect(address(1200,15))+indirect(address(1198,16))-indirect(address(1199,16))</f>
        <v>0</v>
      </c>
      <c r="Q1200">
        <f>indirect(address(1200,16))+indirect(address(1198,17))-indirect(address(1199,17))</f>
        <v>0</v>
      </c>
      <c r="R1200">
        <f>indirect(address(1200,17))+indirect(address(1198,18))-indirect(address(1199,18))</f>
        <v>0</v>
      </c>
      <c r="S1200">
        <f>indirect(address(1200,18))+indirect(address(1198,19))-indirect(address(1199,19))</f>
        <v>0</v>
      </c>
      <c r="T1200">
        <f>indirect(address(1200,19))+indirect(address(1198,20))-indirect(address(1199,20))</f>
        <v>0</v>
      </c>
      <c r="U1200">
        <f>indirect(address(1200,20))+indirect(address(1198,21))-indirect(address(1199,21))</f>
        <v>0</v>
      </c>
      <c r="V1200">
        <f>indirect(address(1200,21))+indirect(address(1198,22))-indirect(address(1199,22))</f>
        <v>0</v>
      </c>
      <c r="W1200">
        <f>indirect(address(1200,22))+indirect(address(1198,23))-indirect(address(1199,23))</f>
        <v>0</v>
      </c>
      <c r="X1200">
        <f>indirect(address(1200,23))+indirect(address(1198,24))-indirect(address(1199,24))</f>
        <v>0</v>
      </c>
      <c r="Y1200">
        <f>indirect(address(1200,24))+indirect(address(1198,25))-indirect(address(1199,25))</f>
        <v>0</v>
      </c>
      <c r="Z1200">
        <f>indirect(address(1200,25))+indirect(address(1198,26))-indirect(address(1199,26))</f>
        <v>0</v>
      </c>
      <c r="AA1200">
        <f>indirect(address(1200,26))+indirect(address(1198,27))-indirect(address(1199,27))</f>
        <v>0</v>
      </c>
      <c r="AB1200">
        <f>indirect(address(1200,27))+indirect(address(1198,28))-indirect(address(1199,28))</f>
        <v>0</v>
      </c>
      <c r="AC1200">
        <f>indirect(address(1200,28))+indirect(address(1198,29))-indirect(address(1199,29))</f>
        <v>0</v>
      </c>
      <c r="AD1200">
        <f>indirect(address(1200,29))+indirect(address(1198,30))-indirect(address(1199,30))</f>
        <v>0</v>
      </c>
      <c r="AE1200">
        <f>indirect(address(1200,30))+indirect(address(1198,31))-indirect(address(1199,31))</f>
        <v>0</v>
      </c>
      <c r="AF1200">
        <f>indirect(address(1200,31))+indirect(address(1198,32))-indirect(address(1199,32))</f>
        <v>0</v>
      </c>
      <c r="AG1200">
        <f>indirect(address(1200,32))+indirect(address(1198,33))-indirect(address(1199,33))</f>
        <v>0</v>
      </c>
      <c r="AH1200">
        <f>indirect(address(1200,33))+indirect(address(1198,34))-indirect(address(1199,34))</f>
        <v>0</v>
      </c>
      <c r="AI1200">
        <f>indirect(address(1200,34))+indirect(address(1198,35))-indirect(address(1199,35))</f>
        <v>0</v>
      </c>
      <c r="AJ1200">
        <f>indirect(address(1200,35))+indirect(address(1198,36))-indirect(address(1199,36))</f>
        <v>0</v>
      </c>
      <c r="AK1200">
        <f>indirect(address(1200,36))+indirect(address(1198,37))-indirect(address(1199,37))</f>
        <v>0</v>
      </c>
      <c r="AL1200">
        <f>indirect(address(1200,37))+indirect(address(1198,38))-indirect(address(1199,38))</f>
        <v>0</v>
      </c>
      <c r="AM1200">
        <f>indirect(address(1200,38))+indirect(address(1198,39))-indirect(address(1199,39))</f>
        <v>0</v>
      </c>
      <c r="AN1200">
        <f>indirect(address(1200,39))+indirect(address(1198,40))-indirect(address(1199,40))</f>
        <v>0</v>
      </c>
      <c r="AO1200">
        <f>indirect(address(1200,40))+indirect(address(1198,41))-indirect(address(1199,41))</f>
        <v>0</v>
      </c>
    </row>
    <row r="1201" spans="1:41">
      <c r="I1201" t="s">
        <v>14</v>
      </c>
      <c r="AO1201">
        <f>sum(j1201:an1201)</f>
        <v>0</v>
      </c>
    </row>
    <row r="1202" spans="1:41">
      <c r="I1202" t="s">
        <v>15</v>
      </c>
      <c r="J1202">
        <f>sumif(Plan!B:B,"806-487000-110",Plan!j:j)</f>
        <v>0</v>
      </c>
      <c r="K1202">
        <f>sumif(Plan!B:B,"806-487000-110",Plan!k:k)</f>
        <v>0</v>
      </c>
      <c r="L1202">
        <f>sumif(Plan!B:B,"806-487000-110",Plan!l:l)</f>
        <v>0</v>
      </c>
      <c r="M1202">
        <f>sumif(Plan!B:B,"806-487000-110",Plan!m:m)</f>
        <v>0</v>
      </c>
      <c r="N1202">
        <f>sumif(Plan!B:B,"806-487000-110",Plan!n:n)</f>
        <v>0</v>
      </c>
      <c r="O1202">
        <f>sumif(Plan!B:B,"806-487000-110",Plan!o:o)</f>
        <v>0</v>
      </c>
      <c r="P1202">
        <f>sumif(Plan!B:B,"806-487000-110",Plan!p:p)</f>
        <v>0</v>
      </c>
      <c r="Q1202">
        <f>sumif(Plan!B:B,"806-487000-110",Plan!q:q)</f>
        <v>0</v>
      </c>
      <c r="R1202">
        <f>sumif(Plan!B:B,"806-487000-110",Plan!r:r)</f>
        <v>0</v>
      </c>
      <c r="S1202">
        <f>sumif(Plan!B:B,"806-487000-110",Plan!s:s)</f>
        <v>0</v>
      </c>
      <c r="T1202">
        <f>sumif(Plan!B:B,"806-487000-110",Plan!t:t)</f>
        <v>0</v>
      </c>
      <c r="U1202">
        <f>sumif(Plan!B:B,"806-487000-110",Plan!u:u)</f>
        <v>0</v>
      </c>
      <c r="V1202">
        <f>sumif(Plan!B:B,"806-487000-110",Plan!v:v)</f>
        <v>0</v>
      </c>
      <c r="W1202">
        <f>sumif(Plan!B:B,"806-487000-110",Plan!w:w)</f>
        <v>0</v>
      </c>
      <c r="X1202">
        <f>sumif(Plan!B:B,"806-487000-110",Plan!x:x)</f>
        <v>0</v>
      </c>
      <c r="Y1202">
        <f>sumif(Plan!B:B,"806-487000-110",Plan!y:y)</f>
        <v>0</v>
      </c>
      <c r="Z1202">
        <f>sumif(Plan!B:B,"806-487000-110",Plan!z:z)</f>
        <v>0</v>
      </c>
      <c r="AA1202">
        <f>sumif(Plan!B:B,"806-487000-110",Plan!aa:aa)</f>
        <v>0</v>
      </c>
      <c r="AB1202">
        <f>sumif(Plan!B:B,"806-487000-110",Plan!ab:ab)</f>
        <v>0</v>
      </c>
      <c r="AC1202">
        <f>sumif(Plan!B:B,"806-487000-110",Plan!ac:ac)</f>
        <v>0</v>
      </c>
      <c r="AD1202">
        <f>sumif(Plan!B:B,"806-487000-110",Plan!ad:ad)</f>
        <v>0</v>
      </c>
      <c r="AE1202">
        <f>sumif(Plan!B:B,"806-487000-110",Plan!ae:ae)</f>
        <v>0</v>
      </c>
      <c r="AF1202">
        <f>sumif(Plan!B:B,"806-487000-110",Plan!af:af)</f>
        <v>0</v>
      </c>
      <c r="AG1202">
        <f>sumif(Plan!B:B,"806-487000-110",Plan!ag:ag)</f>
        <v>0</v>
      </c>
      <c r="AH1202">
        <f>sumif(Plan!B:B,"806-487000-110",Plan!ah:ah)</f>
        <v>0</v>
      </c>
      <c r="AI1202">
        <f>sumif(Plan!B:B,"806-487000-110",Plan!ai:ai)</f>
        <v>0</v>
      </c>
      <c r="AJ1202">
        <f>sumif(Plan!B:B,"806-487000-110",Plan!aj:aj)</f>
        <v>0</v>
      </c>
      <c r="AK1202">
        <f>sumif(Plan!B:B,"806-487000-110",Plan!ak:ak)</f>
        <v>0</v>
      </c>
      <c r="AL1202">
        <f>sumif(Plan!B:B,"806-487000-110",Plan!al:al)</f>
        <v>0</v>
      </c>
      <c r="AM1202">
        <f>sumif(Plan!B:B,"806-487000-110",Plan!am:am)</f>
        <v>0</v>
      </c>
      <c r="AN1202">
        <f>sumif(Plan!B:B,"806-487000-110",Plan!an:an)</f>
        <v>0</v>
      </c>
      <c r="AO1202">
        <f>sumif(Plan!B:B,"806-487000-110",Plan!ao:ao)</f>
        <v>0</v>
      </c>
    </row>
    <row r="1203" spans="1:41">
      <c r="A1203" t="s">
        <v>17</v>
      </c>
      <c r="B1203" t="s">
        <v>792</v>
      </c>
      <c r="C1203" t="s">
        <v>793</v>
      </c>
      <c r="E1203">
        <v>1</v>
      </c>
      <c r="F1203" t="s">
        <v>13</v>
      </c>
      <c r="H1203" t="s">
        <v>16</v>
      </c>
      <c r="J1203">
        <f>indirect(address(1203,9))+indirect(address(1201,10))-indirect(address(1202,10))</f>
        <v>0</v>
      </c>
      <c r="K1203">
        <f>indirect(address(1203,10))+indirect(address(1201,11))-indirect(address(1202,11))</f>
        <v>0</v>
      </c>
      <c r="L1203">
        <f>indirect(address(1203,11))+indirect(address(1201,12))-indirect(address(1202,12))</f>
        <v>0</v>
      </c>
      <c r="M1203">
        <f>indirect(address(1203,12))+indirect(address(1201,13))-indirect(address(1202,13))</f>
        <v>0</v>
      </c>
      <c r="N1203">
        <f>indirect(address(1203,13))+indirect(address(1201,14))-indirect(address(1202,14))</f>
        <v>0</v>
      </c>
      <c r="O1203">
        <f>indirect(address(1203,14))+indirect(address(1201,15))-indirect(address(1202,15))</f>
        <v>0</v>
      </c>
      <c r="P1203">
        <f>indirect(address(1203,15))+indirect(address(1201,16))-indirect(address(1202,16))</f>
        <v>0</v>
      </c>
      <c r="Q1203">
        <f>indirect(address(1203,16))+indirect(address(1201,17))-indirect(address(1202,17))</f>
        <v>0</v>
      </c>
      <c r="R1203">
        <f>indirect(address(1203,17))+indirect(address(1201,18))-indirect(address(1202,18))</f>
        <v>0</v>
      </c>
      <c r="S1203">
        <f>indirect(address(1203,18))+indirect(address(1201,19))-indirect(address(1202,19))</f>
        <v>0</v>
      </c>
      <c r="T1203">
        <f>indirect(address(1203,19))+indirect(address(1201,20))-indirect(address(1202,20))</f>
        <v>0</v>
      </c>
      <c r="U1203">
        <f>indirect(address(1203,20))+indirect(address(1201,21))-indirect(address(1202,21))</f>
        <v>0</v>
      </c>
      <c r="V1203">
        <f>indirect(address(1203,21))+indirect(address(1201,22))-indirect(address(1202,22))</f>
        <v>0</v>
      </c>
      <c r="W1203">
        <f>indirect(address(1203,22))+indirect(address(1201,23))-indirect(address(1202,23))</f>
        <v>0</v>
      </c>
      <c r="X1203">
        <f>indirect(address(1203,23))+indirect(address(1201,24))-indirect(address(1202,24))</f>
        <v>0</v>
      </c>
      <c r="Y1203">
        <f>indirect(address(1203,24))+indirect(address(1201,25))-indirect(address(1202,25))</f>
        <v>0</v>
      </c>
      <c r="Z1203">
        <f>indirect(address(1203,25))+indirect(address(1201,26))-indirect(address(1202,26))</f>
        <v>0</v>
      </c>
      <c r="AA1203">
        <f>indirect(address(1203,26))+indirect(address(1201,27))-indirect(address(1202,27))</f>
        <v>0</v>
      </c>
      <c r="AB1203">
        <f>indirect(address(1203,27))+indirect(address(1201,28))-indirect(address(1202,28))</f>
        <v>0</v>
      </c>
      <c r="AC1203">
        <f>indirect(address(1203,28))+indirect(address(1201,29))-indirect(address(1202,29))</f>
        <v>0</v>
      </c>
      <c r="AD1203">
        <f>indirect(address(1203,29))+indirect(address(1201,30))-indirect(address(1202,30))</f>
        <v>0</v>
      </c>
      <c r="AE1203">
        <f>indirect(address(1203,30))+indirect(address(1201,31))-indirect(address(1202,31))</f>
        <v>0</v>
      </c>
      <c r="AF1203">
        <f>indirect(address(1203,31))+indirect(address(1201,32))-indirect(address(1202,32))</f>
        <v>0</v>
      </c>
      <c r="AG1203">
        <f>indirect(address(1203,32))+indirect(address(1201,33))-indirect(address(1202,33))</f>
        <v>0</v>
      </c>
      <c r="AH1203">
        <f>indirect(address(1203,33))+indirect(address(1201,34))-indirect(address(1202,34))</f>
        <v>0</v>
      </c>
      <c r="AI1203">
        <f>indirect(address(1203,34))+indirect(address(1201,35))-indirect(address(1202,35))</f>
        <v>0</v>
      </c>
      <c r="AJ1203">
        <f>indirect(address(1203,35))+indirect(address(1201,36))-indirect(address(1202,36))</f>
        <v>0</v>
      </c>
      <c r="AK1203">
        <f>indirect(address(1203,36))+indirect(address(1201,37))-indirect(address(1202,37))</f>
        <v>0</v>
      </c>
      <c r="AL1203">
        <f>indirect(address(1203,37))+indirect(address(1201,38))-indirect(address(1202,38))</f>
        <v>0</v>
      </c>
      <c r="AM1203">
        <f>indirect(address(1203,38))+indirect(address(1201,39))-indirect(address(1202,39))</f>
        <v>0</v>
      </c>
      <c r="AN1203">
        <f>indirect(address(1203,39))+indirect(address(1201,40))-indirect(address(1202,40))</f>
        <v>0</v>
      </c>
      <c r="AO1203">
        <f>indirect(address(1203,40))+indirect(address(1201,41))-indirect(address(1202,41))</f>
        <v>0</v>
      </c>
    </row>
    <row r="1204" spans="1:41">
      <c r="I1204" t="s">
        <v>14</v>
      </c>
      <c r="AO1204">
        <f>sum(j1204:an1204)</f>
        <v>0</v>
      </c>
    </row>
    <row r="1205" spans="1:41">
      <c r="I1205" t="s">
        <v>15</v>
      </c>
      <c r="J1205">
        <f>sumif(Plan!B:B,"906-229000-110",Plan!j:j)</f>
        <v>0</v>
      </c>
      <c r="K1205">
        <f>sumif(Plan!B:B,"906-229000-110",Plan!k:k)</f>
        <v>0</v>
      </c>
      <c r="L1205">
        <f>sumif(Plan!B:B,"906-229000-110",Plan!l:l)</f>
        <v>0</v>
      </c>
      <c r="M1205">
        <f>sumif(Plan!B:B,"906-229000-110",Plan!m:m)</f>
        <v>0</v>
      </c>
      <c r="N1205">
        <f>sumif(Plan!B:B,"906-229000-110",Plan!n:n)</f>
        <v>0</v>
      </c>
      <c r="O1205">
        <f>sumif(Plan!B:B,"906-229000-110",Plan!o:o)</f>
        <v>0</v>
      </c>
      <c r="P1205">
        <f>sumif(Plan!B:B,"906-229000-110",Plan!p:p)</f>
        <v>0</v>
      </c>
      <c r="Q1205">
        <f>sumif(Plan!B:B,"906-229000-110",Plan!q:q)</f>
        <v>0</v>
      </c>
      <c r="R1205">
        <f>sumif(Plan!B:B,"906-229000-110",Plan!r:r)</f>
        <v>0</v>
      </c>
      <c r="S1205">
        <f>sumif(Plan!B:B,"906-229000-110",Plan!s:s)</f>
        <v>0</v>
      </c>
      <c r="T1205">
        <f>sumif(Plan!B:B,"906-229000-110",Plan!t:t)</f>
        <v>0</v>
      </c>
      <c r="U1205">
        <f>sumif(Plan!B:B,"906-229000-110",Plan!u:u)</f>
        <v>0</v>
      </c>
      <c r="V1205">
        <f>sumif(Plan!B:B,"906-229000-110",Plan!v:v)</f>
        <v>0</v>
      </c>
      <c r="W1205">
        <f>sumif(Plan!B:B,"906-229000-110",Plan!w:w)</f>
        <v>0</v>
      </c>
      <c r="X1205">
        <f>sumif(Plan!B:B,"906-229000-110",Plan!x:x)</f>
        <v>0</v>
      </c>
      <c r="Y1205">
        <f>sumif(Plan!B:B,"906-229000-110",Plan!y:y)</f>
        <v>0</v>
      </c>
      <c r="Z1205">
        <f>sumif(Plan!B:B,"906-229000-110",Plan!z:z)</f>
        <v>0</v>
      </c>
      <c r="AA1205">
        <f>sumif(Plan!B:B,"906-229000-110",Plan!aa:aa)</f>
        <v>0</v>
      </c>
      <c r="AB1205">
        <f>sumif(Plan!B:B,"906-229000-110",Plan!ab:ab)</f>
        <v>0</v>
      </c>
      <c r="AC1205">
        <f>sumif(Plan!B:B,"906-229000-110",Plan!ac:ac)</f>
        <v>0</v>
      </c>
      <c r="AD1205">
        <f>sumif(Plan!B:B,"906-229000-110",Plan!ad:ad)</f>
        <v>0</v>
      </c>
      <c r="AE1205">
        <f>sumif(Plan!B:B,"906-229000-110",Plan!ae:ae)</f>
        <v>0</v>
      </c>
      <c r="AF1205">
        <f>sumif(Plan!B:B,"906-229000-110",Plan!af:af)</f>
        <v>0</v>
      </c>
      <c r="AG1205">
        <f>sumif(Plan!B:B,"906-229000-110",Plan!ag:ag)</f>
        <v>0</v>
      </c>
      <c r="AH1205">
        <f>sumif(Plan!B:B,"906-229000-110",Plan!ah:ah)</f>
        <v>0</v>
      </c>
      <c r="AI1205">
        <f>sumif(Plan!B:B,"906-229000-110",Plan!ai:ai)</f>
        <v>0</v>
      </c>
      <c r="AJ1205">
        <f>sumif(Plan!B:B,"906-229000-110",Plan!aj:aj)</f>
        <v>0</v>
      </c>
      <c r="AK1205">
        <f>sumif(Plan!B:B,"906-229000-110",Plan!ak:ak)</f>
        <v>0</v>
      </c>
      <c r="AL1205">
        <f>sumif(Plan!B:B,"906-229000-110",Plan!al:al)</f>
        <v>0</v>
      </c>
      <c r="AM1205">
        <f>sumif(Plan!B:B,"906-229000-110",Plan!am:am)</f>
        <v>0</v>
      </c>
      <c r="AN1205">
        <f>sumif(Plan!B:B,"906-229000-110",Plan!an:an)</f>
        <v>0</v>
      </c>
      <c r="AO1205">
        <f>sumif(Plan!B:B,"906-229000-110",Plan!ao:ao)</f>
        <v>0</v>
      </c>
    </row>
    <row r="1206" spans="1:41">
      <c r="A1206" t="s">
        <v>17</v>
      </c>
      <c r="B1206" t="s">
        <v>490</v>
      </c>
      <c r="C1206" t="s">
        <v>794</v>
      </c>
      <c r="E1206">
        <v>1</v>
      </c>
      <c r="F1206" t="s">
        <v>13</v>
      </c>
      <c r="H1206" t="s">
        <v>16</v>
      </c>
      <c r="J1206">
        <f>indirect(address(1206,9))+indirect(address(1204,10))-indirect(address(1205,10))</f>
        <v>0</v>
      </c>
      <c r="K1206">
        <f>indirect(address(1206,10))+indirect(address(1204,11))-indirect(address(1205,11))</f>
        <v>0</v>
      </c>
      <c r="L1206">
        <f>indirect(address(1206,11))+indirect(address(1204,12))-indirect(address(1205,12))</f>
        <v>0</v>
      </c>
      <c r="M1206">
        <f>indirect(address(1206,12))+indirect(address(1204,13))-indirect(address(1205,13))</f>
        <v>0</v>
      </c>
      <c r="N1206">
        <f>indirect(address(1206,13))+indirect(address(1204,14))-indirect(address(1205,14))</f>
        <v>0</v>
      </c>
      <c r="O1206">
        <f>indirect(address(1206,14))+indirect(address(1204,15))-indirect(address(1205,15))</f>
        <v>0</v>
      </c>
      <c r="P1206">
        <f>indirect(address(1206,15))+indirect(address(1204,16))-indirect(address(1205,16))</f>
        <v>0</v>
      </c>
      <c r="Q1206">
        <f>indirect(address(1206,16))+indirect(address(1204,17))-indirect(address(1205,17))</f>
        <v>0</v>
      </c>
      <c r="R1206">
        <f>indirect(address(1206,17))+indirect(address(1204,18))-indirect(address(1205,18))</f>
        <v>0</v>
      </c>
      <c r="S1206">
        <f>indirect(address(1206,18))+indirect(address(1204,19))-indirect(address(1205,19))</f>
        <v>0</v>
      </c>
      <c r="T1206">
        <f>indirect(address(1206,19))+indirect(address(1204,20))-indirect(address(1205,20))</f>
        <v>0</v>
      </c>
      <c r="U1206">
        <f>indirect(address(1206,20))+indirect(address(1204,21))-indirect(address(1205,21))</f>
        <v>0</v>
      </c>
      <c r="V1206">
        <f>indirect(address(1206,21))+indirect(address(1204,22))-indirect(address(1205,22))</f>
        <v>0</v>
      </c>
      <c r="W1206">
        <f>indirect(address(1206,22))+indirect(address(1204,23))-indirect(address(1205,23))</f>
        <v>0</v>
      </c>
      <c r="X1206">
        <f>indirect(address(1206,23))+indirect(address(1204,24))-indirect(address(1205,24))</f>
        <v>0</v>
      </c>
      <c r="Y1206">
        <f>indirect(address(1206,24))+indirect(address(1204,25))-indirect(address(1205,25))</f>
        <v>0</v>
      </c>
      <c r="Z1206">
        <f>indirect(address(1206,25))+indirect(address(1204,26))-indirect(address(1205,26))</f>
        <v>0</v>
      </c>
      <c r="AA1206">
        <f>indirect(address(1206,26))+indirect(address(1204,27))-indirect(address(1205,27))</f>
        <v>0</v>
      </c>
      <c r="AB1206">
        <f>indirect(address(1206,27))+indirect(address(1204,28))-indirect(address(1205,28))</f>
        <v>0</v>
      </c>
      <c r="AC1206">
        <f>indirect(address(1206,28))+indirect(address(1204,29))-indirect(address(1205,29))</f>
        <v>0</v>
      </c>
      <c r="AD1206">
        <f>indirect(address(1206,29))+indirect(address(1204,30))-indirect(address(1205,30))</f>
        <v>0</v>
      </c>
      <c r="AE1206">
        <f>indirect(address(1206,30))+indirect(address(1204,31))-indirect(address(1205,31))</f>
        <v>0</v>
      </c>
      <c r="AF1206">
        <f>indirect(address(1206,31))+indirect(address(1204,32))-indirect(address(1205,32))</f>
        <v>0</v>
      </c>
      <c r="AG1206">
        <f>indirect(address(1206,32))+indirect(address(1204,33))-indirect(address(1205,33))</f>
        <v>0</v>
      </c>
      <c r="AH1206">
        <f>indirect(address(1206,33))+indirect(address(1204,34))-indirect(address(1205,34))</f>
        <v>0</v>
      </c>
      <c r="AI1206">
        <f>indirect(address(1206,34))+indirect(address(1204,35))-indirect(address(1205,35))</f>
        <v>0</v>
      </c>
      <c r="AJ1206">
        <f>indirect(address(1206,35))+indirect(address(1204,36))-indirect(address(1205,36))</f>
        <v>0</v>
      </c>
      <c r="AK1206">
        <f>indirect(address(1206,36))+indirect(address(1204,37))-indirect(address(1205,37))</f>
        <v>0</v>
      </c>
      <c r="AL1206">
        <f>indirect(address(1206,37))+indirect(address(1204,38))-indirect(address(1205,38))</f>
        <v>0</v>
      </c>
      <c r="AM1206">
        <f>indirect(address(1206,38))+indirect(address(1204,39))-indirect(address(1205,39))</f>
        <v>0</v>
      </c>
      <c r="AN1206">
        <f>indirect(address(1206,39))+indirect(address(1204,40))-indirect(address(1205,40))</f>
        <v>0</v>
      </c>
      <c r="AO1206">
        <f>indirect(address(1206,40))+indirect(address(1204,41))-indirect(address(1205,41))</f>
        <v>0</v>
      </c>
    </row>
    <row r="1207" spans="1:41">
      <c r="I1207" t="s">
        <v>14</v>
      </c>
      <c r="AO1207">
        <f>sum(j1207:an1207)</f>
        <v>0</v>
      </c>
    </row>
    <row r="1208" spans="1:41">
      <c r="I1208" t="s">
        <v>15</v>
      </c>
      <c r="J1208">
        <f>sumif(Plan!B:B,"211-004001-515",Plan!j:j)</f>
        <v>0</v>
      </c>
      <c r="K1208">
        <f>sumif(Plan!B:B,"211-004001-515",Plan!k:k)</f>
        <v>0</v>
      </c>
      <c r="L1208">
        <f>sumif(Plan!B:B,"211-004001-515",Plan!l:l)</f>
        <v>0</v>
      </c>
      <c r="M1208">
        <f>sumif(Plan!B:B,"211-004001-515",Plan!m:m)</f>
        <v>0</v>
      </c>
      <c r="N1208">
        <f>sumif(Plan!B:B,"211-004001-515",Plan!n:n)</f>
        <v>0</v>
      </c>
      <c r="O1208">
        <f>sumif(Plan!B:B,"211-004001-515",Plan!o:o)</f>
        <v>0</v>
      </c>
      <c r="P1208">
        <f>sumif(Plan!B:B,"211-004001-515",Plan!p:p)</f>
        <v>0</v>
      </c>
      <c r="Q1208">
        <f>sumif(Plan!B:B,"211-004001-515",Plan!q:q)</f>
        <v>0</v>
      </c>
      <c r="R1208">
        <f>sumif(Plan!B:B,"211-004001-515",Plan!r:r)</f>
        <v>0</v>
      </c>
      <c r="S1208">
        <f>sumif(Plan!B:B,"211-004001-515",Plan!s:s)</f>
        <v>0</v>
      </c>
      <c r="T1208">
        <f>sumif(Plan!B:B,"211-004001-515",Plan!t:t)</f>
        <v>0</v>
      </c>
      <c r="U1208">
        <f>sumif(Plan!B:B,"211-004001-515",Plan!u:u)</f>
        <v>0</v>
      </c>
      <c r="V1208">
        <f>sumif(Plan!B:B,"211-004001-515",Plan!v:v)</f>
        <v>0</v>
      </c>
      <c r="W1208">
        <f>sumif(Plan!B:B,"211-004001-515",Plan!w:w)</f>
        <v>0</v>
      </c>
      <c r="X1208">
        <f>sumif(Plan!B:B,"211-004001-515",Plan!x:x)</f>
        <v>0</v>
      </c>
      <c r="Y1208">
        <f>sumif(Plan!B:B,"211-004001-515",Plan!y:y)</f>
        <v>0</v>
      </c>
      <c r="Z1208">
        <f>sumif(Plan!B:B,"211-004001-515",Plan!z:z)</f>
        <v>0</v>
      </c>
      <c r="AA1208">
        <f>sumif(Plan!B:B,"211-004001-515",Plan!aa:aa)</f>
        <v>0</v>
      </c>
      <c r="AB1208">
        <f>sumif(Plan!B:B,"211-004001-515",Plan!ab:ab)</f>
        <v>0</v>
      </c>
      <c r="AC1208">
        <f>sumif(Plan!B:B,"211-004001-515",Plan!ac:ac)</f>
        <v>0</v>
      </c>
      <c r="AD1208">
        <f>sumif(Plan!B:B,"211-004001-515",Plan!ad:ad)</f>
        <v>0</v>
      </c>
      <c r="AE1208">
        <f>sumif(Plan!B:B,"211-004001-515",Plan!ae:ae)</f>
        <v>0</v>
      </c>
      <c r="AF1208">
        <f>sumif(Plan!B:B,"211-004001-515",Plan!af:af)</f>
        <v>0</v>
      </c>
      <c r="AG1208">
        <f>sumif(Plan!B:B,"211-004001-515",Plan!ag:ag)</f>
        <v>0</v>
      </c>
      <c r="AH1208">
        <f>sumif(Plan!B:B,"211-004001-515",Plan!ah:ah)</f>
        <v>0</v>
      </c>
      <c r="AI1208">
        <f>sumif(Plan!B:B,"211-004001-515",Plan!ai:ai)</f>
        <v>0</v>
      </c>
      <c r="AJ1208">
        <f>sumif(Plan!B:B,"211-004001-515",Plan!aj:aj)</f>
        <v>0</v>
      </c>
      <c r="AK1208">
        <f>sumif(Plan!B:B,"211-004001-515",Plan!ak:ak)</f>
        <v>0</v>
      </c>
      <c r="AL1208">
        <f>sumif(Plan!B:B,"211-004001-515",Plan!al:al)</f>
        <v>0</v>
      </c>
      <c r="AM1208">
        <f>sumif(Plan!B:B,"211-004001-515",Plan!am:am)</f>
        <v>0</v>
      </c>
      <c r="AN1208">
        <f>sumif(Plan!B:B,"211-004001-515",Plan!an:an)</f>
        <v>0</v>
      </c>
      <c r="AO1208">
        <f>sumif(Plan!B:B,"211-004001-515",Plan!ao:ao)</f>
        <v>0</v>
      </c>
    </row>
    <row r="1209" spans="1:41">
      <c r="A1209" t="s">
        <v>22</v>
      </c>
      <c r="B1209" t="s">
        <v>795</v>
      </c>
      <c r="C1209" t="s">
        <v>796</v>
      </c>
      <c r="E1209">
        <v>1</v>
      </c>
      <c r="F1209" t="s">
        <v>13</v>
      </c>
      <c r="H1209" t="s">
        <v>16</v>
      </c>
      <c r="J1209">
        <f>indirect(address(1209,9))+indirect(address(1207,10))-indirect(address(1208,10))</f>
        <v>0</v>
      </c>
      <c r="K1209">
        <f>indirect(address(1209,10))+indirect(address(1207,11))-indirect(address(1208,11))</f>
        <v>0</v>
      </c>
      <c r="L1209">
        <f>indirect(address(1209,11))+indirect(address(1207,12))-indirect(address(1208,12))</f>
        <v>0</v>
      </c>
      <c r="M1209">
        <f>indirect(address(1209,12))+indirect(address(1207,13))-indirect(address(1208,13))</f>
        <v>0</v>
      </c>
      <c r="N1209">
        <f>indirect(address(1209,13))+indirect(address(1207,14))-indirect(address(1208,14))</f>
        <v>0</v>
      </c>
      <c r="O1209">
        <f>indirect(address(1209,14))+indirect(address(1207,15))-indirect(address(1208,15))</f>
        <v>0</v>
      </c>
      <c r="P1209">
        <f>indirect(address(1209,15))+indirect(address(1207,16))-indirect(address(1208,16))</f>
        <v>0</v>
      </c>
      <c r="Q1209">
        <f>indirect(address(1209,16))+indirect(address(1207,17))-indirect(address(1208,17))</f>
        <v>0</v>
      </c>
      <c r="R1209">
        <f>indirect(address(1209,17))+indirect(address(1207,18))-indirect(address(1208,18))</f>
        <v>0</v>
      </c>
      <c r="S1209">
        <f>indirect(address(1209,18))+indirect(address(1207,19))-indirect(address(1208,19))</f>
        <v>0</v>
      </c>
      <c r="T1209">
        <f>indirect(address(1209,19))+indirect(address(1207,20))-indirect(address(1208,20))</f>
        <v>0</v>
      </c>
      <c r="U1209">
        <f>indirect(address(1209,20))+indirect(address(1207,21))-indirect(address(1208,21))</f>
        <v>0</v>
      </c>
      <c r="V1209">
        <f>indirect(address(1209,21))+indirect(address(1207,22))-indirect(address(1208,22))</f>
        <v>0</v>
      </c>
      <c r="W1209">
        <f>indirect(address(1209,22))+indirect(address(1207,23))-indirect(address(1208,23))</f>
        <v>0</v>
      </c>
      <c r="X1209">
        <f>indirect(address(1209,23))+indirect(address(1207,24))-indirect(address(1208,24))</f>
        <v>0</v>
      </c>
      <c r="Y1209">
        <f>indirect(address(1209,24))+indirect(address(1207,25))-indirect(address(1208,25))</f>
        <v>0</v>
      </c>
      <c r="Z1209">
        <f>indirect(address(1209,25))+indirect(address(1207,26))-indirect(address(1208,26))</f>
        <v>0</v>
      </c>
      <c r="AA1209">
        <f>indirect(address(1209,26))+indirect(address(1207,27))-indirect(address(1208,27))</f>
        <v>0</v>
      </c>
      <c r="AB1209">
        <f>indirect(address(1209,27))+indirect(address(1207,28))-indirect(address(1208,28))</f>
        <v>0</v>
      </c>
      <c r="AC1209">
        <f>indirect(address(1209,28))+indirect(address(1207,29))-indirect(address(1208,29))</f>
        <v>0</v>
      </c>
      <c r="AD1209">
        <f>indirect(address(1209,29))+indirect(address(1207,30))-indirect(address(1208,30))</f>
        <v>0</v>
      </c>
      <c r="AE1209">
        <f>indirect(address(1209,30))+indirect(address(1207,31))-indirect(address(1208,31))</f>
        <v>0</v>
      </c>
      <c r="AF1209">
        <f>indirect(address(1209,31))+indirect(address(1207,32))-indirect(address(1208,32))</f>
        <v>0</v>
      </c>
      <c r="AG1209">
        <f>indirect(address(1209,32))+indirect(address(1207,33))-indirect(address(1208,33))</f>
        <v>0</v>
      </c>
      <c r="AH1209">
        <f>indirect(address(1209,33))+indirect(address(1207,34))-indirect(address(1208,34))</f>
        <v>0</v>
      </c>
      <c r="AI1209">
        <f>indirect(address(1209,34))+indirect(address(1207,35))-indirect(address(1208,35))</f>
        <v>0</v>
      </c>
      <c r="AJ1209">
        <f>indirect(address(1209,35))+indirect(address(1207,36))-indirect(address(1208,36))</f>
        <v>0</v>
      </c>
      <c r="AK1209">
        <f>indirect(address(1209,36))+indirect(address(1207,37))-indirect(address(1208,37))</f>
        <v>0</v>
      </c>
      <c r="AL1209">
        <f>indirect(address(1209,37))+indirect(address(1207,38))-indirect(address(1208,38))</f>
        <v>0</v>
      </c>
      <c r="AM1209">
        <f>indirect(address(1209,38))+indirect(address(1207,39))-indirect(address(1208,39))</f>
        <v>0</v>
      </c>
      <c r="AN1209">
        <f>indirect(address(1209,39))+indirect(address(1207,40))-indirect(address(1208,40))</f>
        <v>0</v>
      </c>
      <c r="AO1209">
        <f>indirect(address(1209,40))+indirect(address(1207,41))-indirect(address(1208,41))</f>
        <v>0</v>
      </c>
    </row>
    <row r="1210" spans="1:41">
      <c r="I1210" t="s">
        <v>14</v>
      </c>
      <c r="AO1210">
        <f>sum(j1210:an1210)</f>
        <v>0</v>
      </c>
    </row>
    <row r="1211" spans="1:41">
      <c r="I1211" t="s">
        <v>15</v>
      </c>
      <c r="J1211">
        <f>sumif(Plan!B:B,"806-442000-110",Plan!j:j)</f>
        <v>0</v>
      </c>
      <c r="K1211">
        <f>sumif(Plan!B:B,"806-442000-110",Plan!k:k)</f>
        <v>0</v>
      </c>
      <c r="L1211">
        <f>sumif(Plan!B:B,"806-442000-110",Plan!l:l)</f>
        <v>0</v>
      </c>
      <c r="M1211">
        <f>sumif(Plan!B:B,"806-442000-110",Plan!m:m)</f>
        <v>0</v>
      </c>
      <c r="N1211">
        <f>sumif(Plan!B:B,"806-442000-110",Plan!n:n)</f>
        <v>0</v>
      </c>
      <c r="O1211">
        <f>sumif(Plan!B:B,"806-442000-110",Plan!o:o)</f>
        <v>0</v>
      </c>
      <c r="P1211">
        <f>sumif(Plan!B:B,"806-442000-110",Plan!p:p)</f>
        <v>0</v>
      </c>
      <c r="Q1211">
        <f>sumif(Plan!B:B,"806-442000-110",Plan!q:q)</f>
        <v>0</v>
      </c>
      <c r="R1211">
        <f>sumif(Plan!B:B,"806-442000-110",Plan!r:r)</f>
        <v>0</v>
      </c>
      <c r="S1211">
        <f>sumif(Plan!B:B,"806-442000-110",Plan!s:s)</f>
        <v>0</v>
      </c>
      <c r="T1211">
        <f>sumif(Plan!B:B,"806-442000-110",Plan!t:t)</f>
        <v>0</v>
      </c>
      <c r="U1211">
        <f>sumif(Plan!B:B,"806-442000-110",Plan!u:u)</f>
        <v>0</v>
      </c>
      <c r="V1211">
        <f>sumif(Plan!B:B,"806-442000-110",Plan!v:v)</f>
        <v>0</v>
      </c>
      <c r="W1211">
        <f>sumif(Plan!B:B,"806-442000-110",Plan!w:w)</f>
        <v>0</v>
      </c>
      <c r="X1211">
        <f>sumif(Plan!B:B,"806-442000-110",Plan!x:x)</f>
        <v>0</v>
      </c>
      <c r="Y1211">
        <f>sumif(Plan!B:B,"806-442000-110",Plan!y:y)</f>
        <v>0</v>
      </c>
      <c r="Z1211">
        <f>sumif(Plan!B:B,"806-442000-110",Plan!z:z)</f>
        <v>0</v>
      </c>
      <c r="AA1211">
        <f>sumif(Plan!B:B,"806-442000-110",Plan!aa:aa)</f>
        <v>0</v>
      </c>
      <c r="AB1211">
        <f>sumif(Plan!B:B,"806-442000-110",Plan!ab:ab)</f>
        <v>0</v>
      </c>
      <c r="AC1211">
        <f>sumif(Plan!B:B,"806-442000-110",Plan!ac:ac)</f>
        <v>0</v>
      </c>
      <c r="AD1211">
        <f>sumif(Plan!B:B,"806-442000-110",Plan!ad:ad)</f>
        <v>0</v>
      </c>
      <c r="AE1211">
        <f>sumif(Plan!B:B,"806-442000-110",Plan!ae:ae)</f>
        <v>0</v>
      </c>
      <c r="AF1211">
        <f>sumif(Plan!B:B,"806-442000-110",Plan!af:af)</f>
        <v>0</v>
      </c>
      <c r="AG1211">
        <f>sumif(Plan!B:B,"806-442000-110",Plan!ag:ag)</f>
        <v>0</v>
      </c>
      <c r="AH1211">
        <f>sumif(Plan!B:B,"806-442000-110",Plan!ah:ah)</f>
        <v>0</v>
      </c>
      <c r="AI1211">
        <f>sumif(Plan!B:B,"806-442000-110",Plan!ai:ai)</f>
        <v>0</v>
      </c>
      <c r="AJ1211">
        <f>sumif(Plan!B:B,"806-442000-110",Plan!aj:aj)</f>
        <v>0</v>
      </c>
      <c r="AK1211">
        <f>sumif(Plan!B:B,"806-442000-110",Plan!ak:ak)</f>
        <v>0</v>
      </c>
      <c r="AL1211">
        <f>sumif(Plan!B:B,"806-442000-110",Plan!al:al)</f>
        <v>0</v>
      </c>
      <c r="AM1211">
        <f>sumif(Plan!B:B,"806-442000-110",Plan!am:am)</f>
        <v>0</v>
      </c>
      <c r="AN1211">
        <f>sumif(Plan!B:B,"806-442000-110",Plan!an:an)</f>
        <v>0</v>
      </c>
      <c r="AO1211">
        <f>sumif(Plan!B:B,"806-442000-110",Plan!ao:ao)</f>
        <v>0</v>
      </c>
    </row>
    <row r="1212" spans="1:41">
      <c r="A1212" t="s">
        <v>17</v>
      </c>
      <c r="B1212" t="s">
        <v>798</v>
      </c>
      <c r="C1212" t="s">
        <v>796</v>
      </c>
      <c r="E1212">
        <v>1</v>
      </c>
      <c r="F1212" t="s">
        <v>13</v>
      </c>
      <c r="H1212" t="s">
        <v>16</v>
      </c>
      <c r="J1212">
        <f>indirect(address(1212,9))+indirect(address(1210,10))-indirect(address(1211,10))</f>
        <v>0</v>
      </c>
      <c r="K1212">
        <f>indirect(address(1212,10))+indirect(address(1210,11))-indirect(address(1211,11))</f>
        <v>0</v>
      </c>
      <c r="L1212">
        <f>indirect(address(1212,11))+indirect(address(1210,12))-indirect(address(1211,12))</f>
        <v>0</v>
      </c>
      <c r="M1212">
        <f>indirect(address(1212,12))+indirect(address(1210,13))-indirect(address(1211,13))</f>
        <v>0</v>
      </c>
      <c r="N1212">
        <f>indirect(address(1212,13))+indirect(address(1210,14))-indirect(address(1211,14))</f>
        <v>0</v>
      </c>
      <c r="O1212">
        <f>indirect(address(1212,14))+indirect(address(1210,15))-indirect(address(1211,15))</f>
        <v>0</v>
      </c>
      <c r="P1212">
        <f>indirect(address(1212,15))+indirect(address(1210,16))-indirect(address(1211,16))</f>
        <v>0</v>
      </c>
      <c r="Q1212">
        <f>indirect(address(1212,16))+indirect(address(1210,17))-indirect(address(1211,17))</f>
        <v>0</v>
      </c>
      <c r="R1212">
        <f>indirect(address(1212,17))+indirect(address(1210,18))-indirect(address(1211,18))</f>
        <v>0</v>
      </c>
      <c r="S1212">
        <f>indirect(address(1212,18))+indirect(address(1210,19))-indirect(address(1211,19))</f>
        <v>0</v>
      </c>
      <c r="T1212">
        <f>indirect(address(1212,19))+indirect(address(1210,20))-indirect(address(1211,20))</f>
        <v>0</v>
      </c>
      <c r="U1212">
        <f>indirect(address(1212,20))+indirect(address(1210,21))-indirect(address(1211,21))</f>
        <v>0</v>
      </c>
      <c r="V1212">
        <f>indirect(address(1212,21))+indirect(address(1210,22))-indirect(address(1211,22))</f>
        <v>0</v>
      </c>
      <c r="W1212">
        <f>indirect(address(1212,22))+indirect(address(1210,23))-indirect(address(1211,23))</f>
        <v>0</v>
      </c>
      <c r="X1212">
        <f>indirect(address(1212,23))+indirect(address(1210,24))-indirect(address(1211,24))</f>
        <v>0</v>
      </c>
      <c r="Y1212">
        <f>indirect(address(1212,24))+indirect(address(1210,25))-indirect(address(1211,25))</f>
        <v>0</v>
      </c>
      <c r="Z1212">
        <f>indirect(address(1212,25))+indirect(address(1210,26))-indirect(address(1211,26))</f>
        <v>0</v>
      </c>
      <c r="AA1212">
        <f>indirect(address(1212,26))+indirect(address(1210,27))-indirect(address(1211,27))</f>
        <v>0</v>
      </c>
      <c r="AB1212">
        <f>indirect(address(1212,27))+indirect(address(1210,28))-indirect(address(1211,28))</f>
        <v>0</v>
      </c>
      <c r="AC1212">
        <f>indirect(address(1212,28))+indirect(address(1210,29))-indirect(address(1211,29))</f>
        <v>0</v>
      </c>
      <c r="AD1212">
        <f>indirect(address(1212,29))+indirect(address(1210,30))-indirect(address(1211,30))</f>
        <v>0</v>
      </c>
      <c r="AE1212">
        <f>indirect(address(1212,30))+indirect(address(1210,31))-indirect(address(1211,31))</f>
        <v>0</v>
      </c>
      <c r="AF1212">
        <f>indirect(address(1212,31))+indirect(address(1210,32))-indirect(address(1211,32))</f>
        <v>0</v>
      </c>
      <c r="AG1212">
        <f>indirect(address(1212,32))+indirect(address(1210,33))-indirect(address(1211,33))</f>
        <v>0</v>
      </c>
      <c r="AH1212">
        <f>indirect(address(1212,33))+indirect(address(1210,34))-indirect(address(1211,34))</f>
        <v>0</v>
      </c>
      <c r="AI1212">
        <f>indirect(address(1212,34))+indirect(address(1210,35))-indirect(address(1211,35))</f>
        <v>0</v>
      </c>
      <c r="AJ1212">
        <f>indirect(address(1212,35))+indirect(address(1210,36))-indirect(address(1211,36))</f>
        <v>0</v>
      </c>
      <c r="AK1212">
        <f>indirect(address(1212,36))+indirect(address(1210,37))-indirect(address(1211,37))</f>
        <v>0</v>
      </c>
      <c r="AL1212">
        <f>indirect(address(1212,37))+indirect(address(1210,38))-indirect(address(1211,38))</f>
        <v>0</v>
      </c>
      <c r="AM1212">
        <f>indirect(address(1212,38))+indirect(address(1210,39))-indirect(address(1211,39))</f>
        <v>0</v>
      </c>
      <c r="AN1212">
        <f>indirect(address(1212,39))+indirect(address(1210,40))-indirect(address(1211,40))</f>
        <v>0</v>
      </c>
      <c r="AO1212">
        <f>indirect(address(1212,40))+indirect(address(1210,41))-indirect(address(1211,41))</f>
        <v>0</v>
      </c>
    </row>
    <row r="1213" spans="1:41">
      <c r="I1213" t="s">
        <v>14</v>
      </c>
      <c r="AO1213">
        <f>sum(j1213:an1213)</f>
        <v>0</v>
      </c>
    </row>
    <row r="1214" spans="1:41">
      <c r="I1214" t="s">
        <v>15</v>
      </c>
      <c r="J1214">
        <f>sumif(Plan!B:B,"806-442000-110",Plan!j:j)</f>
        <v>0</v>
      </c>
      <c r="K1214">
        <f>sumif(Plan!B:B,"806-442000-110",Plan!k:k)</f>
        <v>0</v>
      </c>
      <c r="L1214">
        <f>sumif(Plan!B:B,"806-442000-110",Plan!l:l)</f>
        <v>0</v>
      </c>
      <c r="M1214">
        <f>sumif(Plan!B:B,"806-442000-110",Plan!m:m)</f>
        <v>0</v>
      </c>
      <c r="N1214">
        <f>sumif(Plan!B:B,"806-442000-110",Plan!n:n)</f>
        <v>0</v>
      </c>
      <c r="O1214">
        <f>sumif(Plan!B:B,"806-442000-110",Plan!o:o)</f>
        <v>0</v>
      </c>
      <c r="P1214">
        <f>sumif(Plan!B:B,"806-442000-110",Plan!p:p)</f>
        <v>0</v>
      </c>
      <c r="Q1214">
        <f>sumif(Plan!B:B,"806-442000-110",Plan!q:q)</f>
        <v>0</v>
      </c>
      <c r="R1214">
        <f>sumif(Plan!B:B,"806-442000-110",Plan!r:r)</f>
        <v>0</v>
      </c>
      <c r="S1214">
        <f>sumif(Plan!B:B,"806-442000-110",Plan!s:s)</f>
        <v>0</v>
      </c>
      <c r="T1214">
        <f>sumif(Plan!B:B,"806-442000-110",Plan!t:t)</f>
        <v>0</v>
      </c>
      <c r="U1214">
        <f>sumif(Plan!B:B,"806-442000-110",Plan!u:u)</f>
        <v>0</v>
      </c>
      <c r="V1214">
        <f>sumif(Plan!B:B,"806-442000-110",Plan!v:v)</f>
        <v>0</v>
      </c>
      <c r="W1214">
        <f>sumif(Plan!B:B,"806-442000-110",Plan!w:w)</f>
        <v>0</v>
      </c>
      <c r="X1214">
        <f>sumif(Plan!B:B,"806-442000-110",Plan!x:x)</f>
        <v>0</v>
      </c>
      <c r="Y1214">
        <f>sumif(Plan!B:B,"806-442000-110",Plan!y:y)</f>
        <v>0</v>
      </c>
      <c r="Z1214">
        <f>sumif(Plan!B:B,"806-442000-110",Plan!z:z)</f>
        <v>0</v>
      </c>
      <c r="AA1214">
        <f>sumif(Plan!B:B,"806-442000-110",Plan!aa:aa)</f>
        <v>0</v>
      </c>
      <c r="AB1214">
        <f>sumif(Plan!B:B,"806-442000-110",Plan!ab:ab)</f>
        <v>0</v>
      </c>
      <c r="AC1214">
        <f>sumif(Plan!B:B,"806-442000-110",Plan!ac:ac)</f>
        <v>0</v>
      </c>
      <c r="AD1214">
        <f>sumif(Plan!B:B,"806-442000-110",Plan!ad:ad)</f>
        <v>0</v>
      </c>
      <c r="AE1214">
        <f>sumif(Plan!B:B,"806-442000-110",Plan!ae:ae)</f>
        <v>0</v>
      </c>
      <c r="AF1214">
        <f>sumif(Plan!B:B,"806-442000-110",Plan!af:af)</f>
        <v>0</v>
      </c>
      <c r="AG1214">
        <f>sumif(Plan!B:B,"806-442000-110",Plan!ag:ag)</f>
        <v>0</v>
      </c>
      <c r="AH1214">
        <f>sumif(Plan!B:B,"806-442000-110",Plan!ah:ah)</f>
        <v>0</v>
      </c>
      <c r="AI1214">
        <f>sumif(Plan!B:B,"806-442000-110",Plan!ai:ai)</f>
        <v>0</v>
      </c>
      <c r="AJ1214">
        <f>sumif(Plan!B:B,"806-442000-110",Plan!aj:aj)</f>
        <v>0</v>
      </c>
      <c r="AK1214">
        <f>sumif(Plan!B:B,"806-442000-110",Plan!ak:ak)</f>
        <v>0</v>
      </c>
      <c r="AL1214">
        <f>sumif(Plan!B:B,"806-442000-110",Plan!al:al)</f>
        <v>0</v>
      </c>
      <c r="AM1214">
        <f>sumif(Plan!B:B,"806-442000-110",Plan!am:am)</f>
        <v>0</v>
      </c>
      <c r="AN1214">
        <f>sumif(Plan!B:B,"806-442000-110",Plan!an:an)</f>
        <v>0</v>
      </c>
      <c r="AO1214">
        <f>sumif(Plan!B:B,"806-442000-110",Plan!ao:ao)</f>
        <v>0</v>
      </c>
    </row>
    <row r="1215" spans="1:41">
      <c r="A1215" t="s">
        <v>22</v>
      </c>
      <c r="B1215" t="s">
        <v>798</v>
      </c>
      <c r="C1215" t="s">
        <v>796</v>
      </c>
      <c r="E1215">
        <v>0.33</v>
      </c>
      <c r="F1215" t="s">
        <v>13</v>
      </c>
      <c r="H1215" t="s">
        <v>16</v>
      </c>
      <c r="J1215">
        <f>indirect(address(1215,9))+indirect(address(1213,10))-indirect(address(1214,10))</f>
        <v>0</v>
      </c>
      <c r="K1215">
        <f>indirect(address(1215,10))+indirect(address(1213,11))-indirect(address(1214,11))</f>
        <v>0</v>
      </c>
      <c r="L1215">
        <f>indirect(address(1215,11))+indirect(address(1213,12))-indirect(address(1214,12))</f>
        <v>0</v>
      </c>
      <c r="M1215">
        <f>indirect(address(1215,12))+indirect(address(1213,13))-indirect(address(1214,13))</f>
        <v>0</v>
      </c>
      <c r="N1215">
        <f>indirect(address(1215,13))+indirect(address(1213,14))-indirect(address(1214,14))</f>
        <v>0</v>
      </c>
      <c r="O1215">
        <f>indirect(address(1215,14))+indirect(address(1213,15))-indirect(address(1214,15))</f>
        <v>0</v>
      </c>
      <c r="P1215">
        <f>indirect(address(1215,15))+indirect(address(1213,16))-indirect(address(1214,16))</f>
        <v>0</v>
      </c>
      <c r="Q1215">
        <f>indirect(address(1215,16))+indirect(address(1213,17))-indirect(address(1214,17))</f>
        <v>0</v>
      </c>
      <c r="R1215">
        <f>indirect(address(1215,17))+indirect(address(1213,18))-indirect(address(1214,18))</f>
        <v>0</v>
      </c>
      <c r="S1215">
        <f>indirect(address(1215,18))+indirect(address(1213,19))-indirect(address(1214,19))</f>
        <v>0</v>
      </c>
      <c r="T1215">
        <f>indirect(address(1215,19))+indirect(address(1213,20))-indirect(address(1214,20))</f>
        <v>0</v>
      </c>
      <c r="U1215">
        <f>indirect(address(1215,20))+indirect(address(1213,21))-indirect(address(1214,21))</f>
        <v>0</v>
      </c>
      <c r="V1215">
        <f>indirect(address(1215,21))+indirect(address(1213,22))-indirect(address(1214,22))</f>
        <v>0</v>
      </c>
      <c r="W1215">
        <f>indirect(address(1215,22))+indirect(address(1213,23))-indirect(address(1214,23))</f>
        <v>0</v>
      </c>
      <c r="X1215">
        <f>indirect(address(1215,23))+indirect(address(1213,24))-indirect(address(1214,24))</f>
        <v>0</v>
      </c>
      <c r="Y1215">
        <f>indirect(address(1215,24))+indirect(address(1213,25))-indirect(address(1214,25))</f>
        <v>0</v>
      </c>
      <c r="Z1215">
        <f>indirect(address(1215,25))+indirect(address(1213,26))-indirect(address(1214,26))</f>
        <v>0</v>
      </c>
      <c r="AA1215">
        <f>indirect(address(1215,26))+indirect(address(1213,27))-indirect(address(1214,27))</f>
        <v>0</v>
      </c>
      <c r="AB1215">
        <f>indirect(address(1215,27))+indirect(address(1213,28))-indirect(address(1214,28))</f>
        <v>0</v>
      </c>
      <c r="AC1215">
        <f>indirect(address(1215,28))+indirect(address(1213,29))-indirect(address(1214,29))</f>
        <v>0</v>
      </c>
      <c r="AD1215">
        <f>indirect(address(1215,29))+indirect(address(1213,30))-indirect(address(1214,30))</f>
        <v>0</v>
      </c>
      <c r="AE1215">
        <f>indirect(address(1215,30))+indirect(address(1213,31))-indirect(address(1214,31))</f>
        <v>0</v>
      </c>
      <c r="AF1215">
        <f>indirect(address(1215,31))+indirect(address(1213,32))-indirect(address(1214,32))</f>
        <v>0</v>
      </c>
      <c r="AG1215">
        <f>indirect(address(1215,32))+indirect(address(1213,33))-indirect(address(1214,33))</f>
        <v>0</v>
      </c>
      <c r="AH1215">
        <f>indirect(address(1215,33))+indirect(address(1213,34))-indirect(address(1214,34))</f>
        <v>0</v>
      </c>
      <c r="AI1215">
        <f>indirect(address(1215,34))+indirect(address(1213,35))-indirect(address(1214,35))</f>
        <v>0</v>
      </c>
      <c r="AJ1215">
        <f>indirect(address(1215,35))+indirect(address(1213,36))-indirect(address(1214,36))</f>
        <v>0</v>
      </c>
      <c r="AK1215">
        <f>indirect(address(1215,36))+indirect(address(1213,37))-indirect(address(1214,37))</f>
        <v>0</v>
      </c>
      <c r="AL1215">
        <f>indirect(address(1215,37))+indirect(address(1213,38))-indirect(address(1214,38))</f>
        <v>0</v>
      </c>
      <c r="AM1215">
        <f>indirect(address(1215,38))+indirect(address(1213,39))-indirect(address(1214,39))</f>
        <v>0</v>
      </c>
      <c r="AN1215">
        <f>indirect(address(1215,39))+indirect(address(1213,40))-indirect(address(1214,40))</f>
        <v>0</v>
      </c>
      <c r="AO1215">
        <f>indirect(address(1215,40))+indirect(address(1213,41))-indirect(address(1214,41))</f>
        <v>0</v>
      </c>
    </row>
    <row r="1216" spans="1:41">
      <c r="I1216" t="s">
        <v>14</v>
      </c>
      <c r="AO1216">
        <f>sum(j1216:an1216)</f>
        <v>0</v>
      </c>
    </row>
    <row r="1217" spans="1:41">
      <c r="I1217" t="s">
        <v>15</v>
      </c>
      <c r="J1217">
        <f>sumif(Plan!B:B,"261-000000-113",Plan!j:j)</f>
        <v>0</v>
      </c>
      <c r="K1217">
        <f>sumif(Plan!B:B,"261-000000-113",Plan!k:k)</f>
        <v>0</v>
      </c>
      <c r="L1217">
        <f>sumif(Plan!B:B,"261-000000-113",Plan!l:l)</f>
        <v>0</v>
      </c>
      <c r="M1217">
        <f>sumif(Plan!B:B,"261-000000-113",Plan!m:m)</f>
        <v>0</v>
      </c>
      <c r="N1217">
        <f>sumif(Plan!B:B,"261-000000-113",Plan!n:n)</f>
        <v>0</v>
      </c>
      <c r="O1217">
        <f>sumif(Plan!B:B,"261-000000-113",Plan!o:o)</f>
        <v>0</v>
      </c>
      <c r="P1217">
        <f>sumif(Plan!B:B,"261-000000-113",Plan!p:p)</f>
        <v>0</v>
      </c>
      <c r="Q1217">
        <f>sumif(Plan!B:B,"261-000000-113",Plan!q:q)</f>
        <v>0</v>
      </c>
      <c r="R1217">
        <f>sumif(Plan!B:B,"261-000000-113",Plan!r:r)</f>
        <v>0</v>
      </c>
      <c r="S1217">
        <f>sumif(Plan!B:B,"261-000000-113",Plan!s:s)</f>
        <v>0</v>
      </c>
      <c r="T1217">
        <f>sumif(Plan!B:B,"261-000000-113",Plan!t:t)</f>
        <v>0</v>
      </c>
      <c r="U1217">
        <f>sumif(Plan!B:B,"261-000000-113",Plan!u:u)</f>
        <v>0</v>
      </c>
      <c r="V1217">
        <f>sumif(Plan!B:B,"261-000000-113",Plan!v:v)</f>
        <v>0</v>
      </c>
      <c r="W1217">
        <f>sumif(Plan!B:B,"261-000000-113",Plan!w:w)</f>
        <v>0</v>
      </c>
      <c r="X1217">
        <f>sumif(Plan!B:B,"261-000000-113",Plan!x:x)</f>
        <v>0</v>
      </c>
      <c r="Y1217">
        <f>sumif(Plan!B:B,"261-000000-113",Plan!y:y)</f>
        <v>0</v>
      </c>
      <c r="Z1217">
        <f>sumif(Plan!B:B,"261-000000-113",Plan!z:z)</f>
        <v>0</v>
      </c>
      <c r="AA1217">
        <f>sumif(Plan!B:B,"261-000000-113",Plan!aa:aa)</f>
        <v>0</v>
      </c>
      <c r="AB1217">
        <f>sumif(Plan!B:B,"261-000000-113",Plan!ab:ab)</f>
        <v>0</v>
      </c>
      <c r="AC1217">
        <f>sumif(Plan!B:B,"261-000000-113",Plan!ac:ac)</f>
        <v>0</v>
      </c>
      <c r="AD1217">
        <f>sumif(Plan!B:B,"261-000000-113",Plan!ad:ad)</f>
        <v>0</v>
      </c>
      <c r="AE1217">
        <f>sumif(Plan!B:B,"261-000000-113",Plan!ae:ae)</f>
        <v>0</v>
      </c>
      <c r="AF1217">
        <f>sumif(Plan!B:B,"261-000000-113",Plan!af:af)</f>
        <v>0</v>
      </c>
      <c r="AG1217">
        <f>sumif(Plan!B:B,"261-000000-113",Plan!ag:ag)</f>
        <v>0</v>
      </c>
      <c r="AH1217">
        <f>sumif(Plan!B:B,"261-000000-113",Plan!ah:ah)</f>
        <v>0</v>
      </c>
      <c r="AI1217">
        <f>sumif(Plan!B:B,"261-000000-113",Plan!ai:ai)</f>
        <v>0</v>
      </c>
      <c r="AJ1217">
        <f>sumif(Plan!B:B,"261-000000-113",Plan!aj:aj)</f>
        <v>0</v>
      </c>
      <c r="AK1217">
        <f>sumif(Plan!B:B,"261-000000-113",Plan!ak:ak)</f>
        <v>0</v>
      </c>
      <c r="AL1217">
        <f>sumif(Plan!B:B,"261-000000-113",Plan!al:al)</f>
        <v>0</v>
      </c>
      <c r="AM1217">
        <f>sumif(Plan!B:B,"261-000000-113",Plan!am:am)</f>
        <v>0</v>
      </c>
      <c r="AN1217">
        <f>sumif(Plan!B:B,"261-000000-113",Plan!an:an)</f>
        <v>0</v>
      </c>
      <c r="AO1217">
        <f>sumif(Plan!B:B,"261-000000-113",Plan!ao:ao)</f>
        <v>0</v>
      </c>
    </row>
    <row r="1218" spans="1:41">
      <c r="A1218" t="s">
        <v>22</v>
      </c>
      <c r="B1218" t="s">
        <v>799</v>
      </c>
      <c r="C1218" t="s">
        <v>796</v>
      </c>
      <c r="E1218">
        <v>1</v>
      </c>
      <c r="F1218" t="s">
        <v>13</v>
      </c>
      <c r="H1218" t="s">
        <v>16</v>
      </c>
      <c r="J1218">
        <f>indirect(address(1218,9))+indirect(address(1216,10))-indirect(address(1217,10))</f>
        <v>0</v>
      </c>
      <c r="K1218">
        <f>indirect(address(1218,10))+indirect(address(1216,11))-indirect(address(1217,11))</f>
        <v>0</v>
      </c>
      <c r="L1218">
        <f>indirect(address(1218,11))+indirect(address(1216,12))-indirect(address(1217,12))</f>
        <v>0</v>
      </c>
      <c r="M1218">
        <f>indirect(address(1218,12))+indirect(address(1216,13))-indirect(address(1217,13))</f>
        <v>0</v>
      </c>
      <c r="N1218">
        <f>indirect(address(1218,13))+indirect(address(1216,14))-indirect(address(1217,14))</f>
        <v>0</v>
      </c>
      <c r="O1218">
        <f>indirect(address(1218,14))+indirect(address(1216,15))-indirect(address(1217,15))</f>
        <v>0</v>
      </c>
      <c r="P1218">
        <f>indirect(address(1218,15))+indirect(address(1216,16))-indirect(address(1217,16))</f>
        <v>0</v>
      </c>
      <c r="Q1218">
        <f>indirect(address(1218,16))+indirect(address(1216,17))-indirect(address(1217,17))</f>
        <v>0</v>
      </c>
      <c r="R1218">
        <f>indirect(address(1218,17))+indirect(address(1216,18))-indirect(address(1217,18))</f>
        <v>0</v>
      </c>
      <c r="S1218">
        <f>indirect(address(1218,18))+indirect(address(1216,19))-indirect(address(1217,19))</f>
        <v>0</v>
      </c>
      <c r="T1218">
        <f>indirect(address(1218,19))+indirect(address(1216,20))-indirect(address(1217,20))</f>
        <v>0</v>
      </c>
      <c r="U1218">
        <f>indirect(address(1218,20))+indirect(address(1216,21))-indirect(address(1217,21))</f>
        <v>0</v>
      </c>
      <c r="V1218">
        <f>indirect(address(1218,21))+indirect(address(1216,22))-indirect(address(1217,22))</f>
        <v>0</v>
      </c>
      <c r="W1218">
        <f>indirect(address(1218,22))+indirect(address(1216,23))-indirect(address(1217,23))</f>
        <v>0</v>
      </c>
      <c r="X1218">
        <f>indirect(address(1218,23))+indirect(address(1216,24))-indirect(address(1217,24))</f>
        <v>0</v>
      </c>
      <c r="Y1218">
        <f>indirect(address(1218,24))+indirect(address(1216,25))-indirect(address(1217,25))</f>
        <v>0</v>
      </c>
      <c r="Z1218">
        <f>indirect(address(1218,25))+indirect(address(1216,26))-indirect(address(1217,26))</f>
        <v>0</v>
      </c>
      <c r="AA1218">
        <f>indirect(address(1218,26))+indirect(address(1216,27))-indirect(address(1217,27))</f>
        <v>0</v>
      </c>
      <c r="AB1218">
        <f>indirect(address(1218,27))+indirect(address(1216,28))-indirect(address(1217,28))</f>
        <v>0</v>
      </c>
      <c r="AC1218">
        <f>indirect(address(1218,28))+indirect(address(1216,29))-indirect(address(1217,29))</f>
        <v>0</v>
      </c>
      <c r="AD1218">
        <f>indirect(address(1218,29))+indirect(address(1216,30))-indirect(address(1217,30))</f>
        <v>0</v>
      </c>
      <c r="AE1218">
        <f>indirect(address(1218,30))+indirect(address(1216,31))-indirect(address(1217,31))</f>
        <v>0</v>
      </c>
      <c r="AF1218">
        <f>indirect(address(1218,31))+indirect(address(1216,32))-indirect(address(1217,32))</f>
        <v>0</v>
      </c>
      <c r="AG1218">
        <f>indirect(address(1218,32))+indirect(address(1216,33))-indirect(address(1217,33))</f>
        <v>0</v>
      </c>
      <c r="AH1218">
        <f>indirect(address(1218,33))+indirect(address(1216,34))-indirect(address(1217,34))</f>
        <v>0</v>
      </c>
      <c r="AI1218">
        <f>indirect(address(1218,34))+indirect(address(1216,35))-indirect(address(1217,35))</f>
        <v>0</v>
      </c>
      <c r="AJ1218">
        <f>indirect(address(1218,35))+indirect(address(1216,36))-indirect(address(1217,36))</f>
        <v>0</v>
      </c>
      <c r="AK1218">
        <f>indirect(address(1218,36))+indirect(address(1216,37))-indirect(address(1217,37))</f>
        <v>0</v>
      </c>
      <c r="AL1218">
        <f>indirect(address(1218,37))+indirect(address(1216,38))-indirect(address(1217,38))</f>
        <v>0</v>
      </c>
      <c r="AM1218">
        <f>indirect(address(1218,38))+indirect(address(1216,39))-indirect(address(1217,39))</f>
        <v>0</v>
      </c>
      <c r="AN1218">
        <f>indirect(address(1218,39))+indirect(address(1216,40))-indirect(address(1217,40))</f>
        <v>0</v>
      </c>
      <c r="AO1218">
        <f>indirect(address(1218,40))+indirect(address(1216,41))-indirect(address(1217,41))</f>
        <v>0</v>
      </c>
    </row>
    <row r="1219" spans="1:41">
      <c r="I1219" t="s">
        <v>14</v>
      </c>
      <c r="AO1219">
        <f>sum(j1219:an1219)</f>
        <v>0</v>
      </c>
    </row>
    <row r="1220" spans="1:41">
      <c r="I1220" t="s">
        <v>15</v>
      </c>
      <c r="J1220">
        <f>sumif(Plan!B:B,"806-442000-210",Plan!j:j)</f>
        <v>0</v>
      </c>
      <c r="K1220">
        <f>sumif(Plan!B:B,"806-442000-210",Plan!k:k)</f>
        <v>0</v>
      </c>
      <c r="L1220">
        <f>sumif(Plan!B:B,"806-442000-210",Plan!l:l)</f>
        <v>0</v>
      </c>
      <c r="M1220">
        <f>sumif(Plan!B:B,"806-442000-210",Plan!m:m)</f>
        <v>0</v>
      </c>
      <c r="N1220">
        <f>sumif(Plan!B:B,"806-442000-210",Plan!n:n)</f>
        <v>0</v>
      </c>
      <c r="O1220">
        <f>sumif(Plan!B:B,"806-442000-210",Plan!o:o)</f>
        <v>0</v>
      </c>
      <c r="P1220">
        <f>sumif(Plan!B:B,"806-442000-210",Plan!p:p)</f>
        <v>0</v>
      </c>
      <c r="Q1220">
        <f>sumif(Plan!B:B,"806-442000-210",Plan!q:q)</f>
        <v>0</v>
      </c>
      <c r="R1220">
        <f>sumif(Plan!B:B,"806-442000-210",Plan!r:r)</f>
        <v>0</v>
      </c>
      <c r="S1220">
        <f>sumif(Plan!B:B,"806-442000-210",Plan!s:s)</f>
        <v>0</v>
      </c>
      <c r="T1220">
        <f>sumif(Plan!B:B,"806-442000-210",Plan!t:t)</f>
        <v>0</v>
      </c>
      <c r="U1220">
        <f>sumif(Plan!B:B,"806-442000-210",Plan!u:u)</f>
        <v>0</v>
      </c>
      <c r="V1220">
        <f>sumif(Plan!B:B,"806-442000-210",Plan!v:v)</f>
        <v>0</v>
      </c>
      <c r="W1220">
        <f>sumif(Plan!B:B,"806-442000-210",Plan!w:w)</f>
        <v>0</v>
      </c>
      <c r="X1220">
        <f>sumif(Plan!B:B,"806-442000-210",Plan!x:x)</f>
        <v>0</v>
      </c>
      <c r="Y1220">
        <f>sumif(Plan!B:B,"806-442000-210",Plan!y:y)</f>
        <v>0</v>
      </c>
      <c r="Z1220">
        <f>sumif(Plan!B:B,"806-442000-210",Plan!z:z)</f>
        <v>0</v>
      </c>
      <c r="AA1220">
        <f>sumif(Plan!B:B,"806-442000-210",Plan!aa:aa)</f>
        <v>0</v>
      </c>
      <c r="AB1220">
        <f>sumif(Plan!B:B,"806-442000-210",Plan!ab:ab)</f>
        <v>0</v>
      </c>
      <c r="AC1220">
        <f>sumif(Plan!B:B,"806-442000-210",Plan!ac:ac)</f>
        <v>0</v>
      </c>
      <c r="AD1220">
        <f>sumif(Plan!B:B,"806-442000-210",Plan!ad:ad)</f>
        <v>0</v>
      </c>
      <c r="AE1220">
        <f>sumif(Plan!B:B,"806-442000-210",Plan!ae:ae)</f>
        <v>0</v>
      </c>
      <c r="AF1220">
        <f>sumif(Plan!B:B,"806-442000-210",Plan!af:af)</f>
        <v>0</v>
      </c>
      <c r="AG1220">
        <f>sumif(Plan!B:B,"806-442000-210",Plan!ag:ag)</f>
        <v>0</v>
      </c>
      <c r="AH1220">
        <f>sumif(Plan!B:B,"806-442000-210",Plan!ah:ah)</f>
        <v>0</v>
      </c>
      <c r="AI1220">
        <f>sumif(Plan!B:B,"806-442000-210",Plan!ai:ai)</f>
        <v>0</v>
      </c>
      <c r="AJ1220">
        <f>sumif(Plan!B:B,"806-442000-210",Plan!aj:aj)</f>
        <v>0</v>
      </c>
      <c r="AK1220">
        <f>sumif(Plan!B:B,"806-442000-210",Plan!ak:ak)</f>
        <v>0</v>
      </c>
      <c r="AL1220">
        <f>sumif(Plan!B:B,"806-442000-210",Plan!al:al)</f>
        <v>0</v>
      </c>
      <c r="AM1220">
        <f>sumif(Plan!B:B,"806-442000-210",Plan!am:am)</f>
        <v>0</v>
      </c>
      <c r="AN1220">
        <f>sumif(Plan!B:B,"806-442000-210",Plan!an:an)</f>
        <v>0</v>
      </c>
      <c r="AO1220">
        <f>sumif(Plan!B:B,"806-442000-210",Plan!ao:ao)</f>
        <v>0</v>
      </c>
    </row>
    <row r="1221" spans="1:41">
      <c r="A1221" t="s">
        <v>17</v>
      </c>
      <c r="B1221" t="s">
        <v>801</v>
      </c>
      <c r="C1221" t="s">
        <v>796</v>
      </c>
      <c r="E1221">
        <v>1</v>
      </c>
      <c r="F1221" t="s">
        <v>13</v>
      </c>
      <c r="H1221" t="s">
        <v>16</v>
      </c>
      <c r="J1221">
        <f>indirect(address(1221,9))+indirect(address(1219,10))-indirect(address(1220,10))</f>
        <v>0</v>
      </c>
      <c r="K1221">
        <f>indirect(address(1221,10))+indirect(address(1219,11))-indirect(address(1220,11))</f>
        <v>0</v>
      </c>
      <c r="L1221">
        <f>indirect(address(1221,11))+indirect(address(1219,12))-indirect(address(1220,12))</f>
        <v>0</v>
      </c>
      <c r="M1221">
        <f>indirect(address(1221,12))+indirect(address(1219,13))-indirect(address(1220,13))</f>
        <v>0</v>
      </c>
      <c r="N1221">
        <f>indirect(address(1221,13))+indirect(address(1219,14))-indirect(address(1220,14))</f>
        <v>0</v>
      </c>
      <c r="O1221">
        <f>indirect(address(1221,14))+indirect(address(1219,15))-indirect(address(1220,15))</f>
        <v>0</v>
      </c>
      <c r="P1221">
        <f>indirect(address(1221,15))+indirect(address(1219,16))-indirect(address(1220,16))</f>
        <v>0</v>
      </c>
      <c r="Q1221">
        <f>indirect(address(1221,16))+indirect(address(1219,17))-indirect(address(1220,17))</f>
        <v>0</v>
      </c>
      <c r="R1221">
        <f>indirect(address(1221,17))+indirect(address(1219,18))-indirect(address(1220,18))</f>
        <v>0</v>
      </c>
      <c r="S1221">
        <f>indirect(address(1221,18))+indirect(address(1219,19))-indirect(address(1220,19))</f>
        <v>0</v>
      </c>
      <c r="T1221">
        <f>indirect(address(1221,19))+indirect(address(1219,20))-indirect(address(1220,20))</f>
        <v>0</v>
      </c>
      <c r="U1221">
        <f>indirect(address(1221,20))+indirect(address(1219,21))-indirect(address(1220,21))</f>
        <v>0</v>
      </c>
      <c r="V1221">
        <f>indirect(address(1221,21))+indirect(address(1219,22))-indirect(address(1220,22))</f>
        <v>0</v>
      </c>
      <c r="W1221">
        <f>indirect(address(1221,22))+indirect(address(1219,23))-indirect(address(1220,23))</f>
        <v>0</v>
      </c>
      <c r="X1221">
        <f>indirect(address(1221,23))+indirect(address(1219,24))-indirect(address(1220,24))</f>
        <v>0</v>
      </c>
      <c r="Y1221">
        <f>indirect(address(1221,24))+indirect(address(1219,25))-indirect(address(1220,25))</f>
        <v>0</v>
      </c>
      <c r="Z1221">
        <f>indirect(address(1221,25))+indirect(address(1219,26))-indirect(address(1220,26))</f>
        <v>0</v>
      </c>
      <c r="AA1221">
        <f>indirect(address(1221,26))+indirect(address(1219,27))-indirect(address(1220,27))</f>
        <v>0</v>
      </c>
      <c r="AB1221">
        <f>indirect(address(1221,27))+indirect(address(1219,28))-indirect(address(1220,28))</f>
        <v>0</v>
      </c>
      <c r="AC1221">
        <f>indirect(address(1221,28))+indirect(address(1219,29))-indirect(address(1220,29))</f>
        <v>0</v>
      </c>
      <c r="AD1221">
        <f>indirect(address(1221,29))+indirect(address(1219,30))-indirect(address(1220,30))</f>
        <v>0</v>
      </c>
      <c r="AE1221">
        <f>indirect(address(1221,30))+indirect(address(1219,31))-indirect(address(1220,31))</f>
        <v>0</v>
      </c>
      <c r="AF1221">
        <f>indirect(address(1221,31))+indirect(address(1219,32))-indirect(address(1220,32))</f>
        <v>0</v>
      </c>
      <c r="AG1221">
        <f>indirect(address(1221,32))+indirect(address(1219,33))-indirect(address(1220,33))</f>
        <v>0</v>
      </c>
      <c r="AH1221">
        <f>indirect(address(1221,33))+indirect(address(1219,34))-indirect(address(1220,34))</f>
        <v>0</v>
      </c>
      <c r="AI1221">
        <f>indirect(address(1221,34))+indirect(address(1219,35))-indirect(address(1220,35))</f>
        <v>0</v>
      </c>
      <c r="AJ1221">
        <f>indirect(address(1221,35))+indirect(address(1219,36))-indirect(address(1220,36))</f>
        <v>0</v>
      </c>
      <c r="AK1221">
        <f>indirect(address(1221,36))+indirect(address(1219,37))-indirect(address(1220,37))</f>
        <v>0</v>
      </c>
      <c r="AL1221">
        <f>indirect(address(1221,37))+indirect(address(1219,38))-indirect(address(1220,38))</f>
        <v>0</v>
      </c>
      <c r="AM1221">
        <f>indirect(address(1221,38))+indirect(address(1219,39))-indirect(address(1220,39))</f>
        <v>0</v>
      </c>
      <c r="AN1221">
        <f>indirect(address(1221,39))+indirect(address(1219,40))-indirect(address(1220,40))</f>
        <v>0</v>
      </c>
      <c r="AO1221">
        <f>indirect(address(1221,40))+indirect(address(1219,41))-indirect(address(1220,41))</f>
        <v>0</v>
      </c>
    </row>
    <row r="1222" spans="1:41">
      <c r="I1222" t="s">
        <v>14</v>
      </c>
      <c r="AO1222">
        <f>sum(j1222:an1222)</f>
        <v>0</v>
      </c>
    </row>
    <row r="1223" spans="1:41">
      <c r="I1223" t="s">
        <v>15</v>
      </c>
      <c r="J1223">
        <f>sumif(Plan!B:B,"806-442000-210",Plan!j:j)</f>
        <v>0</v>
      </c>
      <c r="K1223">
        <f>sumif(Plan!B:B,"806-442000-210",Plan!k:k)</f>
        <v>0</v>
      </c>
      <c r="L1223">
        <f>sumif(Plan!B:B,"806-442000-210",Plan!l:l)</f>
        <v>0</v>
      </c>
      <c r="M1223">
        <f>sumif(Plan!B:B,"806-442000-210",Plan!m:m)</f>
        <v>0</v>
      </c>
      <c r="N1223">
        <f>sumif(Plan!B:B,"806-442000-210",Plan!n:n)</f>
        <v>0</v>
      </c>
      <c r="O1223">
        <f>sumif(Plan!B:B,"806-442000-210",Plan!o:o)</f>
        <v>0</v>
      </c>
      <c r="P1223">
        <f>sumif(Plan!B:B,"806-442000-210",Plan!p:p)</f>
        <v>0</v>
      </c>
      <c r="Q1223">
        <f>sumif(Plan!B:B,"806-442000-210",Plan!q:q)</f>
        <v>0</v>
      </c>
      <c r="R1223">
        <f>sumif(Plan!B:B,"806-442000-210",Plan!r:r)</f>
        <v>0</v>
      </c>
      <c r="S1223">
        <f>sumif(Plan!B:B,"806-442000-210",Plan!s:s)</f>
        <v>0</v>
      </c>
      <c r="T1223">
        <f>sumif(Plan!B:B,"806-442000-210",Plan!t:t)</f>
        <v>0</v>
      </c>
      <c r="U1223">
        <f>sumif(Plan!B:B,"806-442000-210",Plan!u:u)</f>
        <v>0</v>
      </c>
      <c r="V1223">
        <f>sumif(Plan!B:B,"806-442000-210",Plan!v:v)</f>
        <v>0</v>
      </c>
      <c r="W1223">
        <f>sumif(Plan!B:B,"806-442000-210",Plan!w:w)</f>
        <v>0</v>
      </c>
      <c r="X1223">
        <f>sumif(Plan!B:B,"806-442000-210",Plan!x:x)</f>
        <v>0</v>
      </c>
      <c r="Y1223">
        <f>sumif(Plan!B:B,"806-442000-210",Plan!y:y)</f>
        <v>0</v>
      </c>
      <c r="Z1223">
        <f>sumif(Plan!B:B,"806-442000-210",Plan!z:z)</f>
        <v>0</v>
      </c>
      <c r="AA1223">
        <f>sumif(Plan!B:B,"806-442000-210",Plan!aa:aa)</f>
        <v>0</v>
      </c>
      <c r="AB1223">
        <f>sumif(Plan!B:B,"806-442000-210",Plan!ab:ab)</f>
        <v>0</v>
      </c>
      <c r="AC1223">
        <f>sumif(Plan!B:B,"806-442000-210",Plan!ac:ac)</f>
        <v>0</v>
      </c>
      <c r="AD1223">
        <f>sumif(Plan!B:B,"806-442000-210",Plan!ad:ad)</f>
        <v>0</v>
      </c>
      <c r="AE1223">
        <f>sumif(Plan!B:B,"806-442000-210",Plan!ae:ae)</f>
        <v>0</v>
      </c>
      <c r="AF1223">
        <f>sumif(Plan!B:B,"806-442000-210",Plan!af:af)</f>
        <v>0</v>
      </c>
      <c r="AG1223">
        <f>sumif(Plan!B:B,"806-442000-210",Plan!ag:ag)</f>
        <v>0</v>
      </c>
      <c r="AH1223">
        <f>sumif(Plan!B:B,"806-442000-210",Plan!ah:ah)</f>
        <v>0</v>
      </c>
      <c r="AI1223">
        <f>sumif(Plan!B:B,"806-442000-210",Plan!ai:ai)</f>
        <v>0</v>
      </c>
      <c r="AJ1223">
        <f>sumif(Plan!B:B,"806-442000-210",Plan!aj:aj)</f>
        <v>0</v>
      </c>
      <c r="AK1223">
        <f>sumif(Plan!B:B,"806-442000-210",Plan!ak:ak)</f>
        <v>0</v>
      </c>
      <c r="AL1223">
        <f>sumif(Plan!B:B,"806-442000-210",Plan!al:al)</f>
        <v>0</v>
      </c>
      <c r="AM1223">
        <f>sumif(Plan!B:B,"806-442000-210",Plan!am:am)</f>
        <v>0</v>
      </c>
      <c r="AN1223">
        <f>sumif(Plan!B:B,"806-442000-210",Plan!an:an)</f>
        <v>0</v>
      </c>
      <c r="AO1223">
        <f>sumif(Plan!B:B,"806-442000-210",Plan!ao:ao)</f>
        <v>0</v>
      </c>
    </row>
    <row r="1224" spans="1:41">
      <c r="A1224" t="s">
        <v>22</v>
      </c>
      <c r="B1224" t="s">
        <v>801</v>
      </c>
      <c r="C1224" t="s">
        <v>796</v>
      </c>
      <c r="E1224">
        <v>0.33</v>
      </c>
      <c r="F1224" t="s">
        <v>13</v>
      </c>
      <c r="H1224" t="s">
        <v>16</v>
      </c>
      <c r="J1224">
        <f>indirect(address(1224,9))+indirect(address(1222,10))-indirect(address(1223,10))</f>
        <v>0</v>
      </c>
      <c r="K1224">
        <f>indirect(address(1224,10))+indirect(address(1222,11))-indirect(address(1223,11))</f>
        <v>0</v>
      </c>
      <c r="L1224">
        <f>indirect(address(1224,11))+indirect(address(1222,12))-indirect(address(1223,12))</f>
        <v>0</v>
      </c>
      <c r="M1224">
        <f>indirect(address(1224,12))+indirect(address(1222,13))-indirect(address(1223,13))</f>
        <v>0</v>
      </c>
      <c r="N1224">
        <f>indirect(address(1224,13))+indirect(address(1222,14))-indirect(address(1223,14))</f>
        <v>0</v>
      </c>
      <c r="O1224">
        <f>indirect(address(1224,14))+indirect(address(1222,15))-indirect(address(1223,15))</f>
        <v>0</v>
      </c>
      <c r="P1224">
        <f>indirect(address(1224,15))+indirect(address(1222,16))-indirect(address(1223,16))</f>
        <v>0</v>
      </c>
      <c r="Q1224">
        <f>indirect(address(1224,16))+indirect(address(1222,17))-indirect(address(1223,17))</f>
        <v>0</v>
      </c>
      <c r="R1224">
        <f>indirect(address(1224,17))+indirect(address(1222,18))-indirect(address(1223,18))</f>
        <v>0</v>
      </c>
      <c r="S1224">
        <f>indirect(address(1224,18))+indirect(address(1222,19))-indirect(address(1223,19))</f>
        <v>0</v>
      </c>
      <c r="T1224">
        <f>indirect(address(1224,19))+indirect(address(1222,20))-indirect(address(1223,20))</f>
        <v>0</v>
      </c>
      <c r="U1224">
        <f>indirect(address(1224,20))+indirect(address(1222,21))-indirect(address(1223,21))</f>
        <v>0</v>
      </c>
      <c r="V1224">
        <f>indirect(address(1224,21))+indirect(address(1222,22))-indirect(address(1223,22))</f>
        <v>0</v>
      </c>
      <c r="W1224">
        <f>indirect(address(1224,22))+indirect(address(1222,23))-indirect(address(1223,23))</f>
        <v>0</v>
      </c>
      <c r="X1224">
        <f>indirect(address(1224,23))+indirect(address(1222,24))-indirect(address(1223,24))</f>
        <v>0</v>
      </c>
      <c r="Y1224">
        <f>indirect(address(1224,24))+indirect(address(1222,25))-indirect(address(1223,25))</f>
        <v>0</v>
      </c>
      <c r="Z1224">
        <f>indirect(address(1224,25))+indirect(address(1222,26))-indirect(address(1223,26))</f>
        <v>0</v>
      </c>
      <c r="AA1224">
        <f>indirect(address(1224,26))+indirect(address(1222,27))-indirect(address(1223,27))</f>
        <v>0</v>
      </c>
      <c r="AB1224">
        <f>indirect(address(1224,27))+indirect(address(1222,28))-indirect(address(1223,28))</f>
        <v>0</v>
      </c>
      <c r="AC1224">
        <f>indirect(address(1224,28))+indirect(address(1222,29))-indirect(address(1223,29))</f>
        <v>0</v>
      </c>
      <c r="AD1224">
        <f>indirect(address(1224,29))+indirect(address(1222,30))-indirect(address(1223,30))</f>
        <v>0</v>
      </c>
      <c r="AE1224">
        <f>indirect(address(1224,30))+indirect(address(1222,31))-indirect(address(1223,31))</f>
        <v>0</v>
      </c>
      <c r="AF1224">
        <f>indirect(address(1224,31))+indirect(address(1222,32))-indirect(address(1223,32))</f>
        <v>0</v>
      </c>
      <c r="AG1224">
        <f>indirect(address(1224,32))+indirect(address(1222,33))-indirect(address(1223,33))</f>
        <v>0</v>
      </c>
      <c r="AH1224">
        <f>indirect(address(1224,33))+indirect(address(1222,34))-indirect(address(1223,34))</f>
        <v>0</v>
      </c>
      <c r="AI1224">
        <f>indirect(address(1224,34))+indirect(address(1222,35))-indirect(address(1223,35))</f>
        <v>0</v>
      </c>
      <c r="AJ1224">
        <f>indirect(address(1224,35))+indirect(address(1222,36))-indirect(address(1223,36))</f>
        <v>0</v>
      </c>
      <c r="AK1224">
        <f>indirect(address(1224,36))+indirect(address(1222,37))-indirect(address(1223,37))</f>
        <v>0</v>
      </c>
      <c r="AL1224">
        <f>indirect(address(1224,37))+indirect(address(1222,38))-indirect(address(1223,38))</f>
        <v>0</v>
      </c>
      <c r="AM1224">
        <f>indirect(address(1224,38))+indirect(address(1222,39))-indirect(address(1223,39))</f>
        <v>0</v>
      </c>
      <c r="AN1224">
        <f>indirect(address(1224,39))+indirect(address(1222,40))-indirect(address(1223,40))</f>
        <v>0</v>
      </c>
      <c r="AO1224">
        <f>indirect(address(1224,40))+indirect(address(1222,41))-indirect(address(1223,41))</f>
        <v>0</v>
      </c>
    </row>
    <row r="1225" spans="1:41">
      <c r="I1225" t="s">
        <v>14</v>
      </c>
      <c r="AO1225">
        <f>sum(j1225:an1225)</f>
        <v>0</v>
      </c>
    </row>
    <row r="1226" spans="1:41">
      <c r="I1226" t="s">
        <v>15</v>
      </c>
      <c r="J1226">
        <f>sumif(Plan!B:B,"906-443000-110",Plan!j:j)</f>
        <v>0</v>
      </c>
      <c r="K1226">
        <f>sumif(Plan!B:B,"906-443000-110",Plan!k:k)</f>
        <v>0</v>
      </c>
      <c r="L1226">
        <f>sumif(Plan!B:B,"906-443000-110",Plan!l:l)</f>
        <v>0</v>
      </c>
      <c r="M1226">
        <f>sumif(Plan!B:B,"906-443000-110",Plan!m:m)</f>
        <v>0</v>
      </c>
      <c r="N1226">
        <f>sumif(Plan!B:B,"906-443000-110",Plan!n:n)</f>
        <v>0</v>
      </c>
      <c r="O1226">
        <f>sumif(Plan!B:B,"906-443000-110",Plan!o:o)</f>
        <v>0</v>
      </c>
      <c r="P1226">
        <f>sumif(Plan!B:B,"906-443000-110",Plan!p:p)</f>
        <v>0</v>
      </c>
      <c r="Q1226">
        <f>sumif(Plan!B:B,"906-443000-110",Plan!q:q)</f>
        <v>0</v>
      </c>
      <c r="R1226">
        <f>sumif(Plan!B:B,"906-443000-110",Plan!r:r)</f>
        <v>0</v>
      </c>
      <c r="S1226">
        <f>sumif(Plan!B:B,"906-443000-110",Plan!s:s)</f>
        <v>0</v>
      </c>
      <c r="T1226">
        <f>sumif(Plan!B:B,"906-443000-110",Plan!t:t)</f>
        <v>0</v>
      </c>
      <c r="U1226">
        <f>sumif(Plan!B:B,"906-443000-110",Plan!u:u)</f>
        <v>0</v>
      </c>
      <c r="V1226">
        <f>sumif(Plan!B:B,"906-443000-110",Plan!v:v)</f>
        <v>0</v>
      </c>
      <c r="W1226">
        <f>sumif(Plan!B:B,"906-443000-110",Plan!w:w)</f>
        <v>0</v>
      </c>
      <c r="X1226">
        <f>sumif(Plan!B:B,"906-443000-110",Plan!x:x)</f>
        <v>0</v>
      </c>
      <c r="Y1226">
        <f>sumif(Plan!B:B,"906-443000-110",Plan!y:y)</f>
        <v>0</v>
      </c>
      <c r="Z1226">
        <f>sumif(Plan!B:B,"906-443000-110",Plan!z:z)</f>
        <v>0</v>
      </c>
      <c r="AA1226">
        <f>sumif(Plan!B:B,"906-443000-110",Plan!aa:aa)</f>
        <v>0</v>
      </c>
      <c r="AB1226">
        <f>sumif(Plan!B:B,"906-443000-110",Plan!ab:ab)</f>
        <v>0</v>
      </c>
      <c r="AC1226">
        <f>sumif(Plan!B:B,"906-443000-110",Plan!ac:ac)</f>
        <v>0</v>
      </c>
      <c r="AD1226">
        <f>sumif(Plan!B:B,"906-443000-110",Plan!ad:ad)</f>
        <v>0</v>
      </c>
      <c r="AE1226">
        <f>sumif(Plan!B:B,"906-443000-110",Plan!ae:ae)</f>
        <v>0</v>
      </c>
      <c r="AF1226">
        <f>sumif(Plan!B:B,"906-443000-110",Plan!af:af)</f>
        <v>0</v>
      </c>
      <c r="AG1226">
        <f>sumif(Plan!B:B,"906-443000-110",Plan!ag:ag)</f>
        <v>0</v>
      </c>
      <c r="AH1226">
        <f>sumif(Plan!B:B,"906-443000-110",Plan!ah:ah)</f>
        <v>0</v>
      </c>
      <c r="AI1226">
        <f>sumif(Plan!B:B,"906-443000-110",Plan!ai:ai)</f>
        <v>0</v>
      </c>
      <c r="AJ1226">
        <f>sumif(Plan!B:B,"906-443000-110",Plan!aj:aj)</f>
        <v>0</v>
      </c>
      <c r="AK1226">
        <f>sumif(Plan!B:B,"906-443000-110",Plan!ak:ak)</f>
        <v>0</v>
      </c>
      <c r="AL1226">
        <f>sumif(Plan!B:B,"906-443000-110",Plan!al:al)</f>
        <v>0</v>
      </c>
      <c r="AM1226">
        <f>sumif(Plan!B:B,"906-443000-110",Plan!am:am)</f>
        <v>0</v>
      </c>
      <c r="AN1226">
        <f>sumif(Plan!B:B,"906-443000-110",Plan!an:an)</f>
        <v>0</v>
      </c>
      <c r="AO1226">
        <f>sumif(Plan!B:B,"906-443000-110",Plan!ao:ao)</f>
        <v>0</v>
      </c>
    </row>
    <row r="1227" spans="1:41">
      <c r="A1227" t="s">
        <v>17</v>
      </c>
      <c r="B1227" t="s">
        <v>805</v>
      </c>
      <c r="C1227" t="s">
        <v>806</v>
      </c>
      <c r="E1227">
        <v>1</v>
      </c>
      <c r="F1227" t="s">
        <v>13</v>
      </c>
      <c r="H1227" t="s">
        <v>16</v>
      </c>
      <c r="J1227">
        <f>indirect(address(1227,9))+indirect(address(1225,10))-indirect(address(1226,10))</f>
        <v>0</v>
      </c>
      <c r="K1227">
        <f>indirect(address(1227,10))+indirect(address(1225,11))-indirect(address(1226,11))</f>
        <v>0</v>
      </c>
      <c r="L1227">
        <f>indirect(address(1227,11))+indirect(address(1225,12))-indirect(address(1226,12))</f>
        <v>0</v>
      </c>
      <c r="M1227">
        <f>indirect(address(1227,12))+indirect(address(1225,13))-indirect(address(1226,13))</f>
        <v>0</v>
      </c>
      <c r="N1227">
        <f>indirect(address(1227,13))+indirect(address(1225,14))-indirect(address(1226,14))</f>
        <v>0</v>
      </c>
      <c r="O1227">
        <f>indirect(address(1227,14))+indirect(address(1225,15))-indirect(address(1226,15))</f>
        <v>0</v>
      </c>
      <c r="P1227">
        <f>indirect(address(1227,15))+indirect(address(1225,16))-indirect(address(1226,16))</f>
        <v>0</v>
      </c>
      <c r="Q1227">
        <f>indirect(address(1227,16))+indirect(address(1225,17))-indirect(address(1226,17))</f>
        <v>0</v>
      </c>
      <c r="R1227">
        <f>indirect(address(1227,17))+indirect(address(1225,18))-indirect(address(1226,18))</f>
        <v>0</v>
      </c>
      <c r="S1227">
        <f>indirect(address(1227,18))+indirect(address(1225,19))-indirect(address(1226,19))</f>
        <v>0</v>
      </c>
      <c r="T1227">
        <f>indirect(address(1227,19))+indirect(address(1225,20))-indirect(address(1226,20))</f>
        <v>0</v>
      </c>
      <c r="U1227">
        <f>indirect(address(1227,20))+indirect(address(1225,21))-indirect(address(1226,21))</f>
        <v>0</v>
      </c>
      <c r="V1227">
        <f>indirect(address(1227,21))+indirect(address(1225,22))-indirect(address(1226,22))</f>
        <v>0</v>
      </c>
      <c r="W1227">
        <f>indirect(address(1227,22))+indirect(address(1225,23))-indirect(address(1226,23))</f>
        <v>0</v>
      </c>
      <c r="X1227">
        <f>indirect(address(1227,23))+indirect(address(1225,24))-indirect(address(1226,24))</f>
        <v>0</v>
      </c>
      <c r="Y1227">
        <f>indirect(address(1227,24))+indirect(address(1225,25))-indirect(address(1226,25))</f>
        <v>0</v>
      </c>
      <c r="Z1227">
        <f>indirect(address(1227,25))+indirect(address(1225,26))-indirect(address(1226,26))</f>
        <v>0</v>
      </c>
      <c r="AA1227">
        <f>indirect(address(1227,26))+indirect(address(1225,27))-indirect(address(1226,27))</f>
        <v>0</v>
      </c>
      <c r="AB1227">
        <f>indirect(address(1227,27))+indirect(address(1225,28))-indirect(address(1226,28))</f>
        <v>0</v>
      </c>
      <c r="AC1227">
        <f>indirect(address(1227,28))+indirect(address(1225,29))-indirect(address(1226,29))</f>
        <v>0</v>
      </c>
      <c r="AD1227">
        <f>indirect(address(1227,29))+indirect(address(1225,30))-indirect(address(1226,30))</f>
        <v>0</v>
      </c>
      <c r="AE1227">
        <f>indirect(address(1227,30))+indirect(address(1225,31))-indirect(address(1226,31))</f>
        <v>0</v>
      </c>
      <c r="AF1227">
        <f>indirect(address(1227,31))+indirect(address(1225,32))-indirect(address(1226,32))</f>
        <v>0</v>
      </c>
      <c r="AG1227">
        <f>indirect(address(1227,32))+indirect(address(1225,33))-indirect(address(1226,33))</f>
        <v>0</v>
      </c>
      <c r="AH1227">
        <f>indirect(address(1227,33))+indirect(address(1225,34))-indirect(address(1226,34))</f>
        <v>0</v>
      </c>
      <c r="AI1227">
        <f>indirect(address(1227,34))+indirect(address(1225,35))-indirect(address(1226,35))</f>
        <v>0</v>
      </c>
      <c r="AJ1227">
        <f>indirect(address(1227,35))+indirect(address(1225,36))-indirect(address(1226,36))</f>
        <v>0</v>
      </c>
      <c r="AK1227">
        <f>indirect(address(1227,36))+indirect(address(1225,37))-indirect(address(1226,37))</f>
        <v>0</v>
      </c>
      <c r="AL1227">
        <f>indirect(address(1227,37))+indirect(address(1225,38))-indirect(address(1226,38))</f>
        <v>0</v>
      </c>
      <c r="AM1227">
        <f>indirect(address(1227,38))+indirect(address(1225,39))-indirect(address(1226,39))</f>
        <v>0</v>
      </c>
      <c r="AN1227">
        <f>indirect(address(1227,39))+indirect(address(1225,40))-indirect(address(1226,40))</f>
        <v>0</v>
      </c>
      <c r="AO1227">
        <f>indirect(address(1227,40))+indirect(address(1225,41))-indirect(address(1226,41))</f>
        <v>0</v>
      </c>
    </row>
    <row r="1228" spans="1:41">
      <c r="I1228" t="s">
        <v>14</v>
      </c>
      <c r="AO1228">
        <f>sum(j1228:an1228)</f>
        <v>0</v>
      </c>
    </row>
    <row r="1229" spans="1:41">
      <c r="I1229" t="s">
        <v>15</v>
      </c>
      <c r="J1229">
        <f>sumif(Plan!B:B,"211-025600-000",Plan!j:j)</f>
        <v>0</v>
      </c>
      <c r="K1229">
        <f>sumif(Plan!B:B,"211-025600-000",Plan!k:k)</f>
        <v>0</v>
      </c>
      <c r="L1229">
        <f>sumif(Plan!B:B,"211-025600-000",Plan!l:l)</f>
        <v>0</v>
      </c>
      <c r="M1229">
        <f>sumif(Plan!B:B,"211-025600-000",Plan!m:m)</f>
        <v>0</v>
      </c>
      <c r="N1229">
        <f>sumif(Plan!B:B,"211-025600-000",Plan!n:n)</f>
        <v>0</v>
      </c>
      <c r="O1229">
        <f>sumif(Plan!B:B,"211-025600-000",Plan!o:o)</f>
        <v>0</v>
      </c>
      <c r="P1229">
        <f>sumif(Plan!B:B,"211-025600-000",Plan!p:p)</f>
        <v>0</v>
      </c>
      <c r="Q1229">
        <f>sumif(Plan!B:B,"211-025600-000",Plan!q:q)</f>
        <v>0</v>
      </c>
      <c r="R1229">
        <f>sumif(Plan!B:B,"211-025600-000",Plan!r:r)</f>
        <v>0</v>
      </c>
      <c r="S1229">
        <f>sumif(Plan!B:B,"211-025600-000",Plan!s:s)</f>
        <v>0</v>
      </c>
      <c r="T1229">
        <f>sumif(Plan!B:B,"211-025600-000",Plan!t:t)</f>
        <v>0</v>
      </c>
      <c r="U1229">
        <f>sumif(Plan!B:B,"211-025600-000",Plan!u:u)</f>
        <v>0</v>
      </c>
      <c r="V1229">
        <f>sumif(Plan!B:B,"211-025600-000",Plan!v:v)</f>
        <v>0</v>
      </c>
      <c r="W1229">
        <f>sumif(Plan!B:B,"211-025600-000",Plan!w:w)</f>
        <v>0</v>
      </c>
      <c r="X1229">
        <f>sumif(Plan!B:B,"211-025600-000",Plan!x:x)</f>
        <v>0</v>
      </c>
      <c r="Y1229">
        <f>sumif(Plan!B:B,"211-025600-000",Plan!y:y)</f>
        <v>0</v>
      </c>
      <c r="Z1229">
        <f>sumif(Plan!B:B,"211-025600-000",Plan!z:z)</f>
        <v>0</v>
      </c>
      <c r="AA1229">
        <f>sumif(Plan!B:B,"211-025600-000",Plan!aa:aa)</f>
        <v>0</v>
      </c>
      <c r="AB1229">
        <f>sumif(Plan!B:B,"211-025600-000",Plan!ab:ab)</f>
        <v>0</v>
      </c>
      <c r="AC1229">
        <f>sumif(Plan!B:B,"211-025600-000",Plan!ac:ac)</f>
        <v>0</v>
      </c>
      <c r="AD1229">
        <f>sumif(Plan!B:B,"211-025600-000",Plan!ad:ad)</f>
        <v>0</v>
      </c>
      <c r="AE1229">
        <f>sumif(Plan!B:B,"211-025600-000",Plan!ae:ae)</f>
        <v>0</v>
      </c>
      <c r="AF1229">
        <f>sumif(Plan!B:B,"211-025600-000",Plan!af:af)</f>
        <v>0</v>
      </c>
      <c r="AG1229">
        <f>sumif(Plan!B:B,"211-025600-000",Plan!ag:ag)</f>
        <v>0</v>
      </c>
      <c r="AH1229">
        <f>sumif(Plan!B:B,"211-025600-000",Plan!ah:ah)</f>
        <v>0</v>
      </c>
      <c r="AI1229">
        <f>sumif(Plan!B:B,"211-025600-000",Plan!ai:ai)</f>
        <v>0</v>
      </c>
      <c r="AJ1229">
        <f>sumif(Plan!B:B,"211-025600-000",Plan!aj:aj)</f>
        <v>0</v>
      </c>
      <c r="AK1229">
        <f>sumif(Plan!B:B,"211-025600-000",Plan!ak:ak)</f>
        <v>0</v>
      </c>
      <c r="AL1229">
        <f>sumif(Plan!B:B,"211-025600-000",Plan!al:al)</f>
        <v>0</v>
      </c>
      <c r="AM1229">
        <f>sumif(Plan!B:B,"211-025600-000",Plan!am:am)</f>
        <v>0</v>
      </c>
      <c r="AN1229">
        <f>sumif(Plan!B:B,"211-025600-000",Plan!an:an)</f>
        <v>0</v>
      </c>
      <c r="AO1229">
        <f>sumif(Plan!B:B,"211-025600-000",Plan!ao:ao)</f>
        <v>0</v>
      </c>
    </row>
    <row r="1230" spans="1:41">
      <c r="A1230" t="s">
        <v>22</v>
      </c>
      <c r="B1230" t="s">
        <v>807</v>
      </c>
      <c r="C1230" t="s">
        <v>808</v>
      </c>
      <c r="E1230">
        <v>1</v>
      </c>
      <c r="F1230" t="s">
        <v>13</v>
      </c>
      <c r="H1230" t="s">
        <v>16</v>
      </c>
      <c r="J1230">
        <f>indirect(address(1230,9))+indirect(address(1228,10))-indirect(address(1229,10))</f>
        <v>0</v>
      </c>
      <c r="K1230">
        <f>indirect(address(1230,10))+indirect(address(1228,11))-indirect(address(1229,11))</f>
        <v>0</v>
      </c>
      <c r="L1230">
        <f>indirect(address(1230,11))+indirect(address(1228,12))-indirect(address(1229,12))</f>
        <v>0</v>
      </c>
      <c r="M1230">
        <f>indirect(address(1230,12))+indirect(address(1228,13))-indirect(address(1229,13))</f>
        <v>0</v>
      </c>
      <c r="N1230">
        <f>indirect(address(1230,13))+indirect(address(1228,14))-indirect(address(1229,14))</f>
        <v>0</v>
      </c>
      <c r="O1230">
        <f>indirect(address(1230,14))+indirect(address(1228,15))-indirect(address(1229,15))</f>
        <v>0</v>
      </c>
      <c r="P1230">
        <f>indirect(address(1230,15))+indirect(address(1228,16))-indirect(address(1229,16))</f>
        <v>0</v>
      </c>
      <c r="Q1230">
        <f>indirect(address(1230,16))+indirect(address(1228,17))-indirect(address(1229,17))</f>
        <v>0</v>
      </c>
      <c r="R1230">
        <f>indirect(address(1230,17))+indirect(address(1228,18))-indirect(address(1229,18))</f>
        <v>0</v>
      </c>
      <c r="S1230">
        <f>indirect(address(1230,18))+indirect(address(1228,19))-indirect(address(1229,19))</f>
        <v>0</v>
      </c>
      <c r="T1230">
        <f>indirect(address(1230,19))+indirect(address(1228,20))-indirect(address(1229,20))</f>
        <v>0</v>
      </c>
      <c r="U1230">
        <f>indirect(address(1230,20))+indirect(address(1228,21))-indirect(address(1229,21))</f>
        <v>0</v>
      </c>
      <c r="V1230">
        <f>indirect(address(1230,21))+indirect(address(1228,22))-indirect(address(1229,22))</f>
        <v>0</v>
      </c>
      <c r="W1230">
        <f>indirect(address(1230,22))+indirect(address(1228,23))-indirect(address(1229,23))</f>
        <v>0</v>
      </c>
      <c r="X1230">
        <f>indirect(address(1230,23))+indirect(address(1228,24))-indirect(address(1229,24))</f>
        <v>0</v>
      </c>
      <c r="Y1230">
        <f>indirect(address(1230,24))+indirect(address(1228,25))-indirect(address(1229,25))</f>
        <v>0</v>
      </c>
      <c r="Z1230">
        <f>indirect(address(1230,25))+indirect(address(1228,26))-indirect(address(1229,26))</f>
        <v>0</v>
      </c>
      <c r="AA1230">
        <f>indirect(address(1230,26))+indirect(address(1228,27))-indirect(address(1229,27))</f>
        <v>0</v>
      </c>
      <c r="AB1230">
        <f>indirect(address(1230,27))+indirect(address(1228,28))-indirect(address(1229,28))</f>
        <v>0</v>
      </c>
      <c r="AC1230">
        <f>indirect(address(1230,28))+indirect(address(1228,29))-indirect(address(1229,29))</f>
        <v>0</v>
      </c>
      <c r="AD1230">
        <f>indirect(address(1230,29))+indirect(address(1228,30))-indirect(address(1229,30))</f>
        <v>0</v>
      </c>
      <c r="AE1230">
        <f>indirect(address(1230,30))+indirect(address(1228,31))-indirect(address(1229,31))</f>
        <v>0</v>
      </c>
      <c r="AF1230">
        <f>indirect(address(1230,31))+indirect(address(1228,32))-indirect(address(1229,32))</f>
        <v>0</v>
      </c>
      <c r="AG1230">
        <f>indirect(address(1230,32))+indirect(address(1228,33))-indirect(address(1229,33))</f>
        <v>0</v>
      </c>
      <c r="AH1230">
        <f>indirect(address(1230,33))+indirect(address(1228,34))-indirect(address(1229,34))</f>
        <v>0</v>
      </c>
      <c r="AI1230">
        <f>indirect(address(1230,34))+indirect(address(1228,35))-indirect(address(1229,35))</f>
        <v>0</v>
      </c>
      <c r="AJ1230">
        <f>indirect(address(1230,35))+indirect(address(1228,36))-indirect(address(1229,36))</f>
        <v>0</v>
      </c>
      <c r="AK1230">
        <f>indirect(address(1230,36))+indirect(address(1228,37))-indirect(address(1229,37))</f>
        <v>0</v>
      </c>
      <c r="AL1230">
        <f>indirect(address(1230,37))+indirect(address(1228,38))-indirect(address(1229,38))</f>
        <v>0</v>
      </c>
      <c r="AM1230">
        <f>indirect(address(1230,38))+indirect(address(1228,39))-indirect(address(1229,39))</f>
        <v>0</v>
      </c>
      <c r="AN1230">
        <f>indirect(address(1230,39))+indirect(address(1228,40))-indirect(address(1229,40))</f>
        <v>0</v>
      </c>
      <c r="AO1230">
        <f>indirect(address(1230,40))+indirect(address(1228,41))-indirect(address(1229,41))</f>
        <v>0</v>
      </c>
    </row>
    <row r="1231" spans="1:41">
      <c r="I1231" t="s">
        <v>14</v>
      </c>
      <c r="AO1231">
        <f>sum(j1231:an1231)</f>
        <v>0</v>
      </c>
    </row>
    <row r="1232" spans="1:41">
      <c r="I1232" t="s">
        <v>15</v>
      </c>
      <c r="J1232">
        <f>sumif(Plan!B:B,"211-070000-105",Plan!j:j)</f>
        <v>0</v>
      </c>
      <c r="K1232">
        <f>sumif(Plan!B:B,"211-070000-105",Plan!k:k)</f>
        <v>0</v>
      </c>
      <c r="L1232">
        <f>sumif(Plan!B:B,"211-070000-105",Plan!l:l)</f>
        <v>0</v>
      </c>
      <c r="M1232">
        <f>sumif(Plan!B:B,"211-070000-105",Plan!m:m)</f>
        <v>0</v>
      </c>
      <c r="N1232">
        <f>sumif(Plan!B:B,"211-070000-105",Plan!n:n)</f>
        <v>0</v>
      </c>
      <c r="O1232">
        <f>sumif(Plan!B:B,"211-070000-105",Plan!o:o)</f>
        <v>0</v>
      </c>
      <c r="P1232">
        <f>sumif(Plan!B:B,"211-070000-105",Plan!p:p)</f>
        <v>0</v>
      </c>
      <c r="Q1232">
        <f>sumif(Plan!B:B,"211-070000-105",Plan!q:q)</f>
        <v>0</v>
      </c>
      <c r="R1232">
        <f>sumif(Plan!B:B,"211-070000-105",Plan!r:r)</f>
        <v>0</v>
      </c>
      <c r="S1232">
        <f>sumif(Plan!B:B,"211-070000-105",Plan!s:s)</f>
        <v>0</v>
      </c>
      <c r="T1232">
        <f>sumif(Plan!B:B,"211-070000-105",Plan!t:t)</f>
        <v>0</v>
      </c>
      <c r="U1232">
        <f>sumif(Plan!B:B,"211-070000-105",Plan!u:u)</f>
        <v>0</v>
      </c>
      <c r="V1232">
        <f>sumif(Plan!B:B,"211-070000-105",Plan!v:v)</f>
        <v>0</v>
      </c>
      <c r="W1232">
        <f>sumif(Plan!B:B,"211-070000-105",Plan!w:w)</f>
        <v>0</v>
      </c>
      <c r="X1232">
        <f>sumif(Plan!B:B,"211-070000-105",Plan!x:x)</f>
        <v>0</v>
      </c>
      <c r="Y1232">
        <f>sumif(Plan!B:B,"211-070000-105",Plan!y:y)</f>
        <v>0</v>
      </c>
      <c r="Z1232">
        <f>sumif(Plan!B:B,"211-070000-105",Plan!z:z)</f>
        <v>0</v>
      </c>
      <c r="AA1232">
        <f>sumif(Plan!B:B,"211-070000-105",Plan!aa:aa)</f>
        <v>0</v>
      </c>
      <c r="AB1232">
        <f>sumif(Plan!B:B,"211-070000-105",Plan!ab:ab)</f>
        <v>0</v>
      </c>
      <c r="AC1232">
        <f>sumif(Plan!B:B,"211-070000-105",Plan!ac:ac)</f>
        <v>0</v>
      </c>
      <c r="AD1232">
        <f>sumif(Plan!B:B,"211-070000-105",Plan!ad:ad)</f>
        <v>0</v>
      </c>
      <c r="AE1232">
        <f>sumif(Plan!B:B,"211-070000-105",Plan!ae:ae)</f>
        <v>0</v>
      </c>
      <c r="AF1232">
        <f>sumif(Plan!B:B,"211-070000-105",Plan!af:af)</f>
        <v>0</v>
      </c>
      <c r="AG1232">
        <f>sumif(Plan!B:B,"211-070000-105",Plan!ag:ag)</f>
        <v>0</v>
      </c>
      <c r="AH1232">
        <f>sumif(Plan!B:B,"211-070000-105",Plan!ah:ah)</f>
        <v>0</v>
      </c>
      <c r="AI1232">
        <f>sumif(Plan!B:B,"211-070000-105",Plan!ai:ai)</f>
        <v>0</v>
      </c>
      <c r="AJ1232">
        <f>sumif(Plan!B:B,"211-070000-105",Plan!aj:aj)</f>
        <v>0</v>
      </c>
      <c r="AK1232">
        <f>sumif(Plan!B:B,"211-070000-105",Plan!ak:ak)</f>
        <v>0</v>
      </c>
      <c r="AL1232">
        <f>sumif(Plan!B:B,"211-070000-105",Plan!al:al)</f>
        <v>0</v>
      </c>
      <c r="AM1232">
        <f>sumif(Plan!B:B,"211-070000-105",Plan!am:am)</f>
        <v>0</v>
      </c>
      <c r="AN1232">
        <f>sumif(Plan!B:B,"211-070000-105",Plan!an:an)</f>
        <v>0</v>
      </c>
      <c r="AO1232">
        <f>sumif(Plan!B:B,"211-070000-105",Plan!ao:ao)</f>
        <v>0</v>
      </c>
    </row>
    <row r="1233" spans="1:41">
      <c r="A1233" t="s">
        <v>22</v>
      </c>
      <c r="B1233" t="s">
        <v>809</v>
      </c>
      <c r="C1233" t="s">
        <v>810</v>
      </c>
      <c r="E1233">
        <v>0.25</v>
      </c>
      <c r="F1233" t="s">
        <v>13</v>
      </c>
      <c r="H1233" t="s">
        <v>16</v>
      </c>
      <c r="J1233">
        <f>indirect(address(1233,9))+indirect(address(1231,10))-indirect(address(1232,10))</f>
        <v>0</v>
      </c>
      <c r="K1233">
        <f>indirect(address(1233,10))+indirect(address(1231,11))-indirect(address(1232,11))</f>
        <v>0</v>
      </c>
      <c r="L1233">
        <f>indirect(address(1233,11))+indirect(address(1231,12))-indirect(address(1232,12))</f>
        <v>0</v>
      </c>
      <c r="M1233">
        <f>indirect(address(1233,12))+indirect(address(1231,13))-indirect(address(1232,13))</f>
        <v>0</v>
      </c>
      <c r="N1233">
        <f>indirect(address(1233,13))+indirect(address(1231,14))-indirect(address(1232,14))</f>
        <v>0</v>
      </c>
      <c r="O1233">
        <f>indirect(address(1233,14))+indirect(address(1231,15))-indirect(address(1232,15))</f>
        <v>0</v>
      </c>
      <c r="P1233">
        <f>indirect(address(1233,15))+indirect(address(1231,16))-indirect(address(1232,16))</f>
        <v>0</v>
      </c>
      <c r="Q1233">
        <f>indirect(address(1233,16))+indirect(address(1231,17))-indirect(address(1232,17))</f>
        <v>0</v>
      </c>
      <c r="R1233">
        <f>indirect(address(1233,17))+indirect(address(1231,18))-indirect(address(1232,18))</f>
        <v>0</v>
      </c>
      <c r="S1233">
        <f>indirect(address(1233,18))+indirect(address(1231,19))-indirect(address(1232,19))</f>
        <v>0</v>
      </c>
      <c r="T1233">
        <f>indirect(address(1233,19))+indirect(address(1231,20))-indirect(address(1232,20))</f>
        <v>0</v>
      </c>
      <c r="U1233">
        <f>indirect(address(1233,20))+indirect(address(1231,21))-indirect(address(1232,21))</f>
        <v>0</v>
      </c>
      <c r="V1233">
        <f>indirect(address(1233,21))+indirect(address(1231,22))-indirect(address(1232,22))</f>
        <v>0</v>
      </c>
      <c r="W1233">
        <f>indirect(address(1233,22))+indirect(address(1231,23))-indirect(address(1232,23))</f>
        <v>0</v>
      </c>
      <c r="X1233">
        <f>indirect(address(1233,23))+indirect(address(1231,24))-indirect(address(1232,24))</f>
        <v>0</v>
      </c>
      <c r="Y1233">
        <f>indirect(address(1233,24))+indirect(address(1231,25))-indirect(address(1232,25))</f>
        <v>0</v>
      </c>
      <c r="Z1233">
        <f>indirect(address(1233,25))+indirect(address(1231,26))-indirect(address(1232,26))</f>
        <v>0</v>
      </c>
      <c r="AA1233">
        <f>indirect(address(1233,26))+indirect(address(1231,27))-indirect(address(1232,27))</f>
        <v>0</v>
      </c>
      <c r="AB1233">
        <f>indirect(address(1233,27))+indirect(address(1231,28))-indirect(address(1232,28))</f>
        <v>0</v>
      </c>
      <c r="AC1233">
        <f>indirect(address(1233,28))+indirect(address(1231,29))-indirect(address(1232,29))</f>
        <v>0</v>
      </c>
      <c r="AD1233">
        <f>indirect(address(1233,29))+indirect(address(1231,30))-indirect(address(1232,30))</f>
        <v>0</v>
      </c>
      <c r="AE1233">
        <f>indirect(address(1233,30))+indirect(address(1231,31))-indirect(address(1232,31))</f>
        <v>0</v>
      </c>
      <c r="AF1233">
        <f>indirect(address(1233,31))+indirect(address(1231,32))-indirect(address(1232,32))</f>
        <v>0</v>
      </c>
      <c r="AG1233">
        <f>indirect(address(1233,32))+indirect(address(1231,33))-indirect(address(1232,33))</f>
        <v>0</v>
      </c>
      <c r="AH1233">
        <f>indirect(address(1233,33))+indirect(address(1231,34))-indirect(address(1232,34))</f>
        <v>0</v>
      </c>
      <c r="AI1233">
        <f>indirect(address(1233,34))+indirect(address(1231,35))-indirect(address(1232,35))</f>
        <v>0</v>
      </c>
      <c r="AJ1233">
        <f>indirect(address(1233,35))+indirect(address(1231,36))-indirect(address(1232,36))</f>
        <v>0</v>
      </c>
      <c r="AK1233">
        <f>indirect(address(1233,36))+indirect(address(1231,37))-indirect(address(1232,37))</f>
        <v>0</v>
      </c>
      <c r="AL1233">
        <f>indirect(address(1233,37))+indirect(address(1231,38))-indirect(address(1232,38))</f>
        <v>0</v>
      </c>
      <c r="AM1233">
        <f>indirect(address(1233,38))+indirect(address(1231,39))-indirect(address(1232,39))</f>
        <v>0</v>
      </c>
      <c r="AN1233">
        <f>indirect(address(1233,39))+indirect(address(1231,40))-indirect(address(1232,40))</f>
        <v>0</v>
      </c>
      <c r="AO1233">
        <f>indirect(address(1233,40))+indirect(address(1231,41))-indirect(address(1232,41))</f>
        <v>0</v>
      </c>
    </row>
    <row r="1234" spans="1:41">
      <c r="I1234" t="s">
        <v>14</v>
      </c>
      <c r="AO1234">
        <f>sum(j1234:an1234)</f>
        <v>0</v>
      </c>
    </row>
    <row r="1235" spans="1:41">
      <c r="I1235" t="s">
        <v>15</v>
      </c>
      <c r="J1235">
        <f>sumif(Plan!B:B,"906-444000-110",Plan!j:j)</f>
        <v>0</v>
      </c>
      <c r="K1235">
        <f>sumif(Plan!B:B,"906-444000-110",Plan!k:k)</f>
        <v>0</v>
      </c>
      <c r="L1235">
        <f>sumif(Plan!B:B,"906-444000-110",Plan!l:l)</f>
        <v>0</v>
      </c>
      <c r="M1235">
        <f>sumif(Plan!B:B,"906-444000-110",Plan!m:m)</f>
        <v>0</v>
      </c>
      <c r="N1235">
        <f>sumif(Plan!B:B,"906-444000-110",Plan!n:n)</f>
        <v>0</v>
      </c>
      <c r="O1235">
        <f>sumif(Plan!B:B,"906-444000-110",Plan!o:o)</f>
        <v>0</v>
      </c>
      <c r="P1235">
        <f>sumif(Plan!B:B,"906-444000-110",Plan!p:p)</f>
        <v>0</v>
      </c>
      <c r="Q1235">
        <f>sumif(Plan!B:B,"906-444000-110",Plan!q:q)</f>
        <v>0</v>
      </c>
      <c r="R1235">
        <f>sumif(Plan!B:B,"906-444000-110",Plan!r:r)</f>
        <v>0</v>
      </c>
      <c r="S1235">
        <f>sumif(Plan!B:B,"906-444000-110",Plan!s:s)</f>
        <v>0</v>
      </c>
      <c r="T1235">
        <f>sumif(Plan!B:B,"906-444000-110",Plan!t:t)</f>
        <v>0</v>
      </c>
      <c r="U1235">
        <f>sumif(Plan!B:B,"906-444000-110",Plan!u:u)</f>
        <v>0</v>
      </c>
      <c r="V1235">
        <f>sumif(Plan!B:B,"906-444000-110",Plan!v:v)</f>
        <v>0</v>
      </c>
      <c r="W1235">
        <f>sumif(Plan!B:B,"906-444000-110",Plan!w:w)</f>
        <v>0</v>
      </c>
      <c r="X1235">
        <f>sumif(Plan!B:B,"906-444000-110",Plan!x:x)</f>
        <v>0</v>
      </c>
      <c r="Y1235">
        <f>sumif(Plan!B:B,"906-444000-110",Plan!y:y)</f>
        <v>0</v>
      </c>
      <c r="Z1235">
        <f>sumif(Plan!B:B,"906-444000-110",Plan!z:z)</f>
        <v>0</v>
      </c>
      <c r="AA1235">
        <f>sumif(Plan!B:B,"906-444000-110",Plan!aa:aa)</f>
        <v>0</v>
      </c>
      <c r="AB1235">
        <f>sumif(Plan!B:B,"906-444000-110",Plan!ab:ab)</f>
        <v>0</v>
      </c>
      <c r="AC1235">
        <f>sumif(Plan!B:B,"906-444000-110",Plan!ac:ac)</f>
        <v>0</v>
      </c>
      <c r="AD1235">
        <f>sumif(Plan!B:B,"906-444000-110",Plan!ad:ad)</f>
        <v>0</v>
      </c>
      <c r="AE1235">
        <f>sumif(Plan!B:B,"906-444000-110",Plan!ae:ae)</f>
        <v>0</v>
      </c>
      <c r="AF1235">
        <f>sumif(Plan!B:B,"906-444000-110",Plan!af:af)</f>
        <v>0</v>
      </c>
      <c r="AG1235">
        <f>sumif(Plan!B:B,"906-444000-110",Plan!ag:ag)</f>
        <v>0</v>
      </c>
      <c r="AH1235">
        <f>sumif(Plan!B:B,"906-444000-110",Plan!ah:ah)</f>
        <v>0</v>
      </c>
      <c r="AI1235">
        <f>sumif(Plan!B:B,"906-444000-110",Plan!ai:ai)</f>
        <v>0</v>
      </c>
      <c r="AJ1235">
        <f>sumif(Plan!B:B,"906-444000-110",Plan!aj:aj)</f>
        <v>0</v>
      </c>
      <c r="AK1235">
        <f>sumif(Plan!B:B,"906-444000-110",Plan!ak:ak)</f>
        <v>0</v>
      </c>
      <c r="AL1235">
        <f>sumif(Plan!B:B,"906-444000-110",Plan!al:al)</f>
        <v>0</v>
      </c>
      <c r="AM1235">
        <f>sumif(Plan!B:B,"906-444000-110",Plan!am:am)</f>
        <v>0</v>
      </c>
      <c r="AN1235">
        <f>sumif(Plan!B:B,"906-444000-110",Plan!an:an)</f>
        <v>0</v>
      </c>
      <c r="AO1235">
        <f>sumif(Plan!B:B,"906-444000-110",Plan!ao:ao)</f>
        <v>0</v>
      </c>
    </row>
    <row r="1236" spans="1:41">
      <c r="A1236" t="s">
        <v>17</v>
      </c>
      <c r="B1236" t="s">
        <v>812</v>
      </c>
      <c r="C1236" t="s">
        <v>806</v>
      </c>
      <c r="E1236">
        <v>1</v>
      </c>
      <c r="F1236" t="s">
        <v>13</v>
      </c>
      <c r="H1236" t="s">
        <v>16</v>
      </c>
      <c r="J1236">
        <f>indirect(address(1236,9))+indirect(address(1234,10))-indirect(address(1235,10))</f>
        <v>0</v>
      </c>
      <c r="K1236">
        <f>indirect(address(1236,10))+indirect(address(1234,11))-indirect(address(1235,11))</f>
        <v>0</v>
      </c>
      <c r="L1236">
        <f>indirect(address(1236,11))+indirect(address(1234,12))-indirect(address(1235,12))</f>
        <v>0</v>
      </c>
      <c r="M1236">
        <f>indirect(address(1236,12))+indirect(address(1234,13))-indirect(address(1235,13))</f>
        <v>0</v>
      </c>
      <c r="N1236">
        <f>indirect(address(1236,13))+indirect(address(1234,14))-indirect(address(1235,14))</f>
        <v>0</v>
      </c>
      <c r="O1236">
        <f>indirect(address(1236,14))+indirect(address(1234,15))-indirect(address(1235,15))</f>
        <v>0</v>
      </c>
      <c r="P1236">
        <f>indirect(address(1236,15))+indirect(address(1234,16))-indirect(address(1235,16))</f>
        <v>0</v>
      </c>
      <c r="Q1236">
        <f>indirect(address(1236,16))+indirect(address(1234,17))-indirect(address(1235,17))</f>
        <v>0</v>
      </c>
      <c r="R1236">
        <f>indirect(address(1236,17))+indirect(address(1234,18))-indirect(address(1235,18))</f>
        <v>0</v>
      </c>
      <c r="S1236">
        <f>indirect(address(1236,18))+indirect(address(1234,19))-indirect(address(1235,19))</f>
        <v>0</v>
      </c>
      <c r="T1236">
        <f>indirect(address(1236,19))+indirect(address(1234,20))-indirect(address(1235,20))</f>
        <v>0</v>
      </c>
      <c r="U1236">
        <f>indirect(address(1236,20))+indirect(address(1234,21))-indirect(address(1235,21))</f>
        <v>0</v>
      </c>
      <c r="V1236">
        <f>indirect(address(1236,21))+indirect(address(1234,22))-indirect(address(1235,22))</f>
        <v>0</v>
      </c>
      <c r="W1236">
        <f>indirect(address(1236,22))+indirect(address(1234,23))-indirect(address(1235,23))</f>
        <v>0</v>
      </c>
      <c r="X1236">
        <f>indirect(address(1236,23))+indirect(address(1234,24))-indirect(address(1235,24))</f>
        <v>0</v>
      </c>
      <c r="Y1236">
        <f>indirect(address(1236,24))+indirect(address(1234,25))-indirect(address(1235,25))</f>
        <v>0</v>
      </c>
      <c r="Z1236">
        <f>indirect(address(1236,25))+indirect(address(1234,26))-indirect(address(1235,26))</f>
        <v>0</v>
      </c>
      <c r="AA1236">
        <f>indirect(address(1236,26))+indirect(address(1234,27))-indirect(address(1235,27))</f>
        <v>0</v>
      </c>
      <c r="AB1236">
        <f>indirect(address(1236,27))+indirect(address(1234,28))-indirect(address(1235,28))</f>
        <v>0</v>
      </c>
      <c r="AC1236">
        <f>indirect(address(1236,28))+indirect(address(1234,29))-indirect(address(1235,29))</f>
        <v>0</v>
      </c>
      <c r="AD1236">
        <f>indirect(address(1236,29))+indirect(address(1234,30))-indirect(address(1235,30))</f>
        <v>0</v>
      </c>
      <c r="AE1236">
        <f>indirect(address(1236,30))+indirect(address(1234,31))-indirect(address(1235,31))</f>
        <v>0</v>
      </c>
      <c r="AF1236">
        <f>indirect(address(1236,31))+indirect(address(1234,32))-indirect(address(1235,32))</f>
        <v>0</v>
      </c>
      <c r="AG1236">
        <f>indirect(address(1236,32))+indirect(address(1234,33))-indirect(address(1235,33))</f>
        <v>0</v>
      </c>
      <c r="AH1236">
        <f>indirect(address(1236,33))+indirect(address(1234,34))-indirect(address(1235,34))</f>
        <v>0</v>
      </c>
      <c r="AI1236">
        <f>indirect(address(1236,34))+indirect(address(1234,35))-indirect(address(1235,35))</f>
        <v>0</v>
      </c>
      <c r="AJ1236">
        <f>indirect(address(1236,35))+indirect(address(1234,36))-indirect(address(1235,36))</f>
        <v>0</v>
      </c>
      <c r="AK1236">
        <f>indirect(address(1236,36))+indirect(address(1234,37))-indirect(address(1235,37))</f>
        <v>0</v>
      </c>
      <c r="AL1236">
        <f>indirect(address(1236,37))+indirect(address(1234,38))-indirect(address(1235,38))</f>
        <v>0</v>
      </c>
      <c r="AM1236">
        <f>indirect(address(1236,38))+indirect(address(1234,39))-indirect(address(1235,39))</f>
        <v>0</v>
      </c>
      <c r="AN1236">
        <f>indirect(address(1236,39))+indirect(address(1234,40))-indirect(address(1235,40))</f>
        <v>0</v>
      </c>
      <c r="AO1236">
        <f>indirect(address(1236,40))+indirect(address(1234,41))-indirect(address(1235,41))</f>
        <v>0</v>
      </c>
    </row>
    <row r="1237" spans="1:41">
      <c r="I1237" t="s">
        <v>14</v>
      </c>
      <c r="AO1237">
        <f>sum(j1237:an1237)</f>
        <v>0</v>
      </c>
    </row>
    <row r="1238" spans="1:41">
      <c r="I1238" t="s">
        <v>15</v>
      </c>
      <c r="J1238">
        <f>sumif(Plan!B:B,"211-025700-000",Plan!j:j)</f>
        <v>0</v>
      </c>
      <c r="K1238">
        <f>sumif(Plan!B:B,"211-025700-000",Plan!k:k)</f>
        <v>0</v>
      </c>
      <c r="L1238">
        <f>sumif(Plan!B:B,"211-025700-000",Plan!l:l)</f>
        <v>0</v>
      </c>
      <c r="M1238">
        <f>sumif(Plan!B:B,"211-025700-000",Plan!m:m)</f>
        <v>0</v>
      </c>
      <c r="N1238">
        <f>sumif(Plan!B:B,"211-025700-000",Plan!n:n)</f>
        <v>0</v>
      </c>
      <c r="O1238">
        <f>sumif(Plan!B:B,"211-025700-000",Plan!o:o)</f>
        <v>0</v>
      </c>
      <c r="P1238">
        <f>sumif(Plan!B:B,"211-025700-000",Plan!p:p)</f>
        <v>0</v>
      </c>
      <c r="Q1238">
        <f>sumif(Plan!B:B,"211-025700-000",Plan!q:q)</f>
        <v>0</v>
      </c>
      <c r="R1238">
        <f>sumif(Plan!B:B,"211-025700-000",Plan!r:r)</f>
        <v>0</v>
      </c>
      <c r="S1238">
        <f>sumif(Plan!B:B,"211-025700-000",Plan!s:s)</f>
        <v>0</v>
      </c>
      <c r="T1238">
        <f>sumif(Plan!B:B,"211-025700-000",Plan!t:t)</f>
        <v>0</v>
      </c>
      <c r="U1238">
        <f>sumif(Plan!B:B,"211-025700-000",Plan!u:u)</f>
        <v>0</v>
      </c>
      <c r="V1238">
        <f>sumif(Plan!B:B,"211-025700-000",Plan!v:v)</f>
        <v>0</v>
      </c>
      <c r="W1238">
        <f>sumif(Plan!B:B,"211-025700-000",Plan!w:w)</f>
        <v>0</v>
      </c>
      <c r="X1238">
        <f>sumif(Plan!B:B,"211-025700-000",Plan!x:x)</f>
        <v>0</v>
      </c>
      <c r="Y1238">
        <f>sumif(Plan!B:B,"211-025700-000",Plan!y:y)</f>
        <v>0</v>
      </c>
      <c r="Z1238">
        <f>sumif(Plan!B:B,"211-025700-000",Plan!z:z)</f>
        <v>0</v>
      </c>
      <c r="AA1238">
        <f>sumif(Plan!B:B,"211-025700-000",Plan!aa:aa)</f>
        <v>0</v>
      </c>
      <c r="AB1238">
        <f>sumif(Plan!B:B,"211-025700-000",Plan!ab:ab)</f>
        <v>0</v>
      </c>
      <c r="AC1238">
        <f>sumif(Plan!B:B,"211-025700-000",Plan!ac:ac)</f>
        <v>0</v>
      </c>
      <c r="AD1238">
        <f>sumif(Plan!B:B,"211-025700-000",Plan!ad:ad)</f>
        <v>0</v>
      </c>
      <c r="AE1238">
        <f>sumif(Plan!B:B,"211-025700-000",Plan!ae:ae)</f>
        <v>0</v>
      </c>
      <c r="AF1238">
        <f>sumif(Plan!B:B,"211-025700-000",Plan!af:af)</f>
        <v>0</v>
      </c>
      <c r="AG1238">
        <f>sumif(Plan!B:B,"211-025700-000",Plan!ag:ag)</f>
        <v>0</v>
      </c>
      <c r="AH1238">
        <f>sumif(Plan!B:B,"211-025700-000",Plan!ah:ah)</f>
        <v>0</v>
      </c>
      <c r="AI1238">
        <f>sumif(Plan!B:B,"211-025700-000",Plan!ai:ai)</f>
        <v>0</v>
      </c>
      <c r="AJ1238">
        <f>sumif(Plan!B:B,"211-025700-000",Plan!aj:aj)</f>
        <v>0</v>
      </c>
      <c r="AK1238">
        <f>sumif(Plan!B:B,"211-025700-000",Plan!ak:ak)</f>
        <v>0</v>
      </c>
      <c r="AL1238">
        <f>sumif(Plan!B:B,"211-025700-000",Plan!al:al)</f>
        <v>0</v>
      </c>
      <c r="AM1238">
        <f>sumif(Plan!B:B,"211-025700-000",Plan!am:am)</f>
        <v>0</v>
      </c>
      <c r="AN1238">
        <f>sumif(Plan!B:B,"211-025700-000",Plan!an:an)</f>
        <v>0</v>
      </c>
      <c r="AO1238">
        <f>sumif(Plan!B:B,"211-025700-000",Plan!ao:ao)</f>
        <v>0</v>
      </c>
    </row>
    <row r="1239" spans="1:41">
      <c r="A1239" t="s">
        <v>22</v>
      </c>
      <c r="B1239" t="s">
        <v>813</v>
      </c>
      <c r="C1239" t="s">
        <v>808</v>
      </c>
      <c r="E1239">
        <v>1</v>
      </c>
      <c r="F1239" t="s">
        <v>13</v>
      </c>
      <c r="H1239" t="s">
        <v>16</v>
      </c>
      <c r="J1239">
        <f>indirect(address(1239,9))+indirect(address(1237,10))-indirect(address(1238,10))</f>
        <v>0</v>
      </c>
      <c r="K1239">
        <f>indirect(address(1239,10))+indirect(address(1237,11))-indirect(address(1238,11))</f>
        <v>0</v>
      </c>
      <c r="L1239">
        <f>indirect(address(1239,11))+indirect(address(1237,12))-indirect(address(1238,12))</f>
        <v>0</v>
      </c>
      <c r="M1239">
        <f>indirect(address(1239,12))+indirect(address(1237,13))-indirect(address(1238,13))</f>
        <v>0</v>
      </c>
      <c r="N1239">
        <f>indirect(address(1239,13))+indirect(address(1237,14))-indirect(address(1238,14))</f>
        <v>0</v>
      </c>
      <c r="O1239">
        <f>indirect(address(1239,14))+indirect(address(1237,15))-indirect(address(1238,15))</f>
        <v>0</v>
      </c>
      <c r="P1239">
        <f>indirect(address(1239,15))+indirect(address(1237,16))-indirect(address(1238,16))</f>
        <v>0</v>
      </c>
      <c r="Q1239">
        <f>indirect(address(1239,16))+indirect(address(1237,17))-indirect(address(1238,17))</f>
        <v>0</v>
      </c>
      <c r="R1239">
        <f>indirect(address(1239,17))+indirect(address(1237,18))-indirect(address(1238,18))</f>
        <v>0</v>
      </c>
      <c r="S1239">
        <f>indirect(address(1239,18))+indirect(address(1237,19))-indirect(address(1238,19))</f>
        <v>0</v>
      </c>
      <c r="T1239">
        <f>indirect(address(1239,19))+indirect(address(1237,20))-indirect(address(1238,20))</f>
        <v>0</v>
      </c>
      <c r="U1239">
        <f>indirect(address(1239,20))+indirect(address(1237,21))-indirect(address(1238,21))</f>
        <v>0</v>
      </c>
      <c r="V1239">
        <f>indirect(address(1239,21))+indirect(address(1237,22))-indirect(address(1238,22))</f>
        <v>0</v>
      </c>
      <c r="W1239">
        <f>indirect(address(1239,22))+indirect(address(1237,23))-indirect(address(1238,23))</f>
        <v>0</v>
      </c>
      <c r="X1239">
        <f>indirect(address(1239,23))+indirect(address(1237,24))-indirect(address(1238,24))</f>
        <v>0</v>
      </c>
      <c r="Y1239">
        <f>indirect(address(1239,24))+indirect(address(1237,25))-indirect(address(1238,25))</f>
        <v>0</v>
      </c>
      <c r="Z1239">
        <f>indirect(address(1239,25))+indirect(address(1237,26))-indirect(address(1238,26))</f>
        <v>0</v>
      </c>
      <c r="AA1239">
        <f>indirect(address(1239,26))+indirect(address(1237,27))-indirect(address(1238,27))</f>
        <v>0</v>
      </c>
      <c r="AB1239">
        <f>indirect(address(1239,27))+indirect(address(1237,28))-indirect(address(1238,28))</f>
        <v>0</v>
      </c>
      <c r="AC1239">
        <f>indirect(address(1239,28))+indirect(address(1237,29))-indirect(address(1238,29))</f>
        <v>0</v>
      </c>
      <c r="AD1239">
        <f>indirect(address(1239,29))+indirect(address(1237,30))-indirect(address(1238,30))</f>
        <v>0</v>
      </c>
      <c r="AE1239">
        <f>indirect(address(1239,30))+indirect(address(1237,31))-indirect(address(1238,31))</f>
        <v>0</v>
      </c>
      <c r="AF1239">
        <f>indirect(address(1239,31))+indirect(address(1237,32))-indirect(address(1238,32))</f>
        <v>0</v>
      </c>
      <c r="AG1239">
        <f>indirect(address(1239,32))+indirect(address(1237,33))-indirect(address(1238,33))</f>
        <v>0</v>
      </c>
      <c r="AH1239">
        <f>indirect(address(1239,33))+indirect(address(1237,34))-indirect(address(1238,34))</f>
        <v>0</v>
      </c>
      <c r="AI1239">
        <f>indirect(address(1239,34))+indirect(address(1237,35))-indirect(address(1238,35))</f>
        <v>0</v>
      </c>
      <c r="AJ1239">
        <f>indirect(address(1239,35))+indirect(address(1237,36))-indirect(address(1238,36))</f>
        <v>0</v>
      </c>
      <c r="AK1239">
        <f>indirect(address(1239,36))+indirect(address(1237,37))-indirect(address(1238,37))</f>
        <v>0</v>
      </c>
      <c r="AL1239">
        <f>indirect(address(1239,37))+indirect(address(1237,38))-indirect(address(1238,38))</f>
        <v>0</v>
      </c>
      <c r="AM1239">
        <f>indirect(address(1239,38))+indirect(address(1237,39))-indirect(address(1238,39))</f>
        <v>0</v>
      </c>
      <c r="AN1239">
        <f>indirect(address(1239,39))+indirect(address(1237,40))-indirect(address(1238,40))</f>
        <v>0</v>
      </c>
      <c r="AO1239">
        <f>indirect(address(1239,40))+indirect(address(1237,41))-indirect(address(1238,41))</f>
        <v>0</v>
      </c>
    </row>
    <row r="1240" spans="1:41">
      <c r="I1240" t="s">
        <v>14</v>
      </c>
      <c r="AO1240">
        <f>sum(j1240:an1240)</f>
        <v>0</v>
      </c>
    </row>
    <row r="1241" spans="1:41">
      <c r="I1241" t="s">
        <v>15</v>
      </c>
      <c r="J1241">
        <f>sumif(Plan!B:B,"906-337348-110",Plan!j:j)</f>
        <v>0</v>
      </c>
      <c r="K1241">
        <f>sumif(Plan!B:B,"906-337348-110",Plan!k:k)</f>
        <v>0</v>
      </c>
      <c r="L1241">
        <f>sumif(Plan!B:B,"906-337348-110",Plan!l:l)</f>
        <v>0</v>
      </c>
      <c r="M1241">
        <f>sumif(Plan!B:B,"906-337348-110",Plan!m:m)</f>
        <v>0</v>
      </c>
      <c r="N1241">
        <f>sumif(Plan!B:B,"906-337348-110",Plan!n:n)</f>
        <v>0</v>
      </c>
      <c r="O1241">
        <f>sumif(Plan!B:B,"906-337348-110",Plan!o:o)</f>
        <v>0</v>
      </c>
      <c r="P1241">
        <f>sumif(Plan!B:B,"906-337348-110",Plan!p:p)</f>
        <v>0</v>
      </c>
      <c r="Q1241">
        <f>sumif(Plan!B:B,"906-337348-110",Plan!q:q)</f>
        <v>0</v>
      </c>
      <c r="R1241">
        <f>sumif(Plan!B:B,"906-337348-110",Plan!r:r)</f>
        <v>0</v>
      </c>
      <c r="S1241">
        <f>sumif(Plan!B:B,"906-337348-110",Plan!s:s)</f>
        <v>0</v>
      </c>
      <c r="T1241">
        <f>sumif(Plan!B:B,"906-337348-110",Plan!t:t)</f>
        <v>0</v>
      </c>
      <c r="U1241">
        <f>sumif(Plan!B:B,"906-337348-110",Plan!u:u)</f>
        <v>0</v>
      </c>
      <c r="V1241">
        <f>sumif(Plan!B:B,"906-337348-110",Plan!v:v)</f>
        <v>0</v>
      </c>
      <c r="W1241">
        <f>sumif(Plan!B:B,"906-337348-110",Plan!w:w)</f>
        <v>0</v>
      </c>
      <c r="X1241">
        <f>sumif(Plan!B:B,"906-337348-110",Plan!x:x)</f>
        <v>0</v>
      </c>
      <c r="Y1241">
        <f>sumif(Plan!B:B,"906-337348-110",Plan!y:y)</f>
        <v>0</v>
      </c>
      <c r="Z1241">
        <f>sumif(Plan!B:B,"906-337348-110",Plan!z:z)</f>
        <v>0</v>
      </c>
      <c r="AA1241">
        <f>sumif(Plan!B:B,"906-337348-110",Plan!aa:aa)</f>
        <v>0</v>
      </c>
      <c r="AB1241">
        <f>sumif(Plan!B:B,"906-337348-110",Plan!ab:ab)</f>
        <v>0</v>
      </c>
      <c r="AC1241">
        <f>sumif(Plan!B:B,"906-337348-110",Plan!ac:ac)</f>
        <v>0</v>
      </c>
      <c r="AD1241">
        <f>sumif(Plan!B:B,"906-337348-110",Plan!ad:ad)</f>
        <v>0</v>
      </c>
      <c r="AE1241">
        <f>sumif(Plan!B:B,"906-337348-110",Plan!ae:ae)</f>
        <v>0</v>
      </c>
      <c r="AF1241">
        <f>sumif(Plan!B:B,"906-337348-110",Plan!af:af)</f>
        <v>0</v>
      </c>
      <c r="AG1241">
        <f>sumif(Plan!B:B,"906-337348-110",Plan!ag:ag)</f>
        <v>0</v>
      </c>
      <c r="AH1241">
        <f>sumif(Plan!B:B,"906-337348-110",Plan!ah:ah)</f>
        <v>0</v>
      </c>
      <c r="AI1241">
        <f>sumif(Plan!B:B,"906-337348-110",Plan!ai:ai)</f>
        <v>0</v>
      </c>
      <c r="AJ1241">
        <f>sumif(Plan!B:B,"906-337348-110",Plan!aj:aj)</f>
        <v>0</v>
      </c>
      <c r="AK1241">
        <f>sumif(Plan!B:B,"906-337348-110",Plan!ak:ak)</f>
        <v>0</v>
      </c>
      <c r="AL1241">
        <f>sumif(Plan!B:B,"906-337348-110",Plan!al:al)</f>
        <v>0</v>
      </c>
      <c r="AM1241">
        <f>sumif(Plan!B:B,"906-337348-110",Plan!am:am)</f>
        <v>0</v>
      </c>
      <c r="AN1241">
        <f>sumif(Plan!B:B,"906-337348-110",Plan!an:an)</f>
        <v>0</v>
      </c>
      <c r="AO1241">
        <f>sumif(Plan!B:B,"906-337348-110",Plan!ao:ao)</f>
        <v>0</v>
      </c>
    </row>
    <row r="1242" spans="1:41">
      <c r="A1242" t="s">
        <v>17</v>
      </c>
      <c r="B1242" t="s">
        <v>814</v>
      </c>
      <c r="C1242" t="s">
        <v>816</v>
      </c>
      <c r="E1242">
        <v>1</v>
      </c>
      <c r="F1242" t="s">
        <v>13</v>
      </c>
      <c r="H1242" t="s">
        <v>16</v>
      </c>
      <c r="J1242">
        <f>indirect(address(1242,9))+indirect(address(1240,10))-indirect(address(1241,10))</f>
        <v>0</v>
      </c>
      <c r="K1242">
        <f>indirect(address(1242,10))+indirect(address(1240,11))-indirect(address(1241,11))</f>
        <v>0</v>
      </c>
      <c r="L1242">
        <f>indirect(address(1242,11))+indirect(address(1240,12))-indirect(address(1241,12))</f>
        <v>0</v>
      </c>
      <c r="M1242">
        <f>indirect(address(1242,12))+indirect(address(1240,13))-indirect(address(1241,13))</f>
        <v>0</v>
      </c>
      <c r="N1242">
        <f>indirect(address(1242,13))+indirect(address(1240,14))-indirect(address(1241,14))</f>
        <v>0</v>
      </c>
      <c r="O1242">
        <f>indirect(address(1242,14))+indirect(address(1240,15))-indirect(address(1241,15))</f>
        <v>0</v>
      </c>
      <c r="P1242">
        <f>indirect(address(1242,15))+indirect(address(1240,16))-indirect(address(1241,16))</f>
        <v>0</v>
      </c>
      <c r="Q1242">
        <f>indirect(address(1242,16))+indirect(address(1240,17))-indirect(address(1241,17))</f>
        <v>0</v>
      </c>
      <c r="R1242">
        <f>indirect(address(1242,17))+indirect(address(1240,18))-indirect(address(1241,18))</f>
        <v>0</v>
      </c>
      <c r="S1242">
        <f>indirect(address(1242,18))+indirect(address(1240,19))-indirect(address(1241,19))</f>
        <v>0</v>
      </c>
      <c r="T1242">
        <f>indirect(address(1242,19))+indirect(address(1240,20))-indirect(address(1241,20))</f>
        <v>0</v>
      </c>
      <c r="U1242">
        <f>indirect(address(1242,20))+indirect(address(1240,21))-indirect(address(1241,21))</f>
        <v>0</v>
      </c>
      <c r="V1242">
        <f>indirect(address(1242,21))+indirect(address(1240,22))-indirect(address(1241,22))</f>
        <v>0</v>
      </c>
      <c r="W1242">
        <f>indirect(address(1242,22))+indirect(address(1240,23))-indirect(address(1241,23))</f>
        <v>0</v>
      </c>
      <c r="X1242">
        <f>indirect(address(1242,23))+indirect(address(1240,24))-indirect(address(1241,24))</f>
        <v>0</v>
      </c>
      <c r="Y1242">
        <f>indirect(address(1242,24))+indirect(address(1240,25))-indirect(address(1241,25))</f>
        <v>0</v>
      </c>
      <c r="Z1242">
        <f>indirect(address(1242,25))+indirect(address(1240,26))-indirect(address(1241,26))</f>
        <v>0</v>
      </c>
      <c r="AA1242">
        <f>indirect(address(1242,26))+indirect(address(1240,27))-indirect(address(1241,27))</f>
        <v>0</v>
      </c>
      <c r="AB1242">
        <f>indirect(address(1242,27))+indirect(address(1240,28))-indirect(address(1241,28))</f>
        <v>0</v>
      </c>
      <c r="AC1242">
        <f>indirect(address(1242,28))+indirect(address(1240,29))-indirect(address(1241,29))</f>
        <v>0</v>
      </c>
      <c r="AD1242">
        <f>indirect(address(1242,29))+indirect(address(1240,30))-indirect(address(1241,30))</f>
        <v>0</v>
      </c>
      <c r="AE1242">
        <f>indirect(address(1242,30))+indirect(address(1240,31))-indirect(address(1241,31))</f>
        <v>0</v>
      </c>
      <c r="AF1242">
        <f>indirect(address(1242,31))+indirect(address(1240,32))-indirect(address(1241,32))</f>
        <v>0</v>
      </c>
      <c r="AG1242">
        <f>indirect(address(1242,32))+indirect(address(1240,33))-indirect(address(1241,33))</f>
        <v>0</v>
      </c>
      <c r="AH1242">
        <f>indirect(address(1242,33))+indirect(address(1240,34))-indirect(address(1241,34))</f>
        <v>0</v>
      </c>
      <c r="AI1242">
        <f>indirect(address(1242,34))+indirect(address(1240,35))-indirect(address(1241,35))</f>
        <v>0</v>
      </c>
      <c r="AJ1242">
        <f>indirect(address(1242,35))+indirect(address(1240,36))-indirect(address(1241,36))</f>
        <v>0</v>
      </c>
      <c r="AK1242">
        <f>indirect(address(1242,36))+indirect(address(1240,37))-indirect(address(1241,37))</f>
        <v>0</v>
      </c>
      <c r="AL1242">
        <f>indirect(address(1242,37))+indirect(address(1240,38))-indirect(address(1241,38))</f>
        <v>0</v>
      </c>
      <c r="AM1242">
        <f>indirect(address(1242,38))+indirect(address(1240,39))-indirect(address(1241,39))</f>
        <v>0</v>
      </c>
      <c r="AN1242">
        <f>indirect(address(1242,39))+indirect(address(1240,40))-indirect(address(1241,40))</f>
        <v>0</v>
      </c>
      <c r="AO1242">
        <f>indirect(address(1242,40))+indirect(address(1240,41))-indirect(address(1241,41))</f>
        <v>0</v>
      </c>
    </row>
    <row r="1243" spans="1:41">
      <c r="I1243" t="s">
        <v>14</v>
      </c>
      <c r="AO1243">
        <f>sum(j1243:an1243)</f>
        <v>0</v>
      </c>
    </row>
    <row r="1244" spans="1:41">
      <c r="I1244" t="s">
        <v>15</v>
      </c>
      <c r="J1244">
        <f>sumif(Plan!B:B,"221-025800-000",Plan!j:j)</f>
        <v>0</v>
      </c>
      <c r="K1244">
        <f>sumif(Plan!B:B,"221-025800-000",Plan!k:k)</f>
        <v>0</v>
      </c>
      <c r="L1244">
        <f>sumif(Plan!B:B,"221-025800-000",Plan!l:l)</f>
        <v>0</v>
      </c>
      <c r="M1244">
        <f>sumif(Plan!B:B,"221-025800-000",Plan!m:m)</f>
        <v>0</v>
      </c>
      <c r="N1244">
        <f>sumif(Plan!B:B,"221-025800-000",Plan!n:n)</f>
        <v>0</v>
      </c>
      <c r="O1244">
        <f>sumif(Plan!B:B,"221-025800-000",Plan!o:o)</f>
        <v>0</v>
      </c>
      <c r="P1244">
        <f>sumif(Plan!B:B,"221-025800-000",Plan!p:p)</f>
        <v>0</v>
      </c>
      <c r="Q1244">
        <f>sumif(Plan!B:B,"221-025800-000",Plan!q:q)</f>
        <v>0</v>
      </c>
      <c r="R1244">
        <f>sumif(Plan!B:B,"221-025800-000",Plan!r:r)</f>
        <v>0</v>
      </c>
      <c r="S1244">
        <f>sumif(Plan!B:B,"221-025800-000",Plan!s:s)</f>
        <v>0</v>
      </c>
      <c r="T1244">
        <f>sumif(Plan!B:B,"221-025800-000",Plan!t:t)</f>
        <v>0</v>
      </c>
      <c r="U1244">
        <f>sumif(Plan!B:B,"221-025800-000",Plan!u:u)</f>
        <v>0</v>
      </c>
      <c r="V1244">
        <f>sumif(Plan!B:B,"221-025800-000",Plan!v:v)</f>
        <v>0</v>
      </c>
      <c r="W1244">
        <f>sumif(Plan!B:B,"221-025800-000",Plan!w:w)</f>
        <v>0</v>
      </c>
      <c r="X1244">
        <f>sumif(Plan!B:B,"221-025800-000",Plan!x:x)</f>
        <v>0</v>
      </c>
      <c r="Y1244">
        <f>sumif(Plan!B:B,"221-025800-000",Plan!y:y)</f>
        <v>0</v>
      </c>
      <c r="Z1244">
        <f>sumif(Plan!B:B,"221-025800-000",Plan!z:z)</f>
        <v>0</v>
      </c>
      <c r="AA1244">
        <f>sumif(Plan!B:B,"221-025800-000",Plan!aa:aa)</f>
        <v>0</v>
      </c>
      <c r="AB1244">
        <f>sumif(Plan!B:B,"221-025800-000",Plan!ab:ab)</f>
        <v>0</v>
      </c>
      <c r="AC1244">
        <f>sumif(Plan!B:B,"221-025800-000",Plan!ac:ac)</f>
        <v>0</v>
      </c>
      <c r="AD1244">
        <f>sumif(Plan!B:B,"221-025800-000",Plan!ad:ad)</f>
        <v>0</v>
      </c>
      <c r="AE1244">
        <f>sumif(Plan!B:B,"221-025800-000",Plan!ae:ae)</f>
        <v>0</v>
      </c>
      <c r="AF1244">
        <f>sumif(Plan!B:B,"221-025800-000",Plan!af:af)</f>
        <v>0</v>
      </c>
      <c r="AG1244">
        <f>sumif(Plan!B:B,"221-025800-000",Plan!ag:ag)</f>
        <v>0</v>
      </c>
      <c r="AH1244">
        <f>sumif(Plan!B:B,"221-025800-000",Plan!ah:ah)</f>
        <v>0</v>
      </c>
      <c r="AI1244">
        <f>sumif(Plan!B:B,"221-025800-000",Plan!ai:ai)</f>
        <v>0</v>
      </c>
      <c r="AJ1244">
        <f>sumif(Plan!B:B,"221-025800-000",Plan!aj:aj)</f>
        <v>0</v>
      </c>
      <c r="AK1244">
        <f>sumif(Plan!B:B,"221-025800-000",Plan!ak:ak)</f>
        <v>0</v>
      </c>
      <c r="AL1244">
        <f>sumif(Plan!B:B,"221-025800-000",Plan!al:al)</f>
        <v>0</v>
      </c>
      <c r="AM1244">
        <f>sumif(Plan!B:B,"221-025800-000",Plan!am:am)</f>
        <v>0</v>
      </c>
      <c r="AN1244">
        <f>sumif(Plan!B:B,"221-025800-000",Plan!an:an)</f>
        <v>0</v>
      </c>
      <c r="AO1244">
        <f>sumif(Plan!B:B,"221-025800-000",Plan!ao:ao)</f>
        <v>0</v>
      </c>
    </row>
    <row r="1245" spans="1:41">
      <c r="A1245" t="s">
        <v>17</v>
      </c>
      <c r="B1245" t="s">
        <v>817</v>
      </c>
      <c r="C1245" t="s">
        <v>818</v>
      </c>
      <c r="E1245">
        <v>1</v>
      </c>
      <c r="F1245" t="s">
        <v>13</v>
      </c>
      <c r="H1245" t="s">
        <v>16</v>
      </c>
      <c r="J1245">
        <f>indirect(address(1245,9))+indirect(address(1243,10))-indirect(address(1244,10))</f>
        <v>0</v>
      </c>
      <c r="K1245">
        <f>indirect(address(1245,10))+indirect(address(1243,11))-indirect(address(1244,11))</f>
        <v>0</v>
      </c>
      <c r="L1245">
        <f>indirect(address(1245,11))+indirect(address(1243,12))-indirect(address(1244,12))</f>
        <v>0</v>
      </c>
      <c r="M1245">
        <f>indirect(address(1245,12))+indirect(address(1243,13))-indirect(address(1244,13))</f>
        <v>0</v>
      </c>
      <c r="N1245">
        <f>indirect(address(1245,13))+indirect(address(1243,14))-indirect(address(1244,14))</f>
        <v>0</v>
      </c>
      <c r="O1245">
        <f>indirect(address(1245,14))+indirect(address(1243,15))-indirect(address(1244,15))</f>
        <v>0</v>
      </c>
      <c r="P1245">
        <f>indirect(address(1245,15))+indirect(address(1243,16))-indirect(address(1244,16))</f>
        <v>0</v>
      </c>
      <c r="Q1245">
        <f>indirect(address(1245,16))+indirect(address(1243,17))-indirect(address(1244,17))</f>
        <v>0</v>
      </c>
      <c r="R1245">
        <f>indirect(address(1245,17))+indirect(address(1243,18))-indirect(address(1244,18))</f>
        <v>0</v>
      </c>
      <c r="S1245">
        <f>indirect(address(1245,18))+indirect(address(1243,19))-indirect(address(1244,19))</f>
        <v>0</v>
      </c>
      <c r="T1245">
        <f>indirect(address(1245,19))+indirect(address(1243,20))-indirect(address(1244,20))</f>
        <v>0</v>
      </c>
      <c r="U1245">
        <f>indirect(address(1245,20))+indirect(address(1243,21))-indirect(address(1244,21))</f>
        <v>0</v>
      </c>
      <c r="V1245">
        <f>indirect(address(1245,21))+indirect(address(1243,22))-indirect(address(1244,22))</f>
        <v>0</v>
      </c>
      <c r="W1245">
        <f>indirect(address(1245,22))+indirect(address(1243,23))-indirect(address(1244,23))</f>
        <v>0</v>
      </c>
      <c r="X1245">
        <f>indirect(address(1245,23))+indirect(address(1243,24))-indirect(address(1244,24))</f>
        <v>0</v>
      </c>
      <c r="Y1245">
        <f>indirect(address(1245,24))+indirect(address(1243,25))-indirect(address(1244,25))</f>
        <v>0</v>
      </c>
      <c r="Z1245">
        <f>indirect(address(1245,25))+indirect(address(1243,26))-indirect(address(1244,26))</f>
        <v>0</v>
      </c>
      <c r="AA1245">
        <f>indirect(address(1245,26))+indirect(address(1243,27))-indirect(address(1244,27))</f>
        <v>0</v>
      </c>
      <c r="AB1245">
        <f>indirect(address(1245,27))+indirect(address(1243,28))-indirect(address(1244,28))</f>
        <v>0</v>
      </c>
      <c r="AC1245">
        <f>indirect(address(1245,28))+indirect(address(1243,29))-indirect(address(1244,29))</f>
        <v>0</v>
      </c>
      <c r="AD1245">
        <f>indirect(address(1245,29))+indirect(address(1243,30))-indirect(address(1244,30))</f>
        <v>0</v>
      </c>
      <c r="AE1245">
        <f>indirect(address(1245,30))+indirect(address(1243,31))-indirect(address(1244,31))</f>
        <v>0</v>
      </c>
      <c r="AF1245">
        <f>indirect(address(1245,31))+indirect(address(1243,32))-indirect(address(1244,32))</f>
        <v>0</v>
      </c>
      <c r="AG1245">
        <f>indirect(address(1245,32))+indirect(address(1243,33))-indirect(address(1244,33))</f>
        <v>0</v>
      </c>
      <c r="AH1245">
        <f>indirect(address(1245,33))+indirect(address(1243,34))-indirect(address(1244,34))</f>
        <v>0</v>
      </c>
      <c r="AI1245">
        <f>indirect(address(1245,34))+indirect(address(1243,35))-indirect(address(1244,35))</f>
        <v>0</v>
      </c>
      <c r="AJ1245">
        <f>indirect(address(1245,35))+indirect(address(1243,36))-indirect(address(1244,36))</f>
        <v>0</v>
      </c>
      <c r="AK1245">
        <f>indirect(address(1245,36))+indirect(address(1243,37))-indirect(address(1244,37))</f>
        <v>0</v>
      </c>
      <c r="AL1245">
        <f>indirect(address(1245,37))+indirect(address(1243,38))-indirect(address(1244,38))</f>
        <v>0</v>
      </c>
      <c r="AM1245">
        <f>indirect(address(1245,38))+indirect(address(1243,39))-indirect(address(1244,39))</f>
        <v>0</v>
      </c>
      <c r="AN1245">
        <f>indirect(address(1245,39))+indirect(address(1243,40))-indirect(address(1244,40))</f>
        <v>0</v>
      </c>
      <c r="AO1245">
        <f>indirect(address(1245,40))+indirect(address(1243,41))-indirect(address(1244,41))</f>
        <v>0</v>
      </c>
    </row>
    <row r="1246" spans="1:41">
      <c r="I1246" t="s">
        <v>14</v>
      </c>
      <c r="AO1246">
        <f>sum(j1246:an1246)</f>
        <v>0</v>
      </c>
    </row>
    <row r="1247" spans="1:41">
      <c r="I1247" t="s">
        <v>15</v>
      </c>
      <c r="J1247">
        <f>sumif(Plan!B:B,"271-002000-000",Plan!j:j)</f>
        <v>0</v>
      </c>
      <c r="K1247">
        <f>sumif(Plan!B:B,"271-002000-000",Plan!k:k)</f>
        <v>0</v>
      </c>
      <c r="L1247">
        <f>sumif(Plan!B:B,"271-002000-000",Plan!l:l)</f>
        <v>0</v>
      </c>
      <c r="M1247">
        <f>sumif(Plan!B:B,"271-002000-000",Plan!m:m)</f>
        <v>0</v>
      </c>
      <c r="N1247">
        <f>sumif(Plan!B:B,"271-002000-000",Plan!n:n)</f>
        <v>0</v>
      </c>
      <c r="O1247">
        <f>sumif(Plan!B:B,"271-002000-000",Plan!o:o)</f>
        <v>0</v>
      </c>
      <c r="P1247">
        <f>sumif(Plan!B:B,"271-002000-000",Plan!p:p)</f>
        <v>0</v>
      </c>
      <c r="Q1247">
        <f>sumif(Plan!B:B,"271-002000-000",Plan!q:q)</f>
        <v>0</v>
      </c>
      <c r="R1247">
        <f>sumif(Plan!B:B,"271-002000-000",Plan!r:r)</f>
        <v>0</v>
      </c>
      <c r="S1247">
        <f>sumif(Plan!B:B,"271-002000-000",Plan!s:s)</f>
        <v>0</v>
      </c>
      <c r="T1247">
        <f>sumif(Plan!B:B,"271-002000-000",Plan!t:t)</f>
        <v>0</v>
      </c>
      <c r="U1247">
        <f>sumif(Plan!B:B,"271-002000-000",Plan!u:u)</f>
        <v>0</v>
      </c>
      <c r="V1247">
        <f>sumif(Plan!B:B,"271-002000-000",Plan!v:v)</f>
        <v>0</v>
      </c>
      <c r="W1247">
        <f>sumif(Plan!B:B,"271-002000-000",Plan!w:w)</f>
        <v>0</v>
      </c>
      <c r="X1247">
        <f>sumif(Plan!B:B,"271-002000-000",Plan!x:x)</f>
        <v>0</v>
      </c>
      <c r="Y1247">
        <f>sumif(Plan!B:B,"271-002000-000",Plan!y:y)</f>
        <v>0</v>
      </c>
      <c r="Z1247">
        <f>sumif(Plan!B:B,"271-002000-000",Plan!z:z)</f>
        <v>0</v>
      </c>
      <c r="AA1247">
        <f>sumif(Plan!B:B,"271-002000-000",Plan!aa:aa)</f>
        <v>0</v>
      </c>
      <c r="AB1247">
        <f>sumif(Plan!B:B,"271-002000-000",Plan!ab:ab)</f>
        <v>0</v>
      </c>
      <c r="AC1247">
        <f>sumif(Plan!B:B,"271-002000-000",Plan!ac:ac)</f>
        <v>0</v>
      </c>
      <c r="AD1247">
        <f>sumif(Plan!B:B,"271-002000-000",Plan!ad:ad)</f>
        <v>0</v>
      </c>
      <c r="AE1247">
        <f>sumif(Plan!B:B,"271-002000-000",Plan!ae:ae)</f>
        <v>0</v>
      </c>
      <c r="AF1247">
        <f>sumif(Plan!B:B,"271-002000-000",Plan!af:af)</f>
        <v>0</v>
      </c>
      <c r="AG1247">
        <f>sumif(Plan!B:B,"271-002000-000",Plan!ag:ag)</f>
        <v>0</v>
      </c>
      <c r="AH1247">
        <f>sumif(Plan!B:B,"271-002000-000",Plan!ah:ah)</f>
        <v>0</v>
      </c>
      <c r="AI1247">
        <f>sumif(Plan!B:B,"271-002000-000",Plan!ai:ai)</f>
        <v>0</v>
      </c>
      <c r="AJ1247">
        <f>sumif(Plan!B:B,"271-002000-000",Plan!aj:aj)</f>
        <v>0</v>
      </c>
      <c r="AK1247">
        <f>sumif(Plan!B:B,"271-002000-000",Plan!ak:ak)</f>
        <v>0</v>
      </c>
      <c r="AL1247">
        <f>sumif(Plan!B:B,"271-002000-000",Plan!al:al)</f>
        <v>0</v>
      </c>
      <c r="AM1247">
        <f>sumif(Plan!B:B,"271-002000-000",Plan!am:am)</f>
        <v>0</v>
      </c>
      <c r="AN1247">
        <f>sumif(Plan!B:B,"271-002000-000",Plan!an:an)</f>
        <v>0</v>
      </c>
      <c r="AO1247">
        <f>sumif(Plan!B:B,"271-002000-000",Plan!ao:ao)</f>
        <v>0</v>
      </c>
    </row>
    <row r="1248" spans="1:41">
      <c r="A1248" t="s">
        <v>22</v>
      </c>
      <c r="B1248" t="s">
        <v>819</v>
      </c>
      <c r="C1248" t="s">
        <v>820</v>
      </c>
      <c r="E1248">
        <v>1</v>
      </c>
      <c r="F1248" t="s">
        <v>13</v>
      </c>
      <c r="H1248" t="s">
        <v>16</v>
      </c>
      <c r="J1248">
        <f>indirect(address(1248,9))+indirect(address(1246,10))-indirect(address(1247,10))</f>
        <v>0</v>
      </c>
      <c r="K1248">
        <f>indirect(address(1248,10))+indirect(address(1246,11))-indirect(address(1247,11))</f>
        <v>0</v>
      </c>
      <c r="L1248">
        <f>indirect(address(1248,11))+indirect(address(1246,12))-indirect(address(1247,12))</f>
        <v>0</v>
      </c>
      <c r="M1248">
        <f>indirect(address(1248,12))+indirect(address(1246,13))-indirect(address(1247,13))</f>
        <v>0</v>
      </c>
      <c r="N1248">
        <f>indirect(address(1248,13))+indirect(address(1246,14))-indirect(address(1247,14))</f>
        <v>0</v>
      </c>
      <c r="O1248">
        <f>indirect(address(1248,14))+indirect(address(1246,15))-indirect(address(1247,15))</f>
        <v>0</v>
      </c>
      <c r="P1248">
        <f>indirect(address(1248,15))+indirect(address(1246,16))-indirect(address(1247,16))</f>
        <v>0</v>
      </c>
      <c r="Q1248">
        <f>indirect(address(1248,16))+indirect(address(1246,17))-indirect(address(1247,17))</f>
        <v>0</v>
      </c>
      <c r="R1248">
        <f>indirect(address(1248,17))+indirect(address(1246,18))-indirect(address(1247,18))</f>
        <v>0</v>
      </c>
      <c r="S1248">
        <f>indirect(address(1248,18))+indirect(address(1246,19))-indirect(address(1247,19))</f>
        <v>0</v>
      </c>
      <c r="T1248">
        <f>indirect(address(1248,19))+indirect(address(1246,20))-indirect(address(1247,20))</f>
        <v>0</v>
      </c>
      <c r="U1248">
        <f>indirect(address(1248,20))+indirect(address(1246,21))-indirect(address(1247,21))</f>
        <v>0</v>
      </c>
      <c r="V1248">
        <f>indirect(address(1248,21))+indirect(address(1246,22))-indirect(address(1247,22))</f>
        <v>0</v>
      </c>
      <c r="W1248">
        <f>indirect(address(1248,22))+indirect(address(1246,23))-indirect(address(1247,23))</f>
        <v>0</v>
      </c>
      <c r="X1248">
        <f>indirect(address(1248,23))+indirect(address(1246,24))-indirect(address(1247,24))</f>
        <v>0</v>
      </c>
      <c r="Y1248">
        <f>indirect(address(1248,24))+indirect(address(1246,25))-indirect(address(1247,25))</f>
        <v>0</v>
      </c>
      <c r="Z1248">
        <f>indirect(address(1248,25))+indirect(address(1246,26))-indirect(address(1247,26))</f>
        <v>0</v>
      </c>
      <c r="AA1248">
        <f>indirect(address(1248,26))+indirect(address(1246,27))-indirect(address(1247,27))</f>
        <v>0</v>
      </c>
      <c r="AB1248">
        <f>indirect(address(1248,27))+indirect(address(1246,28))-indirect(address(1247,28))</f>
        <v>0</v>
      </c>
      <c r="AC1248">
        <f>indirect(address(1248,28))+indirect(address(1246,29))-indirect(address(1247,29))</f>
        <v>0</v>
      </c>
      <c r="AD1248">
        <f>indirect(address(1248,29))+indirect(address(1246,30))-indirect(address(1247,30))</f>
        <v>0</v>
      </c>
      <c r="AE1248">
        <f>indirect(address(1248,30))+indirect(address(1246,31))-indirect(address(1247,31))</f>
        <v>0</v>
      </c>
      <c r="AF1248">
        <f>indirect(address(1248,31))+indirect(address(1246,32))-indirect(address(1247,32))</f>
        <v>0</v>
      </c>
      <c r="AG1248">
        <f>indirect(address(1248,32))+indirect(address(1246,33))-indirect(address(1247,33))</f>
        <v>0</v>
      </c>
      <c r="AH1248">
        <f>indirect(address(1248,33))+indirect(address(1246,34))-indirect(address(1247,34))</f>
        <v>0</v>
      </c>
      <c r="AI1248">
        <f>indirect(address(1248,34))+indirect(address(1246,35))-indirect(address(1247,35))</f>
        <v>0</v>
      </c>
      <c r="AJ1248">
        <f>indirect(address(1248,35))+indirect(address(1246,36))-indirect(address(1247,36))</f>
        <v>0</v>
      </c>
      <c r="AK1248">
        <f>indirect(address(1248,36))+indirect(address(1246,37))-indirect(address(1247,37))</f>
        <v>0</v>
      </c>
      <c r="AL1248">
        <f>indirect(address(1248,37))+indirect(address(1246,38))-indirect(address(1247,38))</f>
        <v>0</v>
      </c>
      <c r="AM1248">
        <f>indirect(address(1248,38))+indirect(address(1246,39))-indirect(address(1247,39))</f>
        <v>0</v>
      </c>
      <c r="AN1248">
        <f>indirect(address(1248,39))+indirect(address(1246,40))-indirect(address(1247,40))</f>
        <v>0</v>
      </c>
      <c r="AO1248">
        <f>indirect(address(1248,40))+indirect(address(1246,41))-indirect(address(1247,41))</f>
        <v>0</v>
      </c>
    </row>
    <row r="1249" spans="1:41">
      <c r="I1249" t="s">
        <v>14</v>
      </c>
      <c r="AO1249">
        <f>sum(j1249:an1249)</f>
        <v>0</v>
      </c>
    </row>
    <row r="1250" spans="1:41">
      <c r="I1250" t="s">
        <v>15</v>
      </c>
      <c r="J1250">
        <f>sumif(Plan!B:B,"241-007400-000",Plan!j:j)</f>
        <v>0</v>
      </c>
      <c r="K1250">
        <f>sumif(Plan!B:B,"241-007400-000",Plan!k:k)</f>
        <v>0</v>
      </c>
      <c r="L1250">
        <f>sumif(Plan!B:B,"241-007400-000",Plan!l:l)</f>
        <v>0</v>
      </c>
      <c r="M1250">
        <f>sumif(Plan!B:B,"241-007400-000",Plan!m:m)</f>
        <v>0</v>
      </c>
      <c r="N1250">
        <f>sumif(Plan!B:B,"241-007400-000",Plan!n:n)</f>
        <v>0</v>
      </c>
      <c r="O1250">
        <f>sumif(Plan!B:B,"241-007400-000",Plan!o:o)</f>
        <v>0</v>
      </c>
      <c r="P1250">
        <f>sumif(Plan!B:B,"241-007400-000",Plan!p:p)</f>
        <v>0</v>
      </c>
      <c r="Q1250">
        <f>sumif(Plan!B:B,"241-007400-000",Plan!q:q)</f>
        <v>0</v>
      </c>
      <c r="R1250">
        <f>sumif(Plan!B:B,"241-007400-000",Plan!r:r)</f>
        <v>0</v>
      </c>
      <c r="S1250">
        <f>sumif(Plan!B:B,"241-007400-000",Plan!s:s)</f>
        <v>0</v>
      </c>
      <c r="T1250">
        <f>sumif(Plan!B:B,"241-007400-000",Plan!t:t)</f>
        <v>0</v>
      </c>
      <c r="U1250">
        <f>sumif(Plan!B:B,"241-007400-000",Plan!u:u)</f>
        <v>0</v>
      </c>
      <c r="V1250">
        <f>sumif(Plan!B:B,"241-007400-000",Plan!v:v)</f>
        <v>0</v>
      </c>
      <c r="W1250">
        <f>sumif(Plan!B:B,"241-007400-000",Plan!w:w)</f>
        <v>0</v>
      </c>
      <c r="X1250">
        <f>sumif(Plan!B:B,"241-007400-000",Plan!x:x)</f>
        <v>0</v>
      </c>
      <c r="Y1250">
        <f>sumif(Plan!B:B,"241-007400-000",Plan!y:y)</f>
        <v>0</v>
      </c>
      <c r="Z1250">
        <f>sumif(Plan!B:B,"241-007400-000",Plan!z:z)</f>
        <v>0</v>
      </c>
      <c r="AA1250">
        <f>sumif(Plan!B:B,"241-007400-000",Plan!aa:aa)</f>
        <v>0</v>
      </c>
      <c r="AB1250">
        <f>sumif(Plan!B:B,"241-007400-000",Plan!ab:ab)</f>
        <v>0</v>
      </c>
      <c r="AC1250">
        <f>sumif(Plan!B:B,"241-007400-000",Plan!ac:ac)</f>
        <v>0</v>
      </c>
      <c r="AD1250">
        <f>sumif(Plan!B:B,"241-007400-000",Plan!ad:ad)</f>
        <v>0</v>
      </c>
      <c r="AE1250">
        <f>sumif(Plan!B:B,"241-007400-000",Plan!ae:ae)</f>
        <v>0</v>
      </c>
      <c r="AF1250">
        <f>sumif(Plan!B:B,"241-007400-000",Plan!af:af)</f>
        <v>0</v>
      </c>
      <c r="AG1250">
        <f>sumif(Plan!B:B,"241-007400-000",Plan!ag:ag)</f>
        <v>0</v>
      </c>
      <c r="AH1250">
        <f>sumif(Plan!B:B,"241-007400-000",Plan!ah:ah)</f>
        <v>0</v>
      </c>
      <c r="AI1250">
        <f>sumif(Plan!B:B,"241-007400-000",Plan!ai:ai)</f>
        <v>0</v>
      </c>
      <c r="AJ1250">
        <f>sumif(Plan!B:B,"241-007400-000",Plan!aj:aj)</f>
        <v>0</v>
      </c>
      <c r="AK1250">
        <f>sumif(Plan!B:B,"241-007400-000",Plan!ak:ak)</f>
        <v>0</v>
      </c>
      <c r="AL1250">
        <f>sumif(Plan!B:B,"241-007400-000",Plan!al:al)</f>
        <v>0</v>
      </c>
      <c r="AM1250">
        <f>sumif(Plan!B:B,"241-007400-000",Plan!am:am)</f>
        <v>0</v>
      </c>
      <c r="AN1250">
        <f>sumif(Plan!B:B,"241-007400-000",Plan!an:an)</f>
        <v>0</v>
      </c>
      <c r="AO1250">
        <f>sumif(Plan!B:B,"241-007400-000",Plan!ao:ao)</f>
        <v>0</v>
      </c>
    </row>
    <row r="1251" spans="1:41">
      <c r="A1251" t="s">
        <v>22</v>
      </c>
      <c r="B1251" t="s">
        <v>821</v>
      </c>
      <c r="C1251" t="s">
        <v>822</v>
      </c>
      <c r="E1251">
        <v>0.003</v>
      </c>
      <c r="F1251" t="s">
        <v>13</v>
      </c>
      <c r="H1251" t="s">
        <v>16</v>
      </c>
      <c r="J1251">
        <f>indirect(address(1251,9))+indirect(address(1249,10))-indirect(address(1250,10))</f>
        <v>0</v>
      </c>
      <c r="K1251">
        <f>indirect(address(1251,10))+indirect(address(1249,11))-indirect(address(1250,11))</f>
        <v>0</v>
      </c>
      <c r="L1251">
        <f>indirect(address(1251,11))+indirect(address(1249,12))-indirect(address(1250,12))</f>
        <v>0</v>
      </c>
      <c r="M1251">
        <f>indirect(address(1251,12))+indirect(address(1249,13))-indirect(address(1250,13))</f>
        <v>0</v>
      </c>
      <c r="N1251">
        <f>indirect(address(1251,13))+indirect(address(1249,14))-indirect(address(1250,14))</f>
        <v>0</v>
      </c>
      <c r="O1251">
        <f>indirect(address(1251,14))+indirect(address(1249,15))-indirect(address(1250,15))</f>
        <v>0</v>
      </c>
      <c r="P1251">
        <f>indirect(address(1251,15))+indirect(address(1249,16))-indirect(address(1250,16))</f>
        <v>0</v>
      </c>
      <c r="Q1251">
        <f>indirect(address(1251,16))+indirect(address(1249,17))-indirect(address(1250,17))</f>
        <v>0</v>
      </c>
      <c r="R1251">
        <f>indirect(address(1251,17))+indirect(address(1249,18))-indirect(address(1250,18))</f>
        <v>0</v>
      </c>
      <c r="S1251">
        <f>indirect(address(1251,18))+indirect(address(1249,19))-indirect(address(1250,19))</f>
        <v>0</v>
      </c>
      <c r="T1251">
        <f>indirect(address(1251,19))+indirect(address(1249,20))-indirect(address(1250,20))</f>
        <v>0</v>
      </c>
      <c r="U1251">
        <f>indirect(address(1251,20))+indirect(address(1249,21))-indirect(address(1250,21))</f>
        <v>0</v>
      </c>
      <c r="V1251">
        <f>indirect(address(1251,21))+indirect(address(1249,22))-indirect(address(1250,22))</f>
        <v>0</v>
      </c>
      <c r="W1251">
        <f>indirect(address(1251,22))+indirect(address(1249,23))-indirect(address(1250,23))</f>
        <v>0</v>
      </c>
      <c r="X1251">
        <f>indirect(address(1251,23))+indirect(address(1249,24))-indirect(address(1250,24))</f>
        <v>0</v>
      </c>
      <c r="Y1251">
        <f>indirect(address(1251,24))+indirect(address(1249,25))-indirect(address(1250,25))</f>
        <v>0</v>
      </c>
      <c r="Z1251">
        <f>indirect(address(1251,25))+indirect(address(1249,26))-indirect(address(1250,26))</f>
        <v>0</v>
      </c>
      <c r="AA1251">
        <f>indirect(address(1251,26))+indirect(address(1249,27))-indirect(address(1250,27))</f>
        <v>0</v>
      </c>
      <c r="AB1251">
        <f>indirect(address(1251,27))+indirect(address(1249,28))-indirect(address(1250,28))</f>
        <v>0</v>
      </c>
      <c r="AC1251">
        <f>indirect(address(1251,28))+indirect(address(1249,29))-indirect(address(1250,29))</f>
        <v>0</v>
      </c>
      <c r="AD1251">
        <f>indirect(address(1251,29))+indirect(address(1249,30))-indirect(address(1250,30))</f>
        <v>0</v>
      </c>
      <c r="AE1251">
        <f>indirect(address(1251,30))+indirect(address(1249,31))-indirect(address(1250,31))</f>
        <v>0</v>
      </c>
      <c r="AF1251">
        <f>indirect(address(1251,31))+indirect(address(1249,32))-indirect(address(1250,32))</f>
        <v>0</v>
      </c>
      <c r="AG1251">
        <f>indirect(address(1251,32))+indirect(address(1249,33))-indirect(address(1250,33))</f>
        <v>0</v>
      </c>
      <c r="AH1251">
        <f>indirect(address(1251,33))+indirect(address(1249,34))-indirect(address(1250,34))</f>
        <v>0</v>
      </c>
      <c r="AI1251">
        <f>indirect(address(1251,34))+indirect(address(1249,35))-indirect(address(1250,35))</f>
        <v>0</v>
      </c>
      <c r="AJ1251">
        <f>indirect(address(1251,35))+indirect(address(1249,36))-indirect(address(1250,36))</f>
        <v>0</v>
      </c>
      <c r="AK1251">
        <f>indirect(address(1251,36))+indirect(address(1249,37))-indirect(address(1250,37))</f>
        <v>0</v>
      </c>
      <c r="AL1251">
        <f>indirect(address(1251,37))+indirect(address(1249,38))-indirect(address(1250,38))</f>
        <v>0</v>
      </c>
      <c r="AM1251">
        <f>indirect(address(1251,38))+indirect(address(1249,39))-indirect(address(1250,39))</f>
        <v>0</v>
      </c>
      <c r="AN1251">
        <f>indirect(address(1251,39))+indirect(address(1249,40))-indirect(address(1250,40))</f>
        <v>0</v>
      </c>
      <c r="AO1251">
        <f>indirect(address(1251,40))+indirect(address(1249,41))-indirect(address(1250,41))</f>
        <v>0</v>
      </c>
    </row>
    <row r="1252" spans="1:41">
      <c r="I1252" t="s">
        <v>14</v>
      </c>
      <c r="AO1252">
        <f>sum(j1252:an1252)</f>
        <v>0</v>
      </c>
    </row>
    <row r="1253" spans="1:41">
      <c r="I1253" t="s">
        <v>15</v>
      </c>
      <c r="J1253">
        <f>sumif(Plan!B:B,"906-338348-110",Plan!j:j)</f>
        <v>0</v>
      </c>
      <c r="K1253">
        <f>sumif(Plan!B:B,"906-338348-110",Plan!k:k)</f>
        <v>0</v>
      </c>
      <c r="L1253">
        <f>sumif(Plan!B:B,"906-338348-110",Plan!l:l)</f>
        <v>0</v>
      </c>
      <c r="M1253">
        <f>sumif(Plan!B:B,"906-338348-110",Plan!m:m)</f>
        <v>0</v>
      </c>
      <c r="N1253">
        <f>sumif(Plan!B:B,"906-338348-110",Plan!n:n)</f>
        <v>0</v>
      </c>
      <c r="O1253">
        <f>sumif(Plan!B:B,"906-338348-110",Plan!o:o)</f>
        <v>0</v>
      </c>
      <c r="P1253">
        <f>sumif(Plan!B:B,"906-338348-110",Plan!p:p)</f>
        <v>0</v>
      </c>
      <c r="Q1253">
        <f>sumif(Plan!B:B,"906-338348-110",Plan!q:q)</f>
        <v>0</v>
      </c>
      <c r="R1253">
        <f>sumif(Plan!B:B,"906-338348-110",Plan!r:r)</f>
        <v>0</v>
      </c>
      <c r="S1253">
        <f>sumif(Plan!B:B,"906-338348-110",Plan!s:s)</f>
        <v>0</v>
      </c>
      <c r="T1253">
        <f>sumif(Plan!B:B,"906-338348-110",Plan!t:t)</f>
        <v>0</v>
      </c>
      <c r="U1253">
        <f>sumif(Plan!B:B,"906-338348-110",Plan!u:u)</f>
        <v>0</v>
      </c>
      <c r="V1253">
        <f>sumif(Plan!B:B,"906-338348-110",Plan!v:v)</f>
        <v>0</v>
      </c>
      <c r="W1253">
        <f>sumif(Plan!B:B,"906-338348-110",Plan!w:w)</f>
        <v>0</v>
      </c>
      <c r="X1253">
        <f>sumif(Plan!B:B,"906-338348-110",Plan!x:x)</f>
        <v>0</v>
      </c>
      <c r="Y1253">
        <f>sumif(Plan!B:B,"906-338348-110",Plan!y:y)</f>
        <v>0</v>
      </c>
      <c r="Z1253">
        <f>sumif(Plan!B:B,"906-338348-110",Plan!z:z)</f>
        <v>0</v>
      </c>
      <c r="AA1253">
        <f>sumif(Plan!B:B,"906-338348-110",Plan!aa:aa)</f>
        <v>0</v>
      </c>
      <c r="AB1253">
        <f>sumif(Plan!B:B,"906-338348-110",Plan!ab:ab)</f>
        <v>0</v>
      </c>
      <c r="AC1253">
        <f>sumif(Plan!B:B,"906-338348-110",Plan!ac:ac)</f>
        <v>0</v>
      </c>
      <c r="AD1253">
        <f>sumif(Plan!B:B,"906-338348-110",Plan!ad:ad)</f>
        <v>0</v>
      </c>
      <c r="AE1253">
        <f>sumif(Plan!B:B,"906-338348-110",Plan!ae:ae)</f>
        <v>0</v>
      </c>
      <c r="AF1253">
        <f>sumif(Plan!B:B,"906-338348-110",Plan!af:af)</f>
        <v>0</v>
      </c>
      <c r="AG1253">
        <f>sumif(Plan!B:B,"906-338348-110",Plan!ag:ag)</f>
        <v>0</v>
      </c>
      <c r="AH1253">
        <f>sumif(Plan!B:B,"906-338348-110",Plan!ah:ah)</f>
        <v>0</v>
      </c>
      <c r="AI1253">
        <f>sumif(Plan!B:B,"906-338348-110",Plan!ai:ai)</f>
        <v>0</v>
      </c>
      <c r="AJ1253">
        <f>sumif(Plan!B:B,"906-338348-110",Plan!aj:aj)</f>
        <v>0</v>
      </c>
      <c r="AK1253">
        <f>sumif(Plan!B:B,"906-338348-110",Plan!ak:ak)</f>
        <v>0</v>
      </c>
      <c r="AL1253">
        <f>sumif(Plan!B:B,"906-338348-110",Plan!al:al)</f>
        <v>0</v>
      </c>
      <c r="AM1253">
        <f>sumif(Plan!B:B,"906-338348-110",Plan!am:am)</f>
        <v>0</v>
      </c>
      <c r="AN1253">
        <f>sumif(Plan!B:B,"906-338348-110",Plan!an:an)</f>
        <v>0</v>
      </c>
      <c r="AO1253">
        <f>sumif(Plan!B:B,"906-338348-110",Plan!ao:ao)</f>
        <v>0</v>
      </c>
    </row>
    <row r="1254" spans="1:41">
      <c r="A1254" t="s">
        <v>17</v>
      </c>
      <c r="B1254" t="s">
        <v>823</v>
      </c>
      <c r="C1254" t="s">
        <v>816</v>
      </c>
      <c r="E1254">
        <v>1</v>
      </c>
      <c r="F1254" t="s">
        <v>13</v>
      </c>
      <c r="H1254" t="s">
        <v>16</v>
      </c>
      <c r="J1254">
        <f>indirect(address(1254,9))+indirect(address(1252,10))-indirect(address(1253,10))</f>
        <v>0</v>
      </c>
      <c r="K1254">
        <f>indirect(address(1254,10))+indirect(address(1252,11))-indirect(address(1253,11))</f>
        <v>0</v>
      </c>
      <c r="L1254">
        <f>indirect(address(1254,11))+indirect(address(1252,12))-indirect(address(1253,12))</f>
        <v>0</v>
      </c>
      <c r="M1254">
        <f>indirect(address(1254,12))+indirect(address(1252,13))-indirect(address(1253,13))</f>
        <v>0</v>
      </c>
      <c r="N1254">
        <f>indirect(address(1254,13))+indirect(address(1252,14))-indirect(address(1253,14))</f>
        <v>0</v>
      </c>
      <c r="O1254">
        <f>indirect(address(1254,14))+indirect(address(1252,15))-indirect(address(1253,15))</f>
        <v>0</v>
      </c>
      <c r="P1254">
        <f>indirect(address(1254,15))+indirect(address(1252,16))-indirect(address(1253,16))</f>
        <v>0</v>
      </c>
      <c r="Q1254">
        <f>indirect(address(1254,16))+indirect(address(1252,17))-indirect(address(1253,17))</f>
        <v>0</v>
      </c>
      <c r="R1254">
        <f>indirect(address(1254,17))+indirect(address(1252,18))-indirect(address(1253,18))</f>
        <v>0</v>
      </c>
      <c r="S1254">
        <f>indirect(address(1254,18))+indirect(address(1252,19))-indirect(address(1253,19))</f>
        <v>0</v>
      </c>
      <c r="T1254">
        <f>indirect(address(1254,19))+indirect(address(1252,20))-indirect(address(1253,20))</f>
        <v>0</v>
      </c>
      <c r="U1254">
        <f>indirect(address(1254,20))+indirect(address(1252,21))-indirect(address(1253,21))</f>
        <v>0</v>
      </c>
      <c r="V1254">
        <f>indirect(address(1254,21))+indirect(address(1252,22))-indirect(address(1253,22))</f>
        <v>0</v>
      </c>
      <c r="W1254">
        <f>indirect(address(1254,22))+indirect(address(1252,23))-indirect(address(1253,23))</f>
        <v>0</v>
      </c>
      <c r="X1254">
        <f>indirect(address(1254,23))+indirect(address(1252,24))-indirect(address(1253,24))</f>
        <v>0</v>
      </c>
      <c r="Y1254">
        <f>indirect(address(1254,24))+indirect(address(1252,25))-indirect(address(1253,25))</f>
        <v>0</v>
      </c>
      <c r="Z1254">
        <f>indirect(address(1254,25))+indirect(address(1252,26))-indirect(address(1253,26))</f>
        <v>0</v>
      </c>
      <c r="AA1254">
        <f>indirect(address(1254,26))+indirect(address(1252,27))-indirect(address(1253,27))</f>
        <v>0</v>
      </c>
      <c r="AB1254">
        <f>indirect(address(1254,27))+indirect(address(1252,28))-indirect(address(1253,28))</f>
        <v>0</v>
      </c>
      <c r="AC1254">
        <f>indirect(address(1254,28))+indirect(address(1252,29))-indirect(address(1253,29))</f>
        <v>0</v>
      </c>
      <c r="AD1254">
        <f>indirect(address(1254,29))+indirect(address(1252,30))-indirect(address(1253,30))</f>
        <v>0</v>
      </c>
      <c r="AE1254">
        <f>indirect(address(1254,30))+indirect(address(1252,31))-indirect(address(1253,31))</f>
        <v>0</v>
      </c>
      <c r="AF1254">
        <f>indirect(address(1254,31))+indirect(address(1252,32))-indirect(address(1253,32))</f>
        <v>0</v>
      </c>
      <c r="AG1254">
        <f>indirect(address(1254,32))+indirect(address(1252,33))-indirect(address(1253,33))</f>
        <v>0</v>
      </c>
      <c r="AH1254">
        <f>indirect(address(1254,33))+indirect(address(1252,34))-indirect(address(1253,34))</f>
        <v>0</v>
      </c>
      <c r="AI1254">
        <f>indirect(address(1254,34))+indirect(address(1252,35))-indirect(address(1253,35))</f>
        <v>0</v>
      </c>
      <c r="AJ1254">
        <f>indirect(address(1254,35))+indirect(address(1252,36))-indirect(address(1253,36))</f>
        <v>0</v>
      </c>
      <c r="AK1254">
        <f>indirect(address(1254,36))+indirect(address(1252,37))-indirect(address(1253,37))</f>
        <v>0</v>
      </c>
      <c r="AL1254">
        <f>indirect(address(1254,37))+indirect(address(1252,38))-indirect(address(1253,38))</f>
        <v>0</v>
      </c>
      <c r="AM1254">
        <f>indirect(address(1254,38))+indirect(address(1252,39))-indirect(address(1253,39))</f>
        <v>0</v>
      </c>
      <c r="AN1254">
        <f>indirect(address(1254,39))+indirect(address(1252,40))-indirect(address(1253,40))</f>
        <v>0</v>
      </c>
      <c r="AO1254">
        <f>indirect(address(1254,40))+indirect(address(1252,41))-indirect(address(1253,41))</f>
        <v>0</v>
      </c>
    </row>
    <row r="1255" spans="1:41">
      <c r="I1255" t="s">
        <v>14</v>
      </c>
      <c r="AO1255">
        <f>sum(j1255:an1255)</f>
        <v>0</v>
      </c>
    </row>
    <row r="1256" spans="1:41">
      <c r="I1256" t="s">
        <v>15</v>
      </c>
      <c r="J1256">
        <f>sumif(Plan!B:B,"241-007400-000",Plan!j:j)</f>
        <v>0</v>
      </c>
      <c r="K1256">
        <f>sumif(Plan!B:B,"241-007400-000",Plan!k:k)</f>
        <v>0</v>
      </c>
      <c r="L1256">
        <f>sumif(Plan!B:B,"241-007400-000",Plan!l:l)</f>
        <v>0</v>
      </c>
      <c r="M1256">
        <f>sumif(Plan!B:B,"241-007400-000",Plan!m:m)</f>
        <v>0</v>
      </c>
      <c r="N1256">
        <f>sumif(Plan!B:B,"241-007400-000",Plan!n:n)</f>
        <v>0</v>
      </c>
      <c r="O1256">
        <f>sumif(Plan!B:B,"241-007400-000",Plan!o:o)</f>
        <v>0</v>
      </c>
      <c r="P1256">
        <f>sumif(Plan!B:B,"241-007400-000",Plan!p:p)</f>
        <v>0</v>
      </c>
      <c r="Q1256">
        <f>sumif(Plan!B:B,"241-007400-000",Plan!q:q)</f>
        <v>0</v>
      </c>
      <c r="R1256">
        <f>sumif(Plan!B:B,"241-007400-000",Plan!r:r)</f>
        <v>0</v>
      </c>
      <c r="S1256">
        <f>sumif(Plan!B:B,"241-007400-000",Plan!s:s)</f>
        <v>0</v>
      </c>
      <c r="T1256">
        <f>sumif(Plan!B:B,"241-007400-000",Plan!t:t)</f>
        <v>0</v>
      </c>
      <c r="U1256">
        <f>sumif(Plan!B:B,"241-007400-000",Plan!u:u)</f>
        <v>0</v>
      </c>
      <c r="V1256">
        <f>sumif(Plan!B:B,"241-007400-000",Plan!v:v)</f>
        <v>0</v>
      </c>
      <c r="W1256">
        <f>sumif(Plan!B:B,"241-007400-000",Plan!w:w)</f>
        <v>0</v>
      </c>
      <c r="X1256">
        <f>sumif(Plan!B:B,"241-007400-000",Plan!x:x)</f>
        <v>0</v>
      </c>
      <c r="Y1256">
        <f>sumif(Plan!B:B,"241-007400-000",Plan!y:y)</f>
        <v>0</v>
      </c>
      <c r="Z1256">
        <f>sumif(Plan!B:B,"241-007400-000",Plan!z:z)</f>
        <v>0</v>
      </c>
      <c r="AA1256">
        <f>sumif(Plan!B:B,"241-007400-000",Plan!aa:aa)</f>
        <v>0</v>
      </c>
      <c r="AB1256">
        <f>sumif(Plan!B:B,"241-007400-000",Plan!ab:ab)</f>
        <v>0</v>
      </c>
      <c r="AC1256">
        <f>sumif(Plan!B:B,"241-007400-000",Plan!ac:ac)</f>
        <v>0</v>
      </c>
      <c r="AD1256">
        <f>sumif(Plan!B:B,"241-007400-000",Plan!ad:ad)</f>
        <v>0</v>
      </c>
      <c r="AE1256">
        <f>sumif(Plan!B:B,"241-007400-000",Plan!ae:ae)</f>
        <v>0</v>
      </c>
      <c r="AF1256">
        <f>sumif(Plan!B:B,"241-007400-000",Plan!af:af)</f>
        <v>0</v>
      </c>
      <c r="AG1256">
        <f>sumif(Plan!B:B,"241-007400-000",Plan!ag:ag)</f>
        <v>0</v>
      </c>
      <c r="AH1256">
        <f>sumif(Plan!B:B,"241-007400-000",Plan!ah:ah)</f>
        <v>0</v>
      </c>
      <c r="AI1256">
        <f>sumif(Plan!B:B,"241-007400-000",Plan!ai:ai)</f>
        <v>0</v>
      </c>
      <c r="AJ1256">
        <f>sumif(Plan!B:B,"241-007400-000",Plan!aj:aj)</f>
        <v>0</v>
      </c>
      <c r="AK1256">
        <f>sumif(Plan!B:B,"241-007400-000",Plan!ak:ak)</f>
        <v>0</v>
      </c>
      <c r="AL1256">
        <f>sumif(Plan!B:B,"241-007400-000",Plan!al:al)</f>
        <v>0</v>
      </c>
      <c r="AM1256">
        <f>sumif(Plan!B:B,"241-007400-000",Plan!am:am)</f>
        <v>0</v>
      </c>
      <c r="AN1256">
        <f>sumif(Plan!B:B,"241-007400-000",Plan!an:an)</f>
        <v>0</v>
      </c>
      <c r="AO1256">
        <f>sumif(Plan!B:B,"241-007400-000",Plan!ao:ao)</f>
        <v>0</v>
      </c>
    </row>
    <row r="1257" spans="1:41">
      <c r="A1257" t="s">
        <v>22</v>
      </c>
      <c r="B1257" t="s">
        <v>821</v>
      </c>
      <c r="C1257" t="s">
        <v>824</v>
      </c>
      <c r="E1257">
        <v>0.003</v>
      </c>
      <c r="F1257" t="s">
        <v>13</v>
      </c>
      <c r="H1257" t="s">
        <v>16</v>
      </c>
      <c r="J1257">
        <f>indirect(address(1257,9))+indirect(address(1255,10))-indirect(address(1256,10))</f>
        <v>0</v>
      </c>
      <c r="K1257">
        <f>indirect(address(1257,10))+indirect(address(1255,11))-indirect(address(1256,11))</f>
        <v>0</v>
      </c>
      <c r="L1257">
        <f>indirect(address(1257,11))+indirect(address(1255,12))-indirect(address(1256,12))</f>
        <v>0</v>
      </c>
      <c r="M1257">
        <f>indirect(address(1257,12))+indirect(address(1255,13))-indirect(address(1256,13))</f>
        <v>0</v>
      </c>
      <c r="N1257">
        <f>indirect(address(1257,13))+indirect(address(1255,14))-indirect(address(1256,14))</f>
        <v>0</v>
      </c>
      <c r="O1257">
        <f>indirect(address(1257,14))+indirect(address(1255,15))-indirect(address(1256,15))</f>
        <v>0</v>
      </c>
      <c r="P1257">
        <f>indirect(address(1257,15))+indirect(address(1255,16))-indirect(address(1256,16))</f>
        <v>0</v>
      </c>
      <c r="Q1257">
        <f>indirect(address(1257,16))+indirect(address(1255,17))-indirect(address(1256,17))</f>
        <v>0</v>
      </c>
      <c r="R1257">
        <f>indirect(address(1257,17))+indirect(address(1255,18))-indirect(address(1256,18))</f>
        <v>0</v>
      </c>
      <c r="S1257">
        <f>indirect(address(1257,18))+indirect(address(1255,19))-indirect(address(1256,19))</f>
        <v>0</v>
      </c>
      <c r="T1257">
        <f>indirect(address(1257,19))+indirect(address(1255,20))-indirect(address(1256,20))</f>
        <v>0</v>
      </c>
      <c r="U1257">
        <f>indirect(address(1257,20))+indirect(address(1255,21))-indirect(address(1256,21))</f>
        <v>0</v>
      </c>
      <c r="V1257">
        <f>indirect(address(1257,21))+indirect(address(1255,22))-indirect(address(1256,22))</f>
        <v>0</v>
      </c>
      <c r="W1257">
        <f>indirect(address(1257,22))+indirect(address(1255,23))-indirect(address(1256,23))</f>
        <v>0</v>
      </c>
      <c r="X1257">
        <f>indirect(address(1257,23))+indirect(address(1255,24))-indirect(address(1256,24))</f>
        <v>0</v>
      </c>
      <c r="Y1257">
        <f>indirect(address(1257,24))+indirect(address(1255,25))-indirect(address(1256,25))</f>
        <v>0</v>
      </c>
      <c r="Z1257">
        <f>indirect(address(1257,25))+indirect(address(1255,26))-indirect(address(1256,26))</f>
        <v>0</v>
      </c>
      <c r="AA1257">
        <f>indirect(address(1257,26))+indirect(address(1255,27))-indirect(address(1256,27))</f>
        <v>0</v>
      </c>
      <c r="AB1257">
        <f>indirect(address(1257,27))+indirect(address(1255,28))-indirect(address(1256,28))</f>
        <v>0</v>
      </c>
      <c r="AC1257">
        <f>indirect(address(1257,28))+indirect(address(1255,29))-indirect(address(1256,29))</f>
        <v>0</v>
      </c>
      <c r="AD1257">
        <f>indirect(address(1257,29))+indirect(address(1255,30))-indirect(address(1256,30))</f>
        <v>0</v>
      </c>
      <c r="AE1257">
        <f>indirect(address(1257,30))+indirect(address(1255,31))-indirect(address(1256,31))</f>
        <v>0</v>
      </c>
      <c r="AF1257">
        <f>indirect(address(1257,31))+indirect(address(1255,32))-indirect(address(1256,32))</f>
        <v>0</v>
      </c>
      <c r="AG1257">
        <f>indirect(address(1257,32))+indirect(address(1255,33))-indirect(address(1256,33))</f>
        <v>0</v>
      </c>
      <c r="AH1257">
        <f>indirect(address(1257,33))+indirect(address(1255,34))-indirect(address(1256,34))</f>
        <v>0</v>
      </c>
      <c r="AI1257">
        <f>indirect(address(1257,34))+indirect(address(1255,35))-indirect(address(1256,35))</f>
        <v>0</v>
      </c>
      <c r="AJ1257">
        <f>indirect(address(1257,35))+indirect(address(1255,36))-indirect(address(1256,36))</f>
        <v>0</v>
      </c>
      <c r="AK1257">
        <f>indirect(address(1257,36))+indirect(address(1255,37))-indirect(address(1256,37))</f>
        <v>0</v>
      </c>
      <c r="AL1257">
        <f>indirect(address(1257,37))+indirect(address(1255,38))-indirect(address(1256,38))</f>
        <v>0</v>
      </c>
      <c r="AM1257">
        <f>indirect(address(1257,38))+indirect(address(1255,39))-indirect(address(1256,39))</f>
        <v>0</v>
      </c>
      <c r="AN1257">
        <f>indirect(address(1257,39))+indirect(address(1255,40))-indirect(address(1256,40))</f>
        <v>0</v>
      </c>
      <c r="AO1257">
        <f>indirect(address(1257,40))+indirect(address(1255,41))-indirect(address(1256,41))</f>
        <v>0</v>
      </c>
    </row>
    <row r="1258" spans="1:41">
      <c r="I1258" t="s">
        <v>14</v>
      </c>
      <c r="AO1258">
        <f>sum(j1258:an1258)</f>
        <v>0</v>
      </c>
    </row>
    <row r="1259" spans="1:41">
      <c r="I1259" t="s">
        <v>15</v>
      </c>
      <c r="J1259">
        <f>sumif(Plan!B:B,"906-339348-110",Plan!j:j)</f>
        <v>0</v>
      </c>
      <c r="K1259">
        <f>sumif(Plan!B:B,"906-339348-110",Plan!k:k)</f>
        <v>0</v>
      </c>
      <c r="L1259">
        <f>sumif(Plan!B:B,"906-339348-110",Plan!l:l)</f>
        <v>0</v>
      </c>
      <c r="M1259">
        <f>sumif(Plan!B:B,"906-339348-110",Plan!m:m)</f>
        <v>0</v>
      </c>
      <c r="N1259">
        <f>sumif(Plan!B:B,"906-339348-110",Plan!n:n)</f>
        <v>0</v>
      </c>
      <c r="O1259">
        <f>sumif(Plan!B:B,"906-339348-110",Plan!o:o)</f>
        <v>0</v>
      </c>
      <c r="P1259">
        <f>sumif(Plan!B:B,"906-339348-110",Plan!p:p)</f>
        <v>0</v>
      </c>
      <c r="Q1259">
        <f>sumif(Plan!B:B,"906-339348-110",Plan!q:q)</f>
        <v>0</v>
      </c>
      <c r="R1259">
        <f>sumif(Plan!B:B,"906-339348-110",Plan!r:r)</f>
        <v>0</v>
      </c>
      <c r="S1259">
        <f>sumif(Plan!B:B,"906-339348-110",Plan!s:s)</f>
        <v>0</v>
      </c>
      <c r="T1259">
        <f>sumif(Plan!B:B,"906-339348-110",Plan!t:t)</f>
        <v>0</v>
      </c>
      <c r="U1259">
        <f>sumif(Plan!B:B,"906-339348-110",Plan!u:u)</f>
        <v>0</v>
      </c>
      <c r="V1259">
        <f>sumif(Plan!B:B,"906-339348-110",Plan!v:v)</f>
        <v>0</v>
      </c>
      <c r="W1259">
        <f>sumif(Plan!B:B,"906-339348-110",Plan!w:w)</f>
        <v>0</v>
      </c>
      <c r="X1259">
        <f>sumif(Plan!B:B,"906-339348-110",Plan!x:x)</f>
        <v>0</v>
      </c>
      <c r="Y1259">
        <f>sumif(Plan!B:B,"906-339348-110",Plan!y:y)</f>
        <v>0</v>
      </c>
      <c r="Z1259">
        <f>sumif(Plan!B:B,"906-339348-110",Plan!z:z)</f>
        <v>0</v>
      </c>
      <c r="AA1259">
        <f>sumif(Plan!B:B,"906-339348-110",Plan!aa:aa)</f>
        <v>0</v>
      </c>
      <c r="AB1259">
        <f>sumif(Plan!B:B,"906-339348-110",Plan!ab:ab)</f>
        <v>0</v>
      </c>
      <c r="AC1259">
        <f>sumif(Plan!B:B,"906-339348-110",Plan!ac:ac)</f>
        <v>0</v>
      </c>
      <c r="AD1259">
        <f>sumif(Plan!B:B,"906-339348-110",Plan!ad:ad)</f>
        <v>0</v>
      </c>
      <c r="AE1259">
        <f>sumif(Plan!B:B,"906-339348-110",Plan!ae:ae)</f>
        <v>0</v>
      </c>
      <c r="AF1259">
        <f>sumif(Plan!B:B,"906-339348-110",Plan!af:af)</f>
        <v>0</v>
      </c>
      <c r="AG1259">
        <f>sumif(Plan!B:B,"906-339348-110",Plan!ag:ag)</f>
        <v>0</v>
      </c>
      <c r="AH1259">
        <f>sumif(Plan!B:B,"906-339348-110",Plan!ah:ah)</f>
        <v>0</v>
      </c>
      <c r="AI1259">
        <f>sumif(Plan!B:B,"906-339348-110",Plan!ai:ai)</f>
        <v>0</v>
      </c>
      <c r="AJ1259">
        <f>sumif(Plan!B:B,"906-339348-110",Plan!aj:aj)</f>
        <v>0</v>
      </c>
      <c r="AK1259">
        <f>sumif(Plan!B:B,"906-339348-110",Plan!ak:ak)</f>
        <v>0</v>
      </c>
      <c r="AL1259">
        <f>sumif(Plan!B:B,"906-339348-110",Plan!al:al)</f>
        <v>0</v>
      </c>
      <c r="AM1259">
        <f>sumif(Plan!B:B,"906-339348-110",Plan!am:am)</f>
        <v>0</v>
      </c>
      <c r="AN1259">
        <f>sumif(Plan!B:B,"906-339348-110",Plan!an:an)</f>
        <v>0</v>
      </c>
      <c r="AO1259">
        <f>sumif(Plan!B:B,"906-339348-110",Plan!ao:ao)</f>
        <v>0</v>
      </c>
    </row>
    <row r="1260" spans="1:41">
      <c r="A1260" t="s">
        <v>17</v>
      </c>
      <c r="B1260" t="s">
        <v>826</v>
      </c>
      <c r="C1260" t="s">
        <v>816</v>
      </c>
      <c r="E1260">
        <v>1</v>
      </c>
      <c r="F1260" t="s">
        <v>13</v>
      </c>
      <c r="H1260" t="s">
        <v>16</v>
      </c>
      <c r="J1260">
        <f>indirect(address(1260,9))+indirect(address(1258,10))-indirect(address(1259,10))</f>
        <v>0</v>
      </c>
      <c r="K1260">
        <f>indirect(address(1260,10))+indirect(address(1258,11))-indirect(address(1259,11))</f>
        <v>0</v>
      </c>
      <c r="L1260">
        <f>indirect(address(1260,11))+indirect(address(1258,12))-indirect(address(1259,12))</f>
        <v>0</v>
      </c>
      <c r="M1260">
        <f>indirect(address(1260,12))+indirect(address(1258,13))-indirect(address(1259,13))</f>
        <v>0</v>
      </c>
      <c r="N1260">
        <f>indirect(address(1260,13))+indirect(address(1258,14))-indirect(address(1259,14))</f>
        <v>0</v>
      </c>
      <c r="O1260">
        <f>indirect(address(1260,14))+indirect(address(1258,15))-indirect(address(1259,15))</f>
        <v>0</v>
      </c>
      <c r="P1260">
        <f>indirect(address(1260,15))+indirect(address(1258,16))-indirect(address(1259,16))</f>
        <v>0</v>
      </c>
      <c r="Q1260">
        <f>indirect(address(1260,16))+indirect(address(1258,17))-indirect(address(1259,17))</f>
        <v>0</v>
      </c>
      <c r="R1260">
        <f>indirect(address(1260,17))+indirect(address(1258,18))-indirect(address(1259,18))</f>
        <v>0</v>
      </c>
      <c r="S1260">
        <f>indirect(address(1260,18))+indirect(address(1258,19))-indirect(address(1259,19))</f>
        <v>0</v>
      </c>
      <c r="T1260">
        <f>indirect(address(1260,19))+indirect(address(1258,20))-indirect(address(1259,20))</f>
        <v>0</v>
      </c>
      <c r="U1260">
        <f>indirect(address(1260,20))+indirect(address(1258,21))-indirect(address(1259,21))</f>
        <v>0</v>
      </c>
      <c r="V1260">
        <f>indirect(address(1260,21))+indirect(address(1258,22))-indirect(address(1259,22))</f>
        <v>0</v>
      </c>
      <c r="W1260">
        <f>indirect(address(1260,22))+indirect(address(1258,23))-indirect(address(1259,23))</f>
        <v>0</v>
      </c>
      <c r="X1260">
        <f>indirect(address(1260,23))+indirect(address(1258,24))-indirect(address(1259,24))</f>
        <v>0</v>
      </c>
      <c r="Y1260">
        <f>indirect(address(1260,24))+indirect(address(1258,25))-indirect(address(1259,25))</f>
        <v>0</v>
      </c>
      <c r="Z1260">
        <f>indirect(address(1260,25))+indirect(address(1258,26))-indirect(address(1259,26))</f>
        <v>0</v>
      </c>
      <c r="AA1260">
        <f>indirect(address(1260,26))+indirect(address(1258,27))-indirect(address(1259,27))</f>
        <v>0</v>
      </c>
      <c r="AB1260">
        <f>indirect(address(1260,27))+indirect(address(1258,28))-indirect(address(1259,28))</f>
        <v>0</v>
      </c>
      <c r="AC1260">
        <f>indirect(address(1260,28))+indirect(address(1258,29))-indirect(address(1259,29))</f>
        <v>0</v>
      </c>
      <c r="AD1260">
        <f>indirect(address(1260,29))+indirect(address(1258,30))-indirect(address(1259,30))</f>
        <v>0</v>
      </c>
      <c r="AE1260">
        <f>indirect(address(1260,30))+indirect(address(1258,31))-indirect(address(1259,31))</f>
        <v>0</v>
      </c>
      <c r="AF1260">
        <f>indirect(address(1260,31))+indirect(address(1258,32))-indirect(address(1259,32))</f>
        <v>0</v>
      </c>
      <c r="AG1260">
        <f>indirect(address(1260,32))+indirect(address(1258,33))-indirect(address(1259,33))</f>
        <v>0</v>
      </c>
      <c r="AH1260">
        <f>indirect(address(1260,33))+indirect(address(1258,34))-indirect(address(1259,34))</f>
        <v>0</v>
      </c>
      <c r="AI1260">
        <f>indirect(address(1260,34))+indirect(address(1258,35))-indirect(address(1259,35))</f>
        <v>0</v>
      </c>
      <c r="AJ1260">
        <f>indirect(address(1260,35))+indirect(address(1258,36))-indirect(address(1259,36))</f>
        <v>0</v>
      </c>
      <c r="AK1260">
        <f>indirect(address(1260,36))+indirect(address(1258,37))-indirect(address(1259,37))</f>
        <v>0</v>
      </c>
      <c r="AL1260">
        <f>indirect(address(1260,37))+indirect(address(1258,38))-indirect(address(1259,38))</f>
        <v>0</v>
      </c>
      <c r="AM1260">
        <f>indirect(address(1260,38))+indirect(address(1258,39))-indirect(address(1259,39))</f>
        <v>0</v>
      </c>
      <c r="AN1260">
        <f>indirect(address(1260,39))+indirect(address(1258,40))-indirect(address(1259,40))</f>
        <v>0</v>
      </c>
      <c r="AO1260">
        <f>indirect(address(1260,40))+indirect(address(1258,41))-indirect(address(1259,41))</f>
        <v>0</v>
      </c>
    </row>
    <row r="1261" spans="1:41">
      <c r="I1261" t="s">
        <v>14</v>
      </c>
      <c r="AO1261">
        <f>sum(j1261:an1261)</f>
        <v>0</v>
      </c>
    </row>
    <row r="1262" spans="1:41">
      <c r="I1262" t="s">
        <v>15</v>
      </c>
      <c r="J1262">
        <f>sumif(Plan!B:B,"906-340348-110",Plan!j:j)</f>
        <v>0</v>
      </c>
      <c r="K1262">
        <f>sumif(Plan!B:B,"906-340348-110",Plan!k:k)</f>
        <v>0</v>
      </c>
      <c r="L1262">
        <f>sumif(Plan!B:B,"906-340348-110",Plan!l:l)</f>
        <v>0</v>
      </c>
      <c r="M1262">
        <f>sumif(Plan!B:B,"906-340348-110",Plan!m:m)</f>
        <v>0</v>
      </c>
      <c r="N1262">
        <f>sumif(Plan!B:B,"906-340348-110",Plan!n:n)</f>
        <v>0</v>
      </c>
      <c r="O1262">
        <f>sumif(Plan!B:B,"906-340348-110",Plan!o:o)</f>
        <v>0</v>
      </c>
      <c r="P1262">
        <f>sumif(Plan!B:B,"906-340348-110",Plan!p:p)</f>
        <v>0</v>
      </c>
      <c r="Q1262">
        <f>sumif(Plan!B:B,"906-340348-110",Plan!q:q)</f>
        <v>0</v>
      </c>
      <c r="R1262">
        <f>sumif(Plan!B:B,"906-340348-110",Plan!r:r)</f>
        <v>0</v>
      </c>
      <c r="S1262">
        <f>sumif(Plan!B:B,"906-340348-110",Plan!s:s)</f>
        <v>0</v>
      </c>
      <c r="T1262">
        <f>sumif(Plan!B:B,"906-340348-110",Plan!t:t)</f>
        <v>0</v>
      </c>
      <c r="U1262">
        <f>sumif(Plan!B:B,"906-340348-110",Plan!u:u)</f>
        <v>0</v>
      </c>
      <c r="V1262">
        <f>sumif(Plan!B:B,"906-340348-110",Plan!v:v)</f>
        <v>0</v>
      </c>
      <c r="W1262">
        <f>sumif(Plan!B:B,"906-340348-110",Plan!w:w)</f>
        <v>0</v>
      </c>
      <c r="X1262">
        <f>sumif(Plan!B:B,"906-340348-110",Plan!x:x)</f>
        <v>0</v>
      </c>
      <c r="Y1262">
        <f>sumif(Plan!B:B,"906-340348-110",Plan!y:y)</f>
        <v>0</v>
      </c>
      <c r="Z1262">
        <f>sumif(Plan!B:B,"906-340348-110",Plan!z:z)</f>
        <v>0</v>
      </c>
      <c r="AA1262">
        <f>sumif(Plan!B:B,"906-340348-110",Plan!aa:aa)</f>
        <v>0</v>
      </c>
      <c r="AB1262">
        <f>sumif(Plan!B:B,"906-340348-110",Plan!ab:ab)</f>
        <v>0</v>
      </c>
      <c r="AC1262">
        <f>sumif(Plan!B:B,"906-340348-110",Plan!ac:ac)</f>
        <v>0</v>
      </c>
      <c r="AD1262">
        <f>sumif(Plan!B:B,"906-340348-110",Plan!ad:ad)</f>
        <v>0</v>
      </c>
      <c r="AE1262">
        <f>sumif(Plan!B:B,"906-340348-110",Plan!ae:ae)</f>
        <v>0</v>
      </c>
      <c r="AF1262">
        <f>sumif(Plan!B:B,"906-340348-110",Plan!af:af)</f>
        <v>0</v>
      </c>
      <c r="AG1262">
        <f>sumif(Plan!B:B,"906-340348-110",Plan!ag:ag)</f>
        <v>0</v>
      </c>
      <c r="AH1262">
        <f>sumif(Plan!B:B,"906-340348-110",Plan!ah:ah)</f>
        <v>0</v>
      </c>
      <c r="AI1262">
        <f>sumif(Plan!B:B,"906-340348-110",Plan!ai:ai)</f>
        <v>0</v>
      </c>
      <c r="AJ1262">
        <f>sumif(Plan!B:B,"906-340348-110",Plan!aj:aj)</f>
        <v>0</v>
      </c>
      <c r="AK1262">
        <f>sumif(Plan!B:B,"906-340348-110",Plan!ak:ak)</f>
        <v>0</v>
      </c>
      <c r="AL1262">
        <f>sumif(Plan!B:B,"906-340348-110",Plan!al:al)</f>
        <v>0</v>
      </c>
      <c r="AM1262">
        <f>sumif(Plan!B:B,"906-340348-110",Plan!am:am)</f>
        <v>0</v>
      </c>
      <c r="AN1262">
        <f>sumif(Plan!B:B,"906-340348-110",Plan!an:an)</f>
        <v>0</v>
      </c>
      <c r="AO1262">
        <f>sumif(Plan!B:B,"906-340348-110",Plan!ao:ao)</f>
        <v>0</v>
      </c>
    </row>
    <row r="1263" spans="1:41">
      <c r="A1263" t="s">
        <v>17</v>
      </c>
      <c r="B1263" t="s">
        <v>828</v>
      </c>
      <c r="C1263" t="s">
        <v>816</v>
      </c>
      <c r="E1263">
        <v>1</v>
      </c>
      <c r="F1263" t="s">
        <v>13</v>
      </c>
      <c r="H1263" t="s">
        <v>16</v>
      </c>
      <c r="J1263">
        <f>indirect(address(1263,9))+indirect(address(1261,10))-indirect(address(1262,10))</f>
        <v>0</v>
      </c>
      <c r="K1263">
        <f>indirect(address(1263,10))+indirect(address(1261,11))-indirect(address(1262,11))</f>
        <v>0</v>
      </c>
      <c r="L1263">
        <f>indirect(address(1263,11))+indirect(address(1261,12))-indirect(address(1262,12))</f>
        <v>0</v>
      </c>
      <c r="M1263">
        <f>indirect(address(1263,12))+indirect(address(1261,13))-indirect(address(1262,13))</f>
        <v>0</v>
      </c>
      <c r="N1263">
        <f>indirect(address(1263,13))+indirect(address(1261,14))-indirect(address(1262,14))</f>
        <v>0</v>
      </c>
      <c r="O1263">
        <f>indirect(address(1263,14))+indirect(address(1261,15))-indirect(address(1262,15))</f>
        <v>0</v>
      </c>
      <c r="P1263">
        <f>indirect(address(1263,15))+indirect(address(1261,16))-indirect(address(1262,16))</f>
        <v>0</v>
      </c>
      <c r="Q1263">
        <f>indirect(address(1263,16))+indirect(address(1261,17))-indirect(address(1262,17))</f>
        <v>0</v>
      </c>
      <c r="R1263">
        <f>indirect(address(1263,17))+indirect(address(1261,18))-indirect(address(1262,18))</f>
        <v>0</v>
      </c>
      <c r="S1263">
        <f>indirect(address(1263,18))+indirect(address(1261,19))-indirect(address(1262,19))</f>
        <v>0</v>
      </c>
      <c r="T1263">
        <f>indirect(address(1263,19))+indirect(address(1261,20))-indirect(address(1262,20))</f>
        <v>0</v>
      </c>
      <c r="U1263">
        <f>indirect(address(1263,20))+indirect(address(1261,21))-indirect(address(1262,21))</f>
        <v>0</v>
      </c>
      <c r="V1263">
        <f>indirect(address(1263,21))+indirect(address(1261,22))-indirect(address(1262,22))</f>
        <v>0</v>
      </c>
      <c r="W1263">
        <f>indirect(address(1263,22))+indirect(address(1261,23))-indirect(address(1262,23))</f>
        <v>0</v>
      </c>
      <c r="X1263">
        <f>indirect(address(1263,23))+indirect(address(1261,24))-indirect(address(1262,24))</f>
        <v>0</v>
      </c>
      <c r="Y1263">
        <f>indirect(address(1263,24))+indirect(address(1261,25))-indirect(address(1262,25))</f>
        <v>0</v>
      </c>
      <c r="Z1263">
        <f>indirect(address(1263,25))+indirect(address(1261,26))-indirect(address(1262,26))</f>
        <v>0</v>
      </c>
      <c r="AA1263">
        <f>indirect(address(1263,26))+indirect(address(1261,27))-indirect(address(1262,27))</f>
        <v>0</v>
      </c>
      <c r="AB1263">
        <f>indirect(address(1263,27))+indirect(address(1261,28))-indirect(address(1262,28))</f>
        <v>0</v>
      </c>
      <c r="AC1263">
        <f>indirect(address(1263,28))+indirect(address(1261,29))-indirect(address(1262,29))</f>
        <v>0</v>
      </c>
      <c r="AD1263">
        <f>indirect(address(1263,29))+indirect(address(1261,30))-indirect(address(1262,30))</f>
        <v>0</v>
      </c>
      <c r="AE1263">
        <f>indirect(address(1263,30))+indirect(address(1261,31))-indirect(address(1262,31))</f>
        <v>0</v>
      </c>
      <c r="AF1263">
        <f>indirect(address(1263,31))+indirect(address(1261,32))-indirect(address(1262,32))</f>
        <v>0</v>
      </c>
      <c r="AG1263">
        <f>indirect(address(1263,32))+indirect(address(1261,33))-indirect(address(1262,33))</f>
        <v>0</v>
      </c>
      <c r="AH1263">
        <f>indirect(address(1263,33))+indirect(address(1261,34))-indirect(address(1262,34))</f>
        <v>0</v>
      </c>
      <c r="AI1263">
        <f>indirect(address(1263,34))+indirect(address(1261,35))-indirect(address(1262,35))</f>
        <v>0</v>
      </c>
      <c r="AJ1263">
        <f>indirect(address(1263,35))+indirect(address(1261,36))-indirect(address(1262,36))</f>
        <v>0</v>
      </c>
      <c r="AK1263">
        <f>indirect(address(1263,36))+indirect(address(1261,37))-indirect(address(1262,37))</f>
        <v>0</v>
      </c>
      <c r="AL1263">
        <f>indirect(address(1263,37))+indirect(address(1261,38))-indirect(address(1262,38))</f>
        <v>0</v>
      </c>
      <c r="AM1263">
        <f>indirect(address(1263,38))+indirect(address(1261,39))-indirect(address(1262,39))</f>
        <v>0</v>
      </c>
      <c r="AN1263">
        <f>indirect(address(1263,39))+indirect(address(1261,40))-indirect(address(1262,40))</f>
        <v>0</v>
      </c>
      <c r="AO1263">
        <f>indirect(address(1263,40))+indirect(address(1261,41))-indirect(address(1262,41))</f>
        <v>0</v>
      </c>
    </row>
    <row r="1264" spans="1:41">
      <c r="I1264" t="s">
        <v>14</v>
      </c>
      <c r="AO1264">
        <f>sum(j1264:an1264)</f>
        <v>0</v>
      </c>
    </row>
    <row r="1265" spans="1:41">
      <c r="I1265" t="s">
        <v>15</v>
      </c>
      <c r="J1265">
        <f>sumif(Plan!B:B,"271-002100-000",Plan!j:j)</f>
        <v>0</v>
      </c>
      <c r="K1265">
        <f>sumif(Plan!B:B,"271-002100-000",Plan!k:k)</f>
        <v>0</v>
      </c>
      <c r="L1265">
        <f>sumif(Plan!B:B,"271-002100-000",Plan!l:l)</f>
        <v>0</v>
      </c>
      <c r="M1265">
        <f>sumif(Plan!B:B,"271-002100-000",Plan!m:m)</f>
        <v>0</v>
      </c>
      <c r="N1265">
        <f>sumif(Plan!B:B,"271-002100-000",Plan!n:n)</f>
        <v>0</v>
      </c>
      <c r="O1265">
        <f>sumif(Plan!B:B,"271-002100-000",Plan!o:o)</f>
        <v>0</v>
      </c>
      <c r="P1265">
        <f>sumif(Plan!B:B,"271-002100-000",Plan!p:p)</f>
        <v>0</v>
      </c>
      <c r="Q1265">
        <f>sumif(Plan!B:B,"271-002100-000",Plan!q:q)</f>
        <v>0</v>
      </c>
      <c r="R1265">
        <f>sumif(Plan!B:B,"271-002100-000",Plan!r:r)</f>
        <v>0</v>
      </c>
      <c r="S1265">
        <f>sumif(Plan!B:B,"271-002100-000",Plan!s:s)</f>
        <v>0</v>
      </c>
      <c r="T1265">
        <f>sumif(Plan!B:B,"271-002100-000",Plan!t:t)</f>
        <v>0</v>
      </c>
      <c r="U1265">
        <f>sumif(Plan!B:B,"271-002100-000",Plan!u:u)</f>
        <v>0</v>
      </c>
      <c r="V1265">
        <f>sumif(Plan!B:B,"271-002100-000",Plan!v:v)</f>
        <v>0</v>
      </c>
      <c r="W1265">
        <f>sumif(Plan!B:B,"271-002100-000",Plan!w:w)</f>
        <v>0</v>
      </c>
      <c r="X1265">
        <f>sumif(Plan!B:B,"271-002100-000",Plan!x:x)</f>
        <v>0</v>
      </c>
      <c r="Y1265">
        <f>sumif(Plan!B:B,"271-002100-000",Plan!y:y)</f>
        <v>0</v>
      </c>
      <c r="Z1265">
        <f>sumif(Plan!B:B,"271-002100-000",Plan!z:z)</f>
        <v>0</v>
      </c>
      <c r="AA1265">
        <f>sumif(Plan!B:B,"271-002100-000",Plan!aa:aa)</f>
        <v>0</v>
      </c>
      <c r="AB1265">
        <f>sumif(Plan!B:B,"271-002100-000",Plan!ab:ab)</f>
        <v>0</v>
      </c>
      <c r="AC1265">
        <f>sumif(Plan!B:B,"271-002100-000",Plan!ac:ac)</f>
        <v>0</v>
      </c>
      <c r="AD1265">
        <f>sumif(Plan!B:B,"271-002100-000",Plan!ad:ad)</f>
        <v>0</v>
      </c>
      <c r="AE1265">
        <f>sumif(Plan!B:B,"271-002100-000",Plan!ae:ae)</f>
        <v>0</v>
      </c>
      <c r="AF1265">
        <f>sumif(Plan!B:B,"271-002100-000",Plan!af:af)</f>
        <v>0</v>
      </c>
      <c r="AG1265">
        <f>sumif(Plan!B:B,"271-002100-000",Plan!ag:ag)</f>
        <v>0</v>
      </c>
      <c r="AH1265">
        <f>sumif(Plan!B:B,"271-002100-000",Plan!ah:ah)</f>
        <v>0</v>
      </c>
      <c r="AI1265">
        <f>sumif(Plan!B:B,"271-002100-000",Plan!ai:ai)</f>
        <v>0</v>
      </c>
      <c r="AJ1265">
        <f>sumif(Plan!B:B,"271-002100-000",Plan!aj:aj)</f>
        <v>0</v>
      </c>
      <c r="AK1265">
        <f>sumif(Plan!B:B,"271-002100-000",Plan!ak:ak)</f>
        <v>0</v>
      </c>
      <c r="AL1265">
        <f>sumif(Plan!B:B,"271-002100-000",Plan!al:al)</f>
        <v>0</v>
      </c>
      <c r="AM1265">
        <f>sumif(Plan!B:B,"271-002100-000",Plan!am:am)</f>
        <v>0</v>
      </c>
      <c r="AN1265">
        <f>sumif(Plan!B:B,"271-002100-000",Plan!an:an)</f>
        <v>0</v>
      </c>
      <c r="AO1265">
        <f>sumif(Plan!B:B,"271-002100-000",Plan!ao:ao)</f>
        <v>0</v>
      </c>
    </row>
    <row r="1266" spans="1:41">
      <c r="A1266" t="s">
        <v>22</v>
      </c>
      <c r="B1266" t="s">
        <v>829</v>
      </c>
      <c r="C1266" t="s">
        <v>820</v>
      </c>
      <c r="E1266">
        <v>1</v>
      </c>
      <c r="F1266" t="s">
        <v>13</v>
      </c>
      <c r="H1266" t="s">
        <v>16</v>
      </c>
      <c r="J1266">
        <f>indirect(address(1266,9))+indirect(address(1264,10))-indirect(address(1265,10))</f>
        <v>0</v>
      </c>
      <c r="K1266">
        <f>indirect(address(1266,10))+indirect(address(1264,11))-indirect(address(1265,11))</f>
        <v>0</v>
      </c>
      <c r="L1266">
        <f>indirect(address(1266,11))+indirect(address(1264,12))-indirect(address(1265,12))</f>
        <v>0</v>
      </c>
      <c r="M1266">
        <f>indirect(address(1266,12))+indirect(address(1264,13))-indirect(address(1265,13))</f>
        <v>0</v>
      </c>
      <c r="N1266">
        <f>indirect(address(1266,13))+indirect(address(1264,14))-indirect(address(1265,14))</f>
        <v>0</v>
      </c>
      <c r="O1266">
        <f>indirect(address(1266,14))+indirect(address(1264,15))-indirect(address(1265,15))</f>
        <v>0</v>
      </c>
      <c r="P1266">
        <f>indirect(address(1266,15))+indirect(address(1264,16))-indirect(address(1265,16))</f>
        <v>0</v>
      </c>
      <c r="Q1266">
        <f>indirect(address(1266,16))+indirect(address(1264,17))-indirect(address(1265,17))</f>
        <v>0</v>
      </c>
      <c r="R1266">
        <f>indirect(address(1266,17))+indirect(address(1264,18))-indirect(address(1265,18))</f>
        <v>0</v>
      </c>
      <c r="S1266">
        <f>indirect(address(1266,18))+indirect(address(1264,19))-indirect(address(1265,19))</f>
        <v>0</v>
      </c>
      <c r="T1266">
        <f>indirect(address(1266,19))+indirect(address(1264,20))-indirect(address(1265,20))</f>
        <v>0</v>
      </c>
      <c r="U1266">
        <f>indirect(address(1266,20))+indirect(address(1264,21))-indirect(address(1265,21))</f>
        <v>0</v>
      </c>
      <c r="V1266">
        <f>indirect(address(1266,21))+indirect(address(1264,22))-indirect(address(1265,22))</f>
        <v>0</v>
      </c>
      <c r="W1266">
        <f>indirect(address(1266,22))+indirect(address(1264,23))-indirect(address(1265,23))</f>
        <v>0</v>
      </c>
      <c r="X1266">
        <f>indirect(address(1266,23))+indirect(address(1264,24))-indirect(address(1265,24))</f>
        <v>0</v>
      </c>
      <c r="Y1266">
        <f>indirect(address(1266,24))+indirect(address(1264,25))-indirect(address(1265,25))</f>
        <v>0</v>
      </c>
      <c r="Z1266">
        <f>indirect(address(1266,25))+indirect(address(1264,26))-indirect(address(1265,26))</f>
        <v>0</v>
      </c>
      <c r="AA1266">
        <f>indirect(address(1266,26))+indirect(address(1264,27))-indirect(address(1265,27))</f>
        <v>0</v>
      </c>
      <c r="AB1266">
        <f>indirect(address(1266,27))+indirect(address(1264,28))-indirect(address(1265,28))</f>
        <v>0</v>
      </c>
      <c r="AC1266">
        <f>indirect(address(1266,28))+indirect(address(1264,29))-indirect(address(1265,29))</f>
        <v>0</v>
      </c>
      <c r="AD1266">
        <f>indirect(address(1266,29))+indirect(address(1264,30))-indirect(address(1265,30))</f>
        <v>0</v>
      </c>
      <c r="AE1266">
        <f>indirect(address(1266,30))+indirect(address(1264,31))-indirect(address(1265,31))</f>
        <v>0</v>
      </c>
      <c r="AF1266">
        <f>indirect(address(1266,31))+indirect(address(1264,32))-indirect(address(1265,32))</f>
        <v>0</v>
      </c>
      <c r="AG1266">
        <f>indirect(address(1266,32))+indirect(address(1264,33))-indirect(address(1265,33))</f>
        <v>0</v>
      </c>
      <c r="AH1266">
        <f>indirect(address(1266,33))+indirect(address(1264,34))-indirect(address(1265,34))</f>
        <v>0</v>
      </c>
      <c r="AI1266">
        <f>indirect(address(1266,34))+indirect(address(1264,35))-indirect(address(1265,35))</f>
        <v>0</v>
      </c>
      <c r="AJ1266">
        <f>indirect(address(1266,35))+indirect(address(1264,36))-indirect(address(1265,36))</f>
        <v>0</v>
      </c>
      <c r="AK1266">
        <f>indirect(address(1266,36))+indirect(address(1264,37))-indirect(address(1265,37))</f>
        <v>0</v>
      </c>
      <c r="AL1266">
        <f>indirect(address(1266,37))+indirect(address(1264,38))-indirect(address(1265,38))</f>
        <v>0</v>
      </c>
      <c r="AM1266">
        <f>indirect(address(1266,38))+indirect(address(1264,39))-indirect(address(1265,39))</f>
        <v>0</v>
      </c>
      <c r="AN1266">
        <f>indirect(address(1266,39))+indirect(address(1264,40))-indirect(address(1265,40))</f>
        <v>0</v>
      </c>
      <c r="AO1266">
        <f>indirect(address(1266,40))+indirect(address(1264,41))-indirect(address(1265,41))</f>
        <v>0</v>
      </c>
    </row>
    <row r="1267" spans="1:41">
      <c r="I1267" t="s">
        <v>14</v>
      </c>
      <c r="AO1267">
        <f>sum(j1267:an1267)</f>
        <v>0</v>
      </c>
    </row>
    <row r="1268" spans="1:41">
      <c r="I1268" t="s">
        <v>15</v>
      </c>
      <c r="J1268">
        <f>sumif(Plan!B:B,"906-475348-110",Plan!j:j)</f>
        <v>0</v>
      </c>
      <c r="K1268">
        <f>sumif(Plan!B:B,"906-475348-110",Plan!k:k)</f>
        <v>0</v>
      </c>
      <c r="L1268">
        <f>sumif(Plan!B:B,"906-475348-110",Plan!l:l)</f>
        <v>0</v>
      </c>
      <c r="M1268">
        <f>sumif(Plan!B:B,"906-475348-110",Plan!m:m)</f>
        <v>0</v>
      </c>
      <c r="N1268">
        <f>sumif(Plan!B:B,"906-475348-110",Plan!n:n)</f>
        <v>0</v>
      </c>
      <c r="O1268">
        <f>sumif(Plan!B:B,"906-475348-110",Plan!o:o)</f>
        <v>0</v>
      </c>
      <c r="P1268">
        <f>sumif(Plan!B:B,"906-475348-110",Plan!p:p)</f>
        <v>0</v>
      </c>
      <c r="Q1268">
        <f>sumif(Plan!B:B,"906-475348-110",Plan!q:q)</f>
        <v>0</v>
      </c>
      <c r="R1268">
        <f>sumif(Plan!B:B,"906-475348-110",Plan!r:r)</f>
        <v>0</v>
      </c>
      <c r="S1268">
        <f>sumif(Plan!B:B,"906-475348-110",Plan!s:s)</f>
        <v>0</v>
      </c>
      <c r="T1268">
        <f>sumif(Plan!B:B,"906-475348-110",Plan!t:t)</f>
        <v>0</v>
      </c>
      <c r="U1268">
        <f>sumif(Plan!B:B,"906-475348-110",Plan!u:u)</f>
        <v>0</v>
      </c>
      <c r="V1268">
        <f>sumif(Plan!B:B,"906-475348-110",Plan!v:v)</f>
        <v>0</v>
      </c>
      <c r="W1268">
        <f>sumif(Plan!B:B,"906-475348-110",Plan!w:w)</f>
        <v>0</v>
      </c>
      <c r="X1268">
        <f>sumif(Plan!B:B,"906-475348-110",Plan!x:x)</f>
        <v>0</v>
      </c>
      <c r="Y1268">
        <f>sumif(Plan!B:B,"906-475348-110",Plan!y:y)</f>
        <v>0</v>
      </c>
      <c r="Z1268">
        <f>sumif(Plan!B:B,"906-475348-110",Plan!z:z)</f>
        <v>0</v>
      </c>
      <c r="AA1268">
        <f>sumif(Plan!B:B,"906-475348-110",Plan!aa:aa)</f>
        <v>0</v>
      </c>
      <c r="AB1268">
        <f>sumif(Plan!B:B,"906-475348-110",Plan!ab:ab)</f>
        <v>0</v>
      </c>
      <c r="AC1268">
        <f>sumif(Plan!B:B,"906-475348-110",Plan!ac:ac)</f>
        <v>0</v>
      </c>
      <c r="AD1268">
        <f>sumif(Plan!B:B,"906-475348-110",Plan!ad:ad)</f>
        <v>0</v>
      </c>
      <c r="AE1268">
        <f>sumif(Plan!B:B,"906-475348-110",Plan!ae:ae)</f>
        <v>0</v>
      </c>
      <c r="AF1268">
        <f>sumif(Plan!B:B,"906-475348-110",Plan!af:af)</f>
        <v>0</v>
      </c>
      <c r="AG1268">
        <f>sumif(Plan!B:B,"906-475348-110",Plan!ag:ag)</f>
        <v>0</v>
      </c>
      <c r="AH1268">
        <f>sumif(Plan!B:B,"906-475348-110",Plan!ah:ah)</f>
        <v>0</v>
      </c>
      <c r="AI1268">
        <f>sumif(Plan!B:B,"906-475348-110",Plan!ai:ai)</f>
        <v>0</v>
      </c>
      <c r="AJ1268">
        <f>sumif(Plan!B:B,"906-475348-110",Plan!aj:aj)</f>
        <v>0</v>
      </c>
      <c r="AK1268">
        <f>sumif(Plan!B:B,"906-475348-110",Plan!ak:ak)</f>
        <v>0</v>
      </c>
      <c r="AL1268">
        <f>sumif(Plan!B:B,"906-475348-110",Plan!al:al)</f>
        <v>0</v>
      </c>
      <c r="AM1268">
        <f>sumif(Plan!B:B,"906-475348-110",Plan!am:am)</f>
        <v>0</v>
      </c>
      <c r="AN1268">
        <f>sumif(Plan!B:B,"906-475348-110",Plan!an:an)</f>
        <v>0</v>
      </c>
      <c r="AO1268">
        <f>sumif(Plan!B:B,"906-475348-110",Plan!ao:ao)</f>
        <v>0</v>
      </c>
    </row>
    <row r="1269" spans="1:41">
      <c r="A1269" t="s">
        <v>17</v>
      </c>
      <c r="B1269" t="s">
        <v>831</v>
      </c>
      <c r="C1269" t="s">
        <v>832</v>
      </c>
      <c r="E1269">
        <v>1</v>
      </c>
      <c r="F1269" t="s">
        <v>13</v>
      </c>
      <c r="H1269" t="s">
        <v>16</v>
      </c>
      <c r="J1269">
        <f>indirect(address(1269,9))+indirect(address(1267,10))-indirect(address(1268,10))</f>
        <v>0</v>
      </c>
      <c r="K1269">
        <f>indirect(address(1269,10))+indirect(address(1267,11))-indirect(address(1268,11))</f>
        <v>0</v>
      </c>
      <c r="L1269">
        <f>indirect(address(1269,11))+indirect(address(1267,12))-indirect(address(1268,12))</f>
        <v>0</v>
      </c>
      <c r="M1269">
        <f>indirect(address(1269,12))+indirect(address(1267,13))-indirect(address(1268,13))</f>
        <v>0</v>
      </c>
      <c r="N1269">
        <f>indirect(address(1269,13))+indirect(address(1267,14))-indirect(address(1268,14))</f>
        <v>0</v>
      </c>
      <c r="O1269">
        <f>indirect(address(1269,14))+indirect(address(1267,15))-indirect(address(1268,15))</f>
        <v>0</v>
      </c>
      <c r="P1269">
        <f>indirect(address(1269,15))+indirect(address(1267,16))-indirect(address(1268,16))</f>
        <v>0</v>
      </c>
      <c r="Q1269">
        <f>indirect(address(1269,16))+indirect(address(1267,17))-indirect(address(1268,17))</f>
        <v>0</v>
      </c>
      <c r="R1269">
        <f>indirect(address(1269,17))+indirect(address(1267,18))-indirect(address(1268,18))</f>
        <v>0</v>
      </c>
      <c r="S1269">
        <f>indirect(address(1269,18))+indirect(address(1267,19))-indirect(address(1268,19))</f>
        <v>0</v>
      </c>
      <c r="T1269">
        <f>indirect(address(1269,19))+indirect(address(1267,20))-indirect(address(1268,20))</f>
        <v>0</v>
      </c>
      <c r="U1269">
        <f>indirect(address(1269,20))+indirect(address(1267,21))-indirect(address(1268,21))</f>
        <v>0</v>
      </c>
      <c r="V1269">
        <f>indirect(address(1269,21))+indirect(address(1267,22))-indirect(address(1268,22))</f>
        <v>0</v>
      </c>
      <c r="W1269">
        <f>indirect(address(1269,22))+indirect(address(1267,23))-indirect(address(1268,23))</f>
        <v>0</v>
      </c>
      <c r="X1269">
        <f>indirect(address(1269,23))+indirect(address(1267,24))-indirect(address(1268,24))</f>
        <v>0</v>
      </c>
      <c r="Y1269">
        <f>indirect(address(1269,24))+indirect(address(1267,25))-indirect(address(1268,25))</f>
        <v>0</v>
      </c>
      <c r="Z1269">
        <f>indirect(address(1269,25))+indirect(address(1267,26))-indirect(address(1268,26))</f>
        <v>0</v>
      </c>
      <c r="AA1269">
        <f>indirect(address(1269,26))+indirect(address(1267,27))-indirect(address(1268,27))</f>
        <v>0</v>
      </c>
      <c r="AB1269">
        <f>indirect(address(1269,27))+indirect(address(1267,28))-indirect(address(1268,28))</f>
        <v>0</v>
      </c>
      <c r="AC1269">
        <f>indirect(address(1269,28))+indirect(address(1267,29))-indirect(address(1268,29))</f>
        <v>0</v>
      </c>
      <c r="AD1269">
        <f>indirect(address(1269,29))+indirect(address(1267,30))-indirect(address(1268,30))</f>
        <v>0</v>
      </c>
      <c r="AE1269">
        <f>indirect(address(1269,30))+indirect(address(1267,31))-indirect(address(1268,31))</f>
        <v>0</v>
      </c>
      <c r="AF1269">
        <f>indirect(address(1269,31))+indirect(address(1267,32))-indirect(address(1268,32))</f>
        <v>0</v>
      </c>
      <c r="AG1269">
        <f>indirect(address(1269,32))+indirect(address(1267,33))-indirect(address(1268,33))</f>
        <v>0</v>
      </c>
      <c r="AH1269">
        <f>indirect(address(1269,33))+indirect(address(1267,34))-indirect(address(1268,34))</f>
        <v>0</v>
      </c>
      <c r="AI1269">
        <f>indirect(address(1269,34))+indirect(address(1267,35))-indirect(address(1268,35))</f>
        <v>0</v>
      </c>
      <c r="AJ1269">
        <f>indirect(address(1269,35))+indirect(address(1267,36))-indirect(address(1268,36))</f>
        <v>0</v>
      </c>
      <c r="AK1269">
        <f>indirect(address(1269,36))+indirect(address(1267,37))-indirect(address(1268,37))</f>
        <v>0</v>
      </c>
      <c r="AL1269">
        <f>indirect(address(1269,37))+indirect(address(1267,38))-indirect(address(1268,38))</f>
        <v>0</v>
      </c>
      <c r="AM1269">
        <f>indirect(address(1269,38))+indirect(address(1267,39))-indirect(address(1268,39))</f>
        <v>0</v>
      </c>
      <c r="AN1269">
        <f>indirect(address(1269,39))+indirect(address(1267,40))-indirect(address(1268,40))</f>
        <v>0</v>
      </c>
      <c r="AO1269">
        <f>indirect(address(1269,40))+indirect(address(1267,41))-indirect(address(1268,41))</f>
        <v>0</v>
      </c>
    </row>
    <row r="1270" spans="1:41">
      <c r="I1270" t="s">
        <v>14</v>
      </c>
      <c r="AO1270">
        <f>sum(j1270:an1270)</f>
        <v>0</v>
      </c>
    </row>
    <row r="1271" spans="1:41">
      <c r="I1271" t="s">
        <v>15</v>
      </c>
      <c r="J1271">
        <f>sumif(Plan!B:B,"906-476348-110",Plan!j:j)</f>
        <v>0</v>
      </c>
      <c r="K1271">
        <f>sumif(Plan!B:B,"906-476348-110",Plan!k:k)</f>
        <v>0</v>
      </c>
      <c r="L1271">
        <f>sumif(Plan!B:B,"906-476348-110",Plan!l:l)</f>
        <v>0</v>
      </c>
      <c r="M1271">
        <f>sumif(Plan!B:B,"906-476348-110",Plan!m:m)</f>
        <v>0</v>
      </c>
      <c r="N1271">
        <f>sumif(Plan!B:B,"906-476348-110",Plan!n:n)</f>
        <v>0</v>
      </c>
      <c r="O1271">
        <f>sumif(Plan!B:B,"906-476348-110",Plan!o:o)</f>
        <v>0</v>
      </c>
      <c r="P1271">
        <f>sumif(Plan!B:B,"906-476348-110",Plan!p:p)</f>
        <v>0</v>
      </c>
      <c r="Q1271">
        <f>sumif(Plan!B:B,"906-476348-110",Plan!q:q)</f>
        <v>0</v>
      </c>
      <c r="R1271">
        <f>sumif(Plan!B:B,"906-476348-110",Plan!r:r)</f>
        <v>0</v>
      </c>
      <c r="S1271">
        <f>sumif(Plan!B:B,"906-476348-110",Plan!s:s)</f>
        <v>0</v>
      </c>
      <c r="T1271">
        <f>sumif(Plan!B:B,"906-476348-110",Plan!t:t)</f>
        <v>0</v>
      </c>
      <c r="U1271">
        <f>sumif(Plan!B:B,"906-476348-110",Plan!u:u)</f>
        <v>0</v>
      </c>
      <c r="V1271">
        <f>sumif(Plan!B:B,"906-476348-110",Plan!v:v)</f>
        <v>0</v>
      </c>
      <c r="W1271">
        <f>sumif(Plan!B:B,"906-476348-110",Plan!w:w)</f>
        <v>0</v>
      </c>
      <c r="X1271">
        <f>sumif(Plan!B:B,"906-476348-110",Plan!x:x)</f>
        <v>0</v>
      </c>
      <c r="Y1271">
        <f>sumif(Plan!B:B,"906-476348-110",Plan!y:y)</f>
        <v>0</v>
      </c>
      <c r="Z1271">
        <f>sumif(Plan!B:B,"906-476348-110",Plan!z:z)</f>
        <v>0</v>
      </c>
      <c r="AA1271">
        <f>sumif(Plan!B:B,"906-476348-110",Plan!aa:aa)</f>
        <v>0</v>
      </c>
      <c r="AB1271">
        <f>sumif(Plan!B:B,"906-476348-110",Plan!ab:ab)</f>
        <v>0</v>
      </c>
      <c r="AC1271">
        <f>sumif(Plan!B:B,"906-476348-110",Plan!ac:ac)</f>
        <v>0</v>
      </c>
      <c r="AD1271">
        <f>sumif(Plan!B:B,"906-476348-110",Plan!ad:ad)</f>
        <v>0</v>
      </c>
      <c r="AE1271">
        <f>sumif(Plan!B:B,"906-476348-110",Plan!ae:ae)</f>
        <v>0</v>
      </c>
      <c r="AF1271">
        <f>sumif(Plan!B:B,"906-476348-110",Plan!af:af)</f>
        <v>0</v>
      </c>
      <c r="AG1271">
        <f>sumif(Plan!B:B,"906-476348-110",Plan!ag:ag)</f>
        <v>0</v>
      </c>
      <c r="AH1271">
        <f>sumif(Plan!B:B,"906-476348-110",Plan!ah:ah)</f>
        <v>0</v>
      </c>
      <c r="AI1271">
        <f>sumif(Plan!B:B,"906-476348-110",Plan!ai:ai)</f>
        <v>0</v>
      </c>
      <c r="AJ1271">
        <f>sumif(Plan!B:B,"906-476348-110",Plan!aj:aj)</f>
        <v>0</v>
      </c>
      <c r="AK1271">
        <f>sumif(Plan!B:B,"906-476348-110",Plan!ak:ak)</f>
        <v>0</v>
      </c>
      <c r="AL1271">
        <f>sumif(Plan!B:B,"906-476348-110",Plan!al:al)</f>
        <v>0</v>
      </c>
      <c r="AM1271">
        <f>sumif(Plan!B:B,"906-476348-110",Plan!am:am)</f>
        <v>0</v>
      </c>
      <c r="AN1271">
        <f>sumif(Plan!B:B,"906-476348-110",Plan!an:an)</f>
        <v>0</v>
      </c>
      <c r="AO1271">
        <f>sumif(Plan!B:B,"906-476348-110",Plan!ao:ao)</f>
        <v>0</v>
      </c>
    </row>
    <row r="1272" spans="1:41">
      <c r="A1272" t="s">
        <v>17</v>
      </c>
      <c r="B1272" t="s">
        <v>834</v>
      </c>
      <c r="C1272" t="s">
        <v>816</v>
      </c>
      <c r="E1272">
        <v>1</v>
      </c>
      <c r="F1272" t="s">
        <v>13</v>
      </c>
      <c r="H1272" t="s">
        <v>16</v>
      </c>
      <c r="J1272">
        <f>indirect(address(1272,9))+indirect(address(1270,10))-indirect(address(1271,10))</f>
        <v>0</v>
      </c>
      <c r="K1272">
        <f>indirect(address(1272,10))+indirect(address(1270,11))-indirect(address(1271,11))</f>
        <v>0</v>
      </c>
      <c r="L1272">
        <f>indirect(address(1272,11))+indirect(address(1270,12))-indirect(address(1271,12))</f>
        <v>0</v>
      </c>
      <c r="M1272">
        <f>indirect(address(1272,12))+indirect(address(1270,13))-indirect(address(1271,13))</f>
        <v>0</v>
      </c>
      <c r="N1272">
        <f>indirect(address(1272,13))+indirect(address(1270,14))-indirect(address(1271,14))</f>
        <v>0</v>
      </c>
      <c r="O1272">
        <f>indirect(address(1272,14))+indirect(address(1270,15))-indirect(address(1271,15))</f>
        <v>0</v>
      </c>
      <c r="P1272">
        <f>indirect(address(1272,15))+indirect(address(1270,16))-indirect(address(1271,16))</f>
        <v>0</v>
      </c>
      <c r="Q1272">
        <f>indirect(address(1272,16))+indirect(address(1270,17))-indirect(address(1271,17))</f>
        <v>0</v>
      </c>
      <c r="R1272">
        <f>indirect(address(1272,17))+indirect(address(1270,18))-indirect(address(1271,18))</f>
        <v>0</v>
      </c>
      <c r="S1272">
        <f>indirect(address(1272,18))+indirect(address(1270,19))-indirect(address(1271,19))</f>
        <v>0</v>
      </c>
      <c r="T1272">
        <f>indirect(address(1272,19))+indirect(address(1270,20))-indirect(address(1271,20))</f>
        <v>0</v>
      </c>
      <c r="U1272">
        <f>indirect(address(1272,20))+indirect(address(1270,21))-indirect(address(1271,21))</f>
        <v>0</v>
      </c>
      <c r="V1272">
        <f>indirect(address(1272,21))+indirect(address(1270,22))-indirect(address(1271,22))</f>
        <v>0</v>
      </c>
      <c r="W1272">
        <f>indirect(address(1272,22))+indirect(address(1270,23))-indirect(address(1271,23))</f>
        <v>0</v>
      </c>
      <c r="X1272">
        <f>indirect(address(1272,23))+indirect(address(1270,24))-indirect(address(1271,24))</f>
        <v>0</v>
      </c>
      <c r="Y1272">
        <f>indirect(address(1272,24))+indirect(address(1270,25))-indirect(address(1271,25))</f>
        <v>0</v>
      </c>
      <c r="Z1272">
        <f>indirect(address(1272,25))+indirect(address(1270,26))-indirect(address(1271,26))</f>
        <v>0</v>
      </c>
      <c r="AA1272">
        <f>indirect(address(1272,26))+indirect(address(1270,27))-indirect(address(1271,27))</f>
        <v>0</v>
      </c>
      <c r="AB1272">
        <f>indirect(address(1272,27))+indirect(address(1270,28))-indirect(address(1271,28))</f>
        <v>0</v>
      </c>
      <c r="AC1272">
        <f>indirect(address(1272,28))+indirect(address(1270,29))-indirect(address(1271,29))</f>
        <v>0</v>
      </c>
      <c r="AD1272">
        <f>indirect(address(1272,29))+indirect(address(1270,30))-indirect(address(1271,30))</f>
        <v>0</v>
      </c>
      <c r="AE1272">
        <f>indirect(address(1272,30))+indirect(address(1270,31))-indirect(address(1271,31))</f>
        <v>0</v>
      </c>
      <c r="AF1272">
        <f>indirect(address(1272,31))+indirect(address(1270,32))-indirect(address(1271,32))</f>
        <v>0</v>
      </c>
      <c r="AG1272">
        <f>indirect(address(1272,32))+indirect(address(1270,33))-indirect(address(1271,33))</f>
        <v>0</v>
      </c>
      <c r="AH1272">
        <f>indirect(address(1272,33))+indirect(address(1270,34))-indirect(address(1271,34))</f>
        <v>0</v>
      </c>
      <c r="AI1272">
        <f>indirect(address(1272,34))+indirect(address(1270,35))-indirect(address(1271,35))</f>
        <v>0</v>
      </c>
      <c r="AJ1272">
        <f>indirect(address(1272,35))+indirect(address(1270,36))-indirect(address(1271,36))</f>
        <v>0</v>
      </c>
      <c r="AK1272">
        <f>indirect(address(1272,36))+indirect(address(1270,37))-indirect(address(1271,37))</f>
        <v>0</v>
      </c>
      <c r="AL1272">
        <f>indirect(address(1272,37))+indirect(address(1270,38))-indirect(address(1271,38))</f>
        <v>0</v>
      </c>
      <c r="AM1272">
        <f>indirect(address(1272,38))+indirect(address(1270,39))-indirect(address(1271,39))</f>
        <v>0</v>
      </c>
      <c r="AN1272">
        <f>indirect(address(1272,39))+indirect(address(1270,40))-indirect(address(1271,40))</f>
        <v>0</v>
      </c>
      <c r="AO1272">
        <f>indirect(address(1272,40))+indirect(address(1270,41))-indirect(address(1271,41))</f>
        <v>0</v>
      </c>
    </row>
    <row r="1273" spans="1:41">
      <c r="I1273" t="s">
        <v>14</v>
      </c>
      <c r="AO1273">
        <f>sum(j1273:an1273)</f>
        <v>0</v>
      </c>
    </row>
    <row r="1274" spans="1:41">
      <c r="I1274" t="s">
        <v>15</v>
      </c>
      <c r="J1274">
        <f>sumif(Plan!B:B,"906-477348-110",Plan!j:j)</f>
        <v>0</v>
      </c>
      <c r="K1274">
        <f>sumif(Plan!B:B,"906-477348-110",Plan!k:k)</f>
        <v>0</v>
      </c>
      <c r="L1274">
        <f>sumif(Plan!B:B,"906-477348-110",Plan!l:l)</f>
        <v>0</v>
      </c>
      <c r="M1274">
        <f>sumif(Plan!B:B,"906-477348-110",Plan!m:m)</f>
        <v>0</v>
      </c>
      <c r="N1274">
        <f>sumif(Plan!B:B,"906-477348-110",Plan!n:n)</f>
        <v>0</v>
      </c>
      <c r="O1274">
        <f>sumif(Plan!B:B,"906-477348-110",Plan!o:o)</f>
        <v>0</v>
      </c>
      <c r="P1274">
        <f>sumif(Plan!B:B,"906-477348-110",Plan!p:p)</f>
        <v>0</v>
      </c>
      <c r="Q1274">
        <f>sumif(Plan!B:B,"906-477348-110",Plan!q:q)</f>
        <v>0</v>
      </c>
      <c r="R1274">
        <f>sumif(Plan!B:B,"906-477348-110",Plan!r:r)</f>
        <v>0</v>
      </c>
      <c r="S1274">
        <f>sumif(Plan!B:B,"906-477348-110",Plan!s:s)</f>
        <v>0</v>
      </c>
      <c r="T1274">
        <f>sumif(Plan!B:B,"906-477348-110",Plan!t:t)</f>
        <v>0</v>
      </c>
      <c r="U1274">
        <f>sumif(Plan!B:B,"906-477348-110",Plan!u:u)</f>
        <v>0</v>
      </c>
      <c r="V1274">
        <f>sumif(Plan!B:B,"906-477348-110",Plan!v:v)</f>
        <v>0</v>
      </c>
      <c r="W1274">
        <f>sumif(Plan!B:B,"906-477348-110",Plan!w:w)</f>
        <v>0</v>
      </c>
      <c r="X1274">
        <f>sumif(Plan!B:B,"906-477348-110",Plan!x:x)</f>
        <v>0</v>
      </c>
      <c r="Y1274">
        <f>sumif(Plan!B:B,"906-477348-110",Plan!y:y)</f>
        <v>0</v>
      </c>
      <c r="Z1274">
        <f>sumif(Plan!B:B,"906-477348-110",Plan!z:z)</f>
        <v>0</v>
      </c>
      <c r="AA1274">
        <f>sumif(Plan!B:B,"906-477348-110",Plan!aa:aa)</f>
        <v>0</v>
      </c>
      <c r="AB1274">
        <f>sumif(Plan!B:B,"906-477348-110",Plan!ab:ab)</f>
        <v>0</v>
      </c>
      <c r="AC1274">
        <f>sumif(Plan!B:B,"906-477348-110",Plan!ac:ac)</f>
        <v>0</v>
      </c>
      <c r="AD1274">
        <f>sumif(Plan!B:B,"906-477348-110",Plan!ad:ad)</f>
        <v>0</v>
      </c>
      <c r="AE1274">
        <f>sumif(Plan!B:B,"906-477348-110",Plan!ae:ae)</f>
        <v>0</v>
      </c>
      <c r="AF1274">
        <f>sumif(Plan!B:B,"906-477348-110",Plan!af:af)</f>
        <v>0</v>
      </c>
      <c r="AG1274">
        <f>sumif(Plan!B:B,"906-477348-110",Plan!ag:ag)</f>
        <v>0</v>
      </c>
      <c r="AH1274">
        <f>sumif(Plan!B:B,"906-477348-110",Plan!ah:ah)</f>
        <v>0</v>
      </c>
      <c r="AI1274">
        <f>sumif(Plan!B:B,"906-477348-110",Plan!ai:ai)</f>
        <v>0</v>
      </c>
      <c r="AJ1274">
        <f>sumif(Plan!B:B,"906-477348-110",Plan!aj:aj)</f>
        <v>0</v>
      </c>
      <c r="AK1274">
        <f>sumif(Plan!B:B,"906-477348-110",Plan!ak:ak)</f>
        <v>0</v>
      </c>
      <c r="AL1274">
        <f>sumif(Plan!B:B,"906-477348-110",Plan!al:al)</f>
        <v>0</v>
      </c>
      <c r="AM1274">
        <f>sumif(Plan!B:B,"906-477348-110",Plan!am:am)</f>
        <v>0</v>
      </c>
      <c r="AN1274">
        <f>sumif(Plan!B:B,"906-477348-110",Plan!an:an)</f>
        <v>0</v>
      </c>
      <c r="AO1274">
        <f>sumif(Plan!B:B,"906-477348-110",Plan!ao:ao)</f>
        <v>0</v>
      </c>
    </row>
    <row r="1275" spans="1:41">
      <c r="A1275" t="s">
        <v>17</v>
      </c>
      <c r="B1275" t="s">
        <v>836</v>
      </c>
      <c r="C1275" t="s">
        <v>816</v>
      </c>
      <c r="E1275">
        <v>1</v>
      </c>
      <c r="F1275" t="s">
        <v>13</v>
      </c>
      <c r="H1275" t="s">
        <v>16</v>
      </c>
      <c r="J1275">
        <f>indirect(address(1275,9))+indirect(address(1273,10))-indirect(address(1274,10))</f>
        <v>0</v>
      </c>
      <c r="K1275">
        <f>indirect(address(1275,10))+indirect(address(1273,11))-indirect(address(1274,11))</f>
        <v>0</v>
      </c>
      <c r="L1275">
        <f>indirect(address(1275,11))+indirect(address(1273,12))-indirect(address(1274,12))</f>
        <v>0</v>
      </c>
      <c r="M1275">
        <f>indirect(address(1275,12))+indirect(address(1273,13))-indirect(address(1274,13))</f>
        <v>0</v>
      </c>
      <c r="N1275">
        <f>indirect(address(1275,13))+indirect(address(1273,14))-indirect(address(1274,14))</f>
        <v>0</v>
      </c>
      <c r="O1275">
        <f>indirect(address(1275,14))+indirect(address(1273,15))-indirect(address(1274,15))</f>
        <v>0</v>
      </c>
      <c r="P1275">
        <f>indirect(address(1275,15))+indirect(address(1273,16))-indirect(address(1274,16))</f>
        <v>0</v>
      </c>
      <c r="Q1275">
        <f>indirect(address(1275,16))+indirect(address(1273,17))-indirect(address(1274,17))</f>
        <v>0</v>
      </c>
      <c r="R1275">
        <f>indirect(address(1275,17))+indirect(address(1273,18))-indirect(address(1274,18))</f>
        <v>0</v>
      </c>
      <c r="S1275">
        <f>indirect(address(1275,18))+indirect(address(1273,19))-indirect(address(1274,19))</f>
        <v>0</v>
      </c>
      <c r="T1275">
        <f>indirect(address(1275,19))+indirect(address(1273,20))-indirect(address(1274,20))</f>
        <v>0</v>
      </c>
      <c r="U1275">
        <f>indirect(address(1275,20))+indirect(address(1273,21))-indirect(address(1274,21))</f>
        <v>0</v>
      </c>
      <c r="V1275">
        <f>indirect(address(1275,21))+indirect(address(1273,22))-indirect(address(1274,22))</f>
        <v>0</v>
      </c>
      <c r="W1275">
        <f>indirect(address(1275,22))+indirect(address(1273,23))-indirect(address(1274,23))</f>
        <v>0</v>
      </c>
      <c r="X1275">
        <f>indirect(address(1275,23))+indirect(address(1273,24))-indirect(address(1274,24))</f>
        <v>0</v>
      </c>
      <c r="Y1275">
        <f>indirect(address(1275,24))+indirect(address(1273,25))-indirect(address(1274,25))</f>
        <v>0</v>
      </c>
      <c r="Z1275">
        <f>indirect(address(1275,25))+indirect(address(1273,26))-indirect(address(1274,26))</f>
        <v>0</v>
      </c>
      <c r="AA1275">
        <f>indirect(address(1275,26))+indirect(address(1273,27))-indirect(address(1274,27))</f>
        <v>0</v>
      </c>
      <c r="AB1275">
        <f>indirect(address(1275,27))+indirect(address(1273,28))-indirect(address(1274,28))</f>
        <v>0</v>
      </c>
      <c r="AC1275">
        <f>indirect(address(1275,28))+indirect(address(1273,29))-indirect(address(1274,29))</f>
        <v>0</v>
      </c>
      <c r="AD1275">
        <f>indirect(address(1275,29))+indirect(address(1273,30))-indirect(address(1274,30))</f>
        <v>0</v>
      </c>
      <c r="AE1275">
        <f>indirect(address(1275,30))+indirect(address(1273,31))-indirect(address(1274,31))</f>
        <v>0</v>
      </c>
      <c r="AF1275">
        <f>indirect(address(1275,31))+indirect(address(1273,32))-indirect(address(1274,32))</f>
        <v>0</v>
      </c>
      <c r="AG1275">
        <f>indirect(address(1275,32))+indirect(address(1273,33))-indirect(address(1274,33))</f>
        <v>0</v>
      </c>
      <c r="AH1275">
        <f>indirect(address(1275,33))+indirect(address(1273,34))-indirect(address(1274,34))</f>
        <v>0</v>
      </c>
      <c r="AI1275">
        <f>indirect(address(1275,34))+indirect(address(1273,35))-indirect(address(1274,35))</f>
        <v>0</v>
      </c>
      <c r="AJ1275">
        <f>indirect(address(1275,35))+indirect(address(1273,36))-indirect(address(1274,36))</f>
        <v>0</v>
      </c>
      <c r="AK1275">
        <f>indirect(address(1275,36))+indirect(address(1273,37))-indirect(address(1274,37))</f>
        <v>0</v>
      </c>
      <c r="AL1275">
        <f>indirect(address(1275,37))+indirect(address(1273,38))-indirect(address(1274,38))</f>
        <v>0</v>
      </c>
      <c r="AM1275">
        <f>indirect(address(1275,38))+indirect(address(1273,39))-indirect(address(1274,39))</f>
        <v>0</v>
      </c>
      <c r="AN1275">
        <f>indirect(address(1275,39))+indirect(address(1273,40))-indirect(address(1274,40))</f>
        <v>0</v>
      </c>
      <c r="AO1275">
        <f>indirect(address(1275,40))+indirect(address(1273,41))-indirect(address(1274,41))</f>
        <v>0</v>
      </c>
    </row>
    <row r="1276" spans="1:41">
      <c r="I1276" t="s">
        <v>14</v>
      </c>
      <c r="AO1276">
        <f>sum(j1276:an1276)</f>
        <v>0</v>
      </c>
    </row>
    <row r="1277" spans="1:41">
      <c r="I1277" t="s">
        <v>15</v>
      </c>
      <c r="J1277">
        <f>sumif(Plan!B:B,"906-749000-100",Plan!j:j)</f>
        <v>0</v>
      </c>
      <c r="K1277">
        <f>sumif(Plan!B:B,"906-749000-100",Plan!k:k)</f>
        <v>0</v>
      </c>
      <c r="L1277">
        <f>sumif(Plan!B:B,"906-749000-100",Plan!l:l)</f>
        <v>0</v>
      </c>
      <c r="M1277">
        <f>sumif(Plan!B:B,"906-749000-100",Plan!m:m)</f>
        <v>0</v>
      </c>
      <c r="N1277">
        <f>sumif(Plan!B:B,"906-749000-100",Plan!n:n)</f>
        <v>0</v>
      </c>
      <c r="O1277">
        <f>sumif(Plan!B:B,"906-749000-100",Plan!o:o)</f>
        <v>0</v>
      </c>
      <c r="P1277">
        <f>sumif(Plan!B:B,"906-749000-100",Plan!p:p)</f>
        <v>0</v>
      </c>
      <c r="Q1277">
        <f>sumif(Plan!B:B,"906-749000-100",Plan!q:q)</f>
        <v>0</v>
      </c>
      <c r="R1277">
        <f>sumif(Plan!B:B,"906-749000-100",Plan!r:r)</f>
        <v>0</v>
      </c>
      <c r="S1277">
        <f>sumif(Plan!B:B,"906-749000-100",Plan!s:s)</f>
        <v>0</v>
      </c>
      <c r="T1277">
        <f>sumif(Plan!B:B,"906-749000-100",Plan!t:t)</f>
        <v>0</v>
      </c>
      <c r="U1277">
        <f>sumif(Plan!B:B,"906-749000-100",Plan!u:u)</f>
        <v>0</v>
      </c>
      <c r="V1277">
        <f>sumif(Plan!B:B,"906-749000-100",Plan!v:v)</f>
        <v>0</v>
      </c>
      <c r="W1277">
        <f>sumif(Plan!B:B,"906-749000-100",Plan!w:w)</f>
        <v>0</v>
      </c>
      <c r="X1277">
        <f>sumif(Plan!B:B,"906-749000-100",Plan!x:x)</f>
        <v>0</v>
      </c>
      <c r="Y1277">
        <f>sumif(Plan!B:B,"906-749000-100",Plan!y:y)</f>
        <v>0</v>
      </c>
      <c r="Z1277">
        <f>sumif(Plan!B:B,"906-749000-100",Plan!z:z)</f>
        <v>0</v>
      </c>
      <c r="AA1277">
        <f>sumif(Plan!B:B,"906-749000-100",Plan!aa:aa)</f>
        <v>0</v>
      </c>
      <c r="AB1277">
        <f>sumif(Plan!B:B,"906-749000-100",Plan!ab:ab)</f>
        <v>0</v>
      </c>
      <c r="AC1277">
        <f>sumif(Plan!B:B,"906-749000-100",Plan!ac:ac)</f>
        <v>0</v>
      </c>
      <c r="AD1277">
        <f>sumif(Plan!B:B,"906-749000-100",Plan!ad:ad)</f>
        <v>0</v>
      </c>
      <c r="AE1277">
        <f>sumif(Plan!B:B,"906-749000-100",Plan!ae:ae)</f>
        <v>0</v>
      </c>
      <c r="AF1277">
        <f>sumif(Plan!B:B,"906-749000-100",Plan!af:af)</f>
        <v>0</v>
      </c>
      <c r="AG1277">
        <f>sumif(Plan!B:B,"906-749000-100",Plan!ag:ag)</f>
        <v>0</v>
      </c>
      <c r="AH1277">
        <f>sumif(Plan!B:B,"906-749000-100",Plan!ah:ah)</f>
        <v>0</v>
      </c>
      <c r="AI1277">
        <f>sumif(Plan!B:B,"906-749000-100",Plan!ai:ai)</f>
        <v>0</v>
      </c>
      <c r="AJ1277">
        <f>sumif(Plan!B:B,"906-749000-100",Plan!aj:aj)</f>
        <v>0</v>
      </c>
      <c r="AK1277">
        <f>sumif(Plan!B:B,"906-749000-100",Plan!ak:ak)</f>
        <v>0</v>
      </c>
      <c r="AL1277">
        <f>sumif(Plan!B:B,"906-749000-100",Plan!al:al)</f>
        <v>0</v>
      </c>
      <c r="AM1277">
        <f>sumif(Plan!B:B,"906-749000-100",Plan!am:am)</f>
        <v>0</v>
      </c>
      <c r="AN1277">
        <f>sumif(Plan!B:B,"906-749000-100",Plan!an:an)</f>
        <v>0</v>
      </c>
      <c r="AO1277">
        <f>sumif(Plan!B:B,"906-749000-100",Plan!ao:ao)</f>
        <v>0</v>
      </c>
    </row>
    <row r="1278" spans="1:41">
      <c r="A1278" t="s">
        <v>17</v>
      </c>
      <c r="B1278" t="s">
        <v>838</v>
      </c>
      <c r="C1278" t="s">
        <v>839</v>
      </c>
      <c r="E1278">
        <v>1</v>
      </c>
      <c r="F1278" t="s">
        <v>13</v>
      </c>
      <c r="H1278" t="s">
        <v>16</v>
      </c>
      <c r="J1278">
        <f>indirect(address(1278,9))+indirect(address(1276,10))-indirect(address(1277,10))</f>
        <v>0</v>
      </c>
      <c r="K1278">
        <f>indirect(address(1278,10))+indirect(address(1276,11))-indirect(address(1277,11))</f>
        <v>0</v>
      </c>
      <c r="L1278">
        <f>indirect(address(1278,11))+indirect(address(1276,12))-indirect(address(1277,12))</f>
        <v>0</v>
      </c>
      <c r="M1278">
        <f>indirect(address(1278,12))+indirect(address(1276,13))-indirect(address(1277,13))</f>
        <v>0</v>
      </c>
      <c r="N1278">
        <f>indirect(address(1278,13))+indirect(address(1276,14))-indirect(address(1277,14))</f>
        <v>0</v>
      </c>
      <c r="O1278">
        <f>indirect(address(1278,14))+indirect(address(1276,15))-indirect(address(1277,15))</f>
        <v>0</v>
      </c>
      <c r="P1278">
        <f>indirect(address(1278,15))+indirect(address(1276,16))-indirect(address(1277,16))</f>
        <v>0</v>
      </c>
      <c r="Q1278">
        <f>indirect(address(1278,16))+indirect(address(1276,17))-indirect(address(1277,17))</f>
        <v>0</v>
      </c>
      <c r="R1278">
        <f>indirect(address(1278,17))+indirect(address(1276,18))-indirect(address(1277,18))</f>
        <v>0</v>
      </c>
      <c r="S1278">
        <f>indirect(address(1278,18))+indirect(address(1276,19))-indirect(address(1277,19))</f>
        <v>0</v>
      </c>
      <c r="T1278">
        <f>indirect(address(1278,19))+indirect(address(1276,20))-indirect(address(1277,20))</f>
        <v>0</v>
      </c>
      <c r="U1278">
        <f>indirect(address(1278,20))+indirect(address(1276,21))-indirect(address(1277,21))</f>
        <v>0</v>
      </c>
      <c r="V1278">
        <f>indirect(address(1278,21))+indirect(address(1276,22))-indirect(address(1277,22))</f>
        <v>0</v>
      </c>
      <c r="W1278">
        <f>indirect(address(1278,22))+indirect(address(1276,23))-indirect(address(1277,23))</f>
        <v>0</v>
      </c>
      <c r="X1278">
        <f>indirect(address(1278,23))+indirect(address(1276,24))-indirect(address(1277,24))</f>
        <v>0</v>
      </c>
      <c r="Y1278">
        <f>indirect(address(1278,24))+indirect(address(1276,25))-indirect(address(1277,25))</f>
        <v>0</v>
      </c>
      <c r="Z1278">
        <f>indirect(address(1278,25))+indirect(address(1276,26))-indirect(address(1277,26))</f>
        <v>0</v>
      </c>
      <c r="AA1278">
        <f>indirect(address(1278,26))+indirect(address(1276,27))-indirect(address(1277,27))</f>
        <v>0</v>
      </c>
      <c r="AB1278">
        <f>indirect(address(1278,27))+indirect(address(1276,28))-indirect(address(1277,28))</f>
        <v>0</v>
      </c>
      <c r="AC1278">
        <f>indirect(address(1278,28))+indirect(address(1276,29))-indirect(address(1277,29))</f>
        <v>0</v>
      </c>
      <c r="AD1278">
        <f>indirect(address(1278,29))+indirect(address(1276,30))-indirect(address(1277,30))</f>
        <v>0</v>
      </c>
      <c r="AE1278">
        <f>indirect(address(1278,30))+indirect(address(1276,31))-indirect(address(1277,31))</f>
        <v>0</v>
      </c>
      <c r="AF1278">
        <f>indirect(address(1278,31))+indirect(address(1276,32))-indirect(address(1277,32))</f>
        <v>0</v>
      </c>
      <c r="AG1278">
        <f>indirect(address(1278,32))+indirect(address(1276,33))-indirect(address(1277,33))</f>
        <v>0</v>
      </c>
      <c r="AH1278">
        <f>indirect(address(1278,33))+indirect(address(1276,34))-indirect(address(1277,34))</f>
        <v>0</v>
      </c>
      <c r="AI1278">
        <f>indirect(address(1278,34))+indirect(address(1276,35))-indirect(address(1277,35))</f>
        <v>0</v>
      </c>
      <c r="AJ1278">
        <f>indirect(address(1278,35))+indirect(address(1276,36))-indirect(address(1277,36))</f>
        <v>0</v>
      </c>
      <c r="AK1278">
        <f>indirect(address(1278,36))+indirect(address(1276,37))-indirect(address(1277,37))</f>
        <v>0</v>
      </c>
      <c r="AL1278">
        <f>indirect(address(1278,37))+indirect(address(1276,38))-indirect(address(1277,38))</f>
        <v>0</v>
      </c>
      <c r="AM1278">
        <f>indirect(address(1278,38))+indirect(address(1276,39))-indirect(address(1277,39))</f>
        <v>0</v>
      </c>
      <c r="AN1278">
        <f>indirect(address(1278,39))+indirect(address(1276,40))-indirect(address(1277,40))</f>
        <v>0</v>
      </c>
      <c r="AO1278">
        <f>indirect(address(1278,40))+indirect(address(1276,41))-indirect(address(1277,41))</f>
        <v>0</v>
      </c>
    </row>
    <row r="1279" spans="1:41">
      <c r="I1279" t="s">
        <v>14</v>
      </c>
      <c r="AO1279">
        <f>sum(j1279:an1279)</f>
        <v>0</v>
      </c>
    </row>
    <row r="1280" spans="1:41">
      <c r="I1280" t="s">
        <v>15</v>
      </c>
      <c r="J1280">
        <f>sumif(Plan!B:B,"211-020400-000",Plan!j:j)</f>
        <v>0</v>
      </c>
      <c r="K1280">
        <f>sumif(Plan!B:B,"211-020400-000",Plan!k:k)</f>
        <v>0</v>
      </c>
      <c r="L1280">
        <f>sumif(Plan!B:B,"211-020400-000",Plan!l:l)</f>
        <v>0</v>
      </c>
      <c r="M1280">
        <f>sumif(Plan!B:B,"211-020400-000",Plan!m:m)</f>
        <v>0</v>
      </c>
      <c r="N1280">
        <f>sumif(Plan!B:B,"211-020400-000",Plan!n:n)</f>
        <v>0</v>
      </c>
      <c r="O1280">
        <f>sumif(Plan!B:B,"211-020400-000",Plan!o:o)</f>
        <v>0</v>
      </c>
      <c r="P1280">
        <f>sumif(Plan!B:B,"211-020400-000",Plan!p:p)</f>
        <v>0</v>
      </c>
      <c r="Q1280">
        <f>sumif(Plan!B:B,"211-020400-000",Plan!q:q)</f>
        <v>0</v>
      </c>
      <c r="R1280">
        <f>sumif(Plan!B:B,"211-020400-000",Plan!r:r)</f>
        <v>0</v>
      </c>
      <c r="S1280">
        <f>sumif(Plan!B:B,"211-020400-000",Plan!s:s)</f>
        <v>0</v>
      </c>
      <c r="T1280">
        <f>sumif(Plan!B:B,"211-020400-000",Plan!t:t)</f>
        <v>0</v>
      </c>
      <c r="U1280">
        <f>sumif(Plan!B:B,"211-020400-000",Plan!u:u)</f>
        <v>0</v>
      </c>
      <c r="V1280">
        <f>sumif(Plan!B:B,"211-020400-000",Plan!v:v)</f>
        <v>0</v>
      </c>
      <c r="W1280">
        <f>sumif(Plan!B:B,"211-020400-000",Plan!w:w)</f>
        <v>0</v>
      </c>
      <c r="X1280">
        <f>sumif(Plan!B:B,"211-020400-000",Plan!x:x)</f>
        <v>0</v>
      </c>
      <c r="Y1280">
        <f>sumif(Plan!B:B,"211-020400-000",Plan!y:y)</f>
        <v>0</v>
      </c>
      <c r="Z1280">
        <f>sumif(Plan!B:B,"211-020400-000",Plan!z:z)</f>
        <v>0</v>
      </c>
      <c r="AA1280">
        <f>sumif(Plan!B:B,"211-020400-000",Plan!aa:aa)</f>
        <v>0</v>
      </c>
      <c r="AB1280">
        <f>sumif(Plan!B:B,"211-020400-000",Plan!ab:ab)</f>
        <v>0</v>
      </c>
      <c r="AC1280">
        <f>sumif(Plan!B:B,"211-020400-000",Plan!ac:ac)</f>
        <v>0</v>
      </c>
      <c r="AD1280">
        <f>sumif(Plan!B:B,"211-020400-000",Plan!ad:ad)</f>
        <v>0</v>
      </c>
      <c r="AE1280">
        <f>sumif(Plan!B:B,"211-020400-000",Plan!ae:ae)</f>
        <v>0</v>
      </c>
      <c r="AF1280">
        <f>sumif(Plan!B:B,"211-020400-000",Plan!af:af)</f>
        <v>0</v>
      </c>
      <c r="AG1280">
        <f>sumif(Plan!B:B,"211-020400-000",Plan!ag:ag)</f>
        <v>0</v>
      </c>
      <c r="AH1280">
        <f>sumif(Plan!B:B,"211-020400-000",Plan!ah:ah)</f>
        <v>0</v>
      </c>
      <c r="AI1280">
        <f>sumif(Plan!B:B,"211-020400-000",Plan!ai:ai)</f>
        <v>0</v>
      </c>
      <c r="AJ1280">
        <f>sumif(Plan!B:B,"211-020400-000",Plan!aj:aj)</f>
        <v>0</v>
      </c>
      <c r="AK1280">
        <f>sumif(Plan!B:B,"211-020400-000",Plan!ak:ak)</f>
        <v>0</v>
      </c>
      <c r="AL1280">
        <f>sumif(Plan!B:B,"211-020400-000",Plan!al:al)</f>
        <v>0</v>
      </c>
      <c r="AM1280">
        <f>sumif(Plan!B:B,"211-020400-000",Plan!am:am)</f>
        <v>0</v>
      </c>
      <c r="AN1280">
        <f>sumif(Plan!B:B,"211-020400-000",Plan!an:an)</f>
        <v>0</v>
      </c>
      <c r="AO1280">
        <f>sumif(Plan!B:B,"211-020400-000",Plan!ao:ao)</f>
        <v>0</v>
      </c>
    </row>
    <row r="1281" spans="1:41">
      <c r="A1281" t="s">
        <v>22</v>
      </c>
      <c r="B1281" t="s">
        <v>701</v>
      </c>
      <c r="C1281" t="s">
        <v>840</v>
      </c>
      <c r="E1281">
        <v>0.0011</v>
      </c>
      <c r="F1281" t="s">
        <v>13</v>
      </c>
      <c r="H1281" t="s">
        <v>16</v>
      </c>
      <c r="J1281">
        <f>indirect(address(1281,9))+indirect(address(1279,10))-indirect(address(1280,10))</f>
        <v>0</v>
      </c>
      <c r="K1281">
        <f>indirect(address(1281,10))+indirect(address(1279,11))-indirect(address(1280,11))</f>
        <v>0</v>
      </c>
      <c r="L1281">
        <f>indirect(address(1281,11))+indirect(address(1279,12))-indirect(address(1280,12))</f>
        <v>0</v>
      </c>
      <c r="M1281">
        <f>indirect(address(1281,12))+indirect(address(1279,13))-indirect(address(1280,13))</f>
        <v>0</v>
      </c>
      <c r="N1281">
        <f>indirect(address(1281,13))+indirect(address(1279,14))-indirect(address(1280,14))</f>
        <v>0</v>
      </c>
      <c r="O1281">
        <f>indirect(address(1281,14))+indirect(address(1279,15))-indirect(address(1280,15))</f>
        <v>0</v>
      </c>
      <c r="P1281">
        <f>indirect(address(1281,15))+indirect(address(1279,16))-indirect(address(1280,16))</f>
        <v>0</v>
      </c>
      <c r="Q1281">
        <f>indirect(address(1281,16))+indirect(address(1279,17))-indirect(address(1280,17))</f>
        <v>0</v>
      </c>
      <c r="R1281">
        <f>indirect(address(1281,17))+indirect(address(1279,18))-indirect(address(1280,18))</f>
        <v>0</v>
      </c>
      <c r="S1281">
        <f>indirect(address(1281,18))+indirect(address(1279,19))-indirect(address(1280,19))</f>
        <v>0</v>
      </c>
      <c r="T1281">
        <f>indirect(address(1281,19))+indirect(address(1279,20))-indirect(address(1280,20))</f>
        <v>0</v>
      </c>
      <c r="U1281">
        <f>indirect(address(1281,20))+indirect(address(1279,21))-indirect(address(1280,21))</f>
        <v>0</v>
      </c>
      <c r="V1281">
        <f>indirect(address(1281,21))+indirect(address(1279,22))-indirect(address(1280,22))</f>
        <v>0</v>
      </c>
      <c r="W1281">
        <f>indirect(address(1281,22))+indirect(address(1279,23))-indirect(address(1280,23))</f>
        <v>0</v>
      </c>
      <c r="X1281">
        <f>indirect(address(1281,23))+indirect(address(1279,24))-indirect(address(1280,24))</f>
        <v>0</v>
      </c>
      <c r="Y1281">
        <f>indirect(address(1281,24))+indirect(address(1279,25))-indirect(address(1280,25))</f>
        <v>0</v>
      </c>
      <c r="Z1281">
        <f>indirect(address(1281,25))+indirect(address(1279,26))-indirect(address(1280,26))</f>
        <v>0</v>
      </c>
      <c r="AA1281">
        <f>indirect(address(1281,26))+indirect(address(1279,27))-indirect(address(1280,27))</f>
        <v>0</v>
      </c>
      <c r="AB1281">
        <f>indirect(address(1281,27))+indirect(address(1279,28))-indirect(address(1280,28))</f>
        <v>0</v>
      </c>
      <c r="AC1281">
        <f>indirect(address(1281,28))+indirect(address(1279,29))-indirect(address(1280,29))</f>
        <v>0</v>
      </c>
      <c r="AD1281">
        <f>indirect(address(1281,29))+indirect(address(1279,30))-indirect(address(1280,30))</f>
        <v>0</v>
      </c>
      <c r="AE1281">
        <f>indirect(address(1281,30))+indirect(address(1279,31))-indirect(address(1280,31))</f>
        <v>0</v>
      </c>
      <c r="AF1281">
        <f>indirect(address(1281,31))+indirect(address(1279,32))-indirect(address(1280,32))</f>
        <v>0</v>
      </c>
      <c r="AG1281">
        <f>indirect(address(1281,32))+indirect(address(1279,33))-indirect(address(1280,33))</f>
        <v>0</v>
      </c>
      <c r="AH1281">
        <f>indirect(address(1281,33))+indirect(address(1279,34))-indirect(address(1280,34))</f>
        <v>0</v>
      </c>
      <c r="AI1281">
        <f>indirect(address(1281,34))+indirect(address(1279,35))-indirect(address(1280,35))</f>
        <v>0</v>
      </c>
      <c r="AJ1281">
        <f>indirect(address(1281,35))+indirect(address(1279,36))-indirect(address(1280,36))</f>
        <v>0</v>
      </c>
      <c r="AK1281">
        <f>indirect(address(1281,36))+indirect(address(1279,37))-indirect(address(1280,37))</f>
        <v>0</v>
      </c>
      <c r="AL1281">
        <f>indirect(address(1281,37))+indirect(address(1279,38))-indirect(address(1280,38))</f>
        <v>0</v>
      </c>
      <c r="AM1281">
        <f>indirect(address(1281,38))+indirect(address(1279,39))-indirect(address(1280,39))</f>
        <v>0</v>
      </c>
      <c r="AN1281">
        <f>indirect(address(1281,39))+indirect(address(1279,40))-indirect(address(1280,40))</f>
        <v>0</v>
      </c>
      <c r="AO1281">
        <f>indirect(address(1281,40))+indirect(address(1279,41))-indirect(address(1280,41))</f>
        <v>0</v>
      </c>
    </row>
    <row r="1282" spans="1:41">
      <c r="I1282" t="s">
        <v>14</v>
      </c>
      <c r="AO1282">
        <f>sum(j1282:an1282)</f>
        <v>0</v>
      </c>
    </row>
    <row r="1283" spans="1:41">
      <c r="I1283" t="s">
        <v>15</v>
      </c>
      <c r="J1283">
        <f>sumif(Plan!B:B,"211-027000-000",Plan!j:j)</f>
        <v>0</v>
      </c>
      <c r="K1283">
        <f>sumif(Plan!B:B,"211-027000-000",Plan!k:k)</f>
        <v>0</v>
      </c>
      <c r="L1283">
        <f>sumif(Plan!B:B,"211-027000-000",Plan!l:l)</f>
        <v>0</v>
      </c>
      <c r="M1283">
        <f>sumif(Plan!B:B,"211-027000-000",Plan!m:m)</f>
        <v>0</v>
      </c>
      <c r="N1283">
        <f>sumif(Plan!B:B,"211-027000-000",Plan!n:n)</f>
        <v>0</v>
      </c>
      <c r="O1283">
        <f>sumif(Plan!B:B,"211-027000-000",Plan!o:o)</f>
        <v>0</v>
      </c>
      <c r="P1283">
        <f>sumif(Plan!B:B,"211-027000-000",Plan!p:p)</f>
        <v>0</v>
      </c>
      <c r="Q1283">
        <f>sumif(Plan!B:B,"211-027000-000",Plan!q:q)</f>
        <v>0</v>
      </c>
      <c r="R1283">
        <f>sumif(Plan!B:B,"211-027000-000",Plan!r:r)</f>
        <v>0</v>
      </c>
      <c r="S1283">
        <f>sumif(Plan!B:B,"211-027000-000",Plan!s:s)</f>
        <v>0</v>
      </c>
      <c r="T1283">
        <f>sumif(Plan!B:B,"211-027000-000",Plan!t:t)</f>
        <v>0</v>
      </c>
      <c r="U1283">
        <f>sumif(Plan!B:B,"211-027000-000",Plan!u:u)</f>
        <v>0</v>
      </c>
      <c r="V1283">
        <f>sumif(Plan!B:B,"211-027000-000",Plan!v:v)</f>
        <v>0</v>
      </c>
      <c r="W1283">
        <f>sumif(Plan!B:B,"211-027000-000",Plan!w:w)</f>
        <v>0</v>
      </c>
      <c r="X1283">
        <f>sumif(Plan!B:B,"211-027000-000",Plan!x:x)</f>
        <v>0</v>
      </c>
      <c r="Y1283">
        <f>sumif(Plan!B:B,"211-027000-000",Plan!y:y)</f>
        <v>0</v>
      </c>
      <c r="Z1283">
        <f>sumif(Plan!B:B,"211-027000-000",Plan!z:z)</f>
        <v>0</v>
      </c>
      <c r="AA1283">
        <f>sumif(Plan!B:B,"211-027000-000",Plan!aa:aa)</f>
        <v>0</v>
      </c>
      <c r="AB1283">
        <f>sumif(Plan!B:B,"211-027000-000",Plan!ab:ab)</f>
        <v>0</v>
      </c>
      <c r="AC1283">
        <f>sumif(Plan!B:B,"211-027000-000",Plan!ac:ac)</f>
        <v>0</v>
      </c>
      <c r="AD1283">
        <f>sumif(Plan!B:B,"211-027000-000",Plan!ad:ad)</f>
        <v>0</v>
      </c>
      <c r="AE1283">
        <f>sumif(Plan!B:B,"211-027000-000",Plan!ae:ae)</f>
        <v>0</v>
      </c>
      <c r="AF1283">
        <f>sumif(Plan!B:B,"211-027000-000",Plan!af:af)</f>
        <v>0</v>
      </c>
      <c r="AG1283">
        <f>sumif(Plan!B:B,"211-027000-000",Plan!ag:ag)</f>
        <v>0</v>
      </c>
      <c r="AH1283">
        <f>sumif(Plan!B:B,"211-027000-000",Plan!ah:ah)</f>
        <v>0</v>
      </c>
      <c r="AI1283">
        <f>sumif(Plan!B:B,"211-027000-000",Plan!ai:ai)</f>
        <v>0</v>
      </c>
      <c r="AJ1283">
        <f>sumif(Plan!B:B,"211-027000-000",Plan!aj:aj)</f>
        <v>0</v>
      </c>
      <c r="AK1283">
        <f>sumif(Plan!B:B,"211-027000-000",Plan!ak:ak)</f>
        <v>0</v>
      </c>
      <c r="AL1283">
        <f>sumif(Plan!B:B,"211-027000-000",Plan!al:al)</f>
        <v>0</v>
      </c>
      <c r="AM1283">
        <f>sumif(Plan!B:B,"211-027000-000",Plan!am:am)</f>
        <v>0</v>
      </c>
      <c r="AN1283">
        <f>sumif(Plan!B:B,"211-027000-000",Plan!an:an)</f>
        <v>0</v>
      </c>
      <c r="AO1283">
        <f>sumif(Plan!B:B,"211-027000-000",Plan!ao:ao)</f>
        <v>0</v>
      </c>
    </row>
    <row r="1284" spans="1:41">
      <c r="A1284" t="s">
        <v>22</v>
      </c>
      <c r="B1284" t="s">
        <v>841</v>
      </c>
      <c r="C1284" t="s">
        <v>842</v>
      </c>
      <c r="E1284">
        <v>1</v>
      </c>
      <c r="F1284" t="s">
        <v>13</v>
      </c>
      <c r="H1284" t="s">
        <v>16</v>
      </c>
      <c r="J1284">
        <f>indirect(address(1284,9))+indirect(address(1282,10))-indirect(address(1283,10))</f>
        <v>0</v>
      </c>
      <c r="K1284">
        <f>indirect(address(1284,10))+indirect(address(1282,11))-indirect(address(1283,11))</f>
        <v>0</v>
      </c>
      <c r="L1284">
        <f>indirect(address(1284,11))+indirect(address(1282,12))-indirect(address(1283,12))</f>
        <v>0</v>
      </c>
      <c r="M1284">
        <f>indirect(address(1284,12))+indirect(address(1282,13))-indirect(address(1283,13))</f>
        <v>0</v>
      </c>
      <c r="N1284">
        <f>indirect(address(1284,13))+indirect(address(1282,14))-indirect(address(1283,14))</f>
        <v>0</v>
      </c>
      <c r="O1284">
        <f>indirect(address(1284,14))+indirect(address(1282,15))-indirect(address(1283,15))</f>
        <v>0</v>
      </c>
      <c r="P1284">
        <f>indirect(address(1284,15))+indirect(address(1282,16))-indirect(address(1283,16))</f>
        <v>0</v>
      </c>
      <c r="Q1284">
        <f>indirect(address(1284,16))+indirect(address(1282,17))-indirect(address(1283,17))</f>
        <v>0</v>
      </c>
      <c r="R1284">
        <f>indirect(address(1284,17))+indirect(address(1282,18))-indirect(address(1283,18))</f>
        <v>0</v>
      </c>
      <c r="S1284">
        <f>indirect(address(1284,18))+indirect(address(1282,19))-indirect(address(1283,19))</f>
        <v>0</v>
      </c>
      <c r="T1284">
        <f>indirect(address(1284,19))+indirect(address(1282,20))-indirect(address(1283,20))</f>
        <v>0</v>
      </c>
      <c r="U1284">
        <f>indirect(address(1284,20))+indirect(address(1282,21))-indirect(address(1283,21))</f>
        <v>0</v>
      </c>
      <c r="V1284">
        <f>indirect(address(1284,21))+indirect(address(1282,22))-indirect(address(1283,22))</f>
        <v>0</v>
      </c>
      <c r="W1284">
        <f>indirect(address(1284,22))+indirect(address(1282,23))-indirect(address(1283,23))</f>
        <v>0</v>
      </c>
      <c r="X1284">
        <f>indirect(address(1284,23))+indirect(address(1282,24))-indirect(address(1283,24))</f>
        <v>0</v>
      </c>
      <c r="Y1284">
        <f>indirect(address(1284,24))+indirect(address(1282,25))-indirect(address(1283,25))</f>
        <v>0</v>
      </c>
      <c r="Z1284">
        <f>indirect(address(1284,25))+indirect(address(1282,26))-indirect(address(1283,26))</f>
        <v>0</v>
      </c>
      <c r="AA1284">
        <f>indirect(address(1284,26))+indirect(address(1282,27))-indirect(address(1283,27))</f>
        <v>0</v>
      </c>
      <c r="AB1284">
        <f>indirect(address(1284,27))+indirect(address(1282,28))-indirect(address(1283,28))</f>
        <v>0</v>
      </c>
      <c r="AC1284">
        <f>indirect(address(1284,28))+indirect(address(1282,29))-indirect(address(1283,29))</f>
        <v>0</v>
      </c>
      <c r="AD1284">
        <f>indirect(address(1284,29))+indirect(address(1282,30))-indirect(address(1283,30))</f>
        <v>0</v>
      </c>
      <c r="AE1284">
        <f>indirect(address(1284,30))+indirect(address(1282,31))-indirect(address(1283,31))</f>
        <v>0</v>
      </c>
      <c r="AF1284">
        <f>indirect(address(1284,31))+indirect(address(1282,32))-indirect(address(1283,32))</f>
        <v>0</v>
      </c>
      <c r="AG1284">
        <f>indirect(address(1284,32))+indirect(address(1282,33))-indirect(address(1283,33))</f>
        <v>0</v>
      </c>
      <c r="AH1284">
        <f>indirect(address(1284,33))+indirect(address(1282,34))-indirect(address(1283,34))</f>
        <v>0</v>
      </c>
      <c r="AI1284">
        <f>indirect(address(1284,34))+indirect(address(1282,35))-indirect(address(1283,35))</f>
        <v>0</v>
      </c>
      <c r="AJ1284">
        <f>indirect(address(1284,35))+indirect(address(1282,36))-indirect(address(1283,36))</f>
        <v>0</v>
      </c>
      <c r="AK1284">
        <f>indirect(address(1284,36))+indirect(address(1282,37))-indirect(address(1283,37))</f>
        <v>0</v>
      </c>
      <c r="AL1284">
        <f>indirect(address(1284,37))+indirect(address(1282,38))-indirect(address(1283,38))</f>
        <v>0</v>
      </c>
      <c r="AM1284">
        <f>indirect(address(1284,38))+indirect(address(1282,39))-indirect(address(1283,39))</f>
        <v>0</v>
      </c>
      <c r="AN1284">
        <f>indirect(address(1284,39))+indirect(address(1282,40))-indirect(address(1283,40))</f>
        <v>0</v>
      </c>
      <c r="AO1284">
        <f>indirect(address(1284,40))+indirect(address(1282,41))-indirect(address(1283,41))</f>
        <v>0</v>
      </c>
    </row>
    <row r="1285" spans="1:41">
      <c r="I1285" t="s">
        <v>14</v>
      </c>
      <c r="AO1285">
        <f>sum(j1285:an1285)</f>
        <v>0</v>
      </c>
    </row>
    <row r="1286" spans="1:41">
      <c r="I1286" t="s">
        <v>15</v>
      </c>
      <c r="J1286">
        <f>sumif(Plan!B:B,"906-412477-110",Plan!j:j)</f>
        <v>0</v>
      </c>
      <c r="K1286">
        <f>sumif(Plan!B:B,"906-412477-110",Plan!k:k)</f>
        <v>0</v>
      </c>
      <c r="L1286">
        <f>sumif(Plan!B:B,"906-412477-110",Plan!l:l)</f>
        <v>0</v>
      </c>
      <c r="M1286">
        <f>sumif(Plan!B:B,"906-412477-110",Plan!m:m)</f>
        <v>0</v>
      </c>
      <c r="N1286">
        <f>sumif(Plan!B:B,"906-412477-110",Plan!n:n)</f>
        <v>0</v>
      </c>
      <c r="O1286">
        <f>sumif(Plan!B:B,"906-412477-110",Plan!o:o)</f>
        <v>0</v>
      </c>
      <c r="P1286">
        <f>sumif(Plan!B:B,"906-412477-110",Plan!p:p)</f>
        <v>0</v>
      </c>
      <c r="Q1286">
        <f>sumif(Plan!B:B,"906-412477-110",Plan!q:q)</f>
        <v>0</v>
      </c>
      <c r="R1286">
        <f>sumif(Plan!B:B,"906-412477-110",Plan!r:r)</f>
        <v>0</v>
      </c>
      <c r="S1286">
        <f>sumif(Plan!B:B,"906-412477-110",Plan!s:s)</f>
        <v>0</v>
      </c>
      <c r="T1286">
        <f>sumif(Plan!B:B,"906-412477-110",Plan!t:t)</f>
        <v>0</v>
      </c>
      <c r="U1286">
        <f>sumif(Plan!B:B,"906-412477-110",Plan!u:u)</f>
        <v>0</v>
      </c>
      <c r="V1286">
        <f>sumif(Plan!B:B,"906-412477-110",Plan!v:v)</f>
        <v>0</v>
      </c>
      <c r="W1286">
        <f>sumif(Plan!B:B,"906-412477-110",Plan!w:w)</f>
        <v>0</v>
      </c>
      <c r="X1286">
        <f>sumif(Plan!B:B,"906-412477-110",Plan!x:x)</f>
        <v>0</v>
      </c>
      <c r="Y1286">
        <f>sumif(Plan!B:B,"906-412477-110",Plan!y:y)</f>
        <v>0</v>
      </c>
      <c r="Z1286">
        <f>sumif(Plan!B:B,"906-412477-110",Plan!z:z)</f>
        <v>0</v>
      </c>
      <c r="AA1286">
        <f>sumif(Plan!B:B,"906-412477-110",Plan!aa:aa)</f>
        <v>0</v>
      </c>
      <c r="AB1286">
        <f>sumif(Plan!B:B,"906-412477-110",Plan!ab:ab)</f>
        <v>0</v>
      </c>
      <c r="AC1286">
        <f>sumif(Plan!B:B,"906-412477-110",Plan!ac:ac)</f>
        <v>0</v>
      </c>
      <c r="AD1286">
        <f>sumif(Plan!B:B,"906-412477-110",Plan!ad:ad)</f>
        <v>0</v>
      </c>
      <c r="AE1286">
        <f>sumif(Plan!B:B,"906-412477-110",Plan!ae:ae)</f>
        <v>0</v>
      </c>
      <c r="AF1286">
        <f>sumif(Plan!B:B,"906-412477-110",Plan!af:af)</f>
        <v>0</v>
      </c>
      <c r="AG1286">
        <f>sumif(Plan!B:B,"906-412477-110",Plan!ag:ag)</f>
        <v>0</v>
      </c>
      <c r="AH1286">
        <f>sumif(Plan!B:B,"906-412477-110",Plan!ah:ah)</f>
        <v>0</v>
      </c>
      <c r="AI1286">
        <f>sumif(Plan!B:B,"906-412477-110",Plan!ai:ai)</f>
        <v>0</v>
      </c>
      <c r="AJ1286">
        <f>sumif(Plan!B:B,"906-412477-110",Plan!aj:aj)</f>
        <v>0</v>
      </c>
      <c r="AK1286">
        <f>sumif(Plan!B:B,"906-412477-110",Plan!ak:ak)</f>
        <v>0</v>
      </c>
      <c r="AL1286">
        <f>sumif(Plan!B:B,"906-412477-110",Plan!al:al)</f>
        <v>0</v>
      </c>
      <c r="AM1286">
        <f>sumif(Plan!B:B,"906-412477-110",Plan!am:am)</f>
        <v>0</v>
      </c>
      <c r="AN1286">
        <f>sumif(Plan!B:B,"906-412477-110",Plan!an:an)</f>
        <v>0</v>
      </c>
      <c r="AO1286">
        <f>sumif(Plan!B:B,"906-412477-110",Plan!ao:ao)</f>
        <v>0</v>
      </c>
    </row>
    <row r="1287" spans="1:41">
      <c r="A1287" t="s">
        <v>17</v>
      </c>
      <c r="B1287" t="s">
        <v>844</v>
      </c>
      <c r="C1287" t="s">
        <v>845</v>
      </c>
      <c r="E1287">
        <v>1</v>
      </c>
      <c r="F1287" t="s">
        <v>13</v>
      </c>
      <c r="H1287" t="s">
        <v>16</v>
      </c>
      <c r="J1287">
        <f>indirect(address(1287,9))+indirect(address(1285,10))-indirect(address(1286,10))</f>
        <v>0</v>
      </c>
      <c r="K1287">
        <f>indirect(address(1287,10))+indirect(address(1285,11))-indirect(address(1286,11))</f>
        <v>0</v>
      </c>
      <c r="L1287">
        <f>indirect(address(1287,11))+indirect(address(1285,12))-indirect(address(1286,12))</f>
        <v>0</v>
      </c>
      <c r="M1287">
        <f>indirect(address(1287,12))+indirect(address(1285,13))-indirect(address(1286,13))</f>
        <v>0</v>
      </c>
      <c r="N1287">
        <f>indirect(address(1287,13))+indirect(address(1285,14))-indirect(address(1286,14))</f>
        <v>0</v>
      </c>
      <c r="O1287">
        <f>indirect(address(1287,14))+indirect(address(1285,15))-indirect(address(1286,15))</f>
        <v>0</v>
      </c>
      <c r="P1287">
        <f>indirect(address(1287,15))+indirect(address(1285,16))-indirect(address(1286,16))</f>
        <v>0</v>
      </c>
      <c r="Q1287">
        <f>indirect(address(1287,16))+indirect(address(1285,17))-indirect(address(1286,17))</f>
        <v>0</v>
      </c>
      <c r="R1287">
        <f>indirect(address(1287,17))+indirect(address(1285,18))-indirect(address(1286,18))</f>
        <v>0</v>
      </c>
      <c r="S1287">
        <f>indirect(address(1287,18))+indirect(address(1285,19))-indirect(address(1286,19))</f>
        <v>0</v>
      </c>
      <c r="T1287">
        <f>indirect(address(1287,19))+indirect(address(1285,20))-indirect(address(1286,20))</f>
        <v>0</v>
      </c>
      <c r="U1287">
        <f>indirect(address(1287,20))+indirect(address(1285,21))-indirect(address(1286,21))</f>
        <v>0</v>
      </c>
      <c r="V1287">
        <f>indirect(address(1287,21))+indirect(address(1285,22))-indirect(address(1286,22))</f>
        <v>0</v>
      </c>
      <c r="W1287">
        <f>indirect(address(1287,22))+indirect(address(1285,23))-indirect(address(1286,23))</f>
        <v>0</v>
      </c>
      <c r="X1287">
        <f>indirect(address(1287,23))+indirect(address(1285,24))-indirect(address(1286,24))</f>
        <v>0</v>
      </c>
      <c r="Y1287">
        <f>indirect(address(1287,24))+indirect(address(1285,25))-indirect(address(1286,25))</f>
        <v>0</v>
      </c>
      <c r="Z1287">
        <f>indirect(address(1287,25))+indirect(address(1285,26))-indirect(address(1286,26))</f>
        <v>0</v>
      </c>
      <c r="AA1287">
        <f>indirect(address(1287,26))+indirect(address(1285,27))-indirect(address(1286,27))</f>
        <v>0</v>
      </c>
      <c r="AB1287">
        <f>indirect(address(1287,27))+indirect(address(1285,28))-indirect(address(1286,28))</f>
        <v>0</v>
      </c>
      <c r="AC1287">
        <f>indirect(address(1287,28))+indirect(address(1285,29))-indirect(address(1286,29))</f>
        <v>0</v>
      </c>
      <c r="AD1287">
        <f>indirect(address(1287,29))+indirect(address(1285,30))-indirect(address(1286,30))</f>
        <v>0</v>
      </c>
      <c r="AE1287">
        <f>indirect(address(1287,30))+indirect(address(1285,31))-indirect(address(1286,31))</f>
        <v>0</v>
      </c>
      <c r="AF1287">
        <f>indirect(address(1287,31))+indirect(address(1285,32))-indirect(address(1286,32))</f>
        <v>0</v>
      </c>
      <c r="AG1287">
        <f>indirect(address(1287,32))+indirect(address(1285,33))-indirect(address(1286,33))</f>
        <v>0</v>
      </c>
      <c r="AH1287">
        <f>indirect(address(1287,33))+indirect(address(1285,34))-indirect(address(1286,34))</f>
        <v>0</v>
      </c>
      <c r="AI1287">
        <f>indirect(address(1287,34))+indirect(address(1285,35))-indirect(address(1286,35))</f>
        <v>0</v>
      </c>
      <c r="AJ1287">
        <f>indirect(address(1287,35))+indirect(address(1285,36))-indirect(address(1286,36))</f>
        <v>0</v>
      </c>
      <c r="AK1287">
        <f>indirect(address(1287,36))+indirect(address(1285,37))-indirect(address(1286,37))</f>
        <v>0</v>
      </c>
      <c r="AL1287">
        <f>indirect(address(1287,37))+indirect(address(1285,38))-indirect(address(1286,38))</f>
        <v>0</v>
      </c>
      <c r="AM1287">
        <f>indirect(address(1287,38))+indirect(address(1285,39))-indirect(address(1286,39))</f>
        <v>0</v>
      </c>
      <c r="AN1287">
        <f>indirect(address(1287,39))+indirect(address(1285,40))-indirect(address(1286,40))</f>
        <v>0</v>
      </c>
      <c r="AO1287">
        <f>indirect(address(1287,40))+indirect(address(1285,41))-indirect(address(1286,41))</f>
        <v>0</v>
      </c>
    </row>
    <row r="1288" spans="1:41">
      <c r="I1288" t="s">
        <v>14</v>
      </c>
      <c r="AO1288">
        <f>sum(j1288:an1288)</f>
        <v>0</v>
      </c>
    </row>
    <row r="1289" spans="1:41">
      <c r="I1289" t="s">
        <v>15</v>
      </c>
      <c r="J1289">
        <f>sumif(Plan!B:B,"906-412477-210",Plan!j:j)</f>
        <v>0</v>
      </c>
      <c r="K1289">
        <f>sumif(Plan!B:B,"906-412477-210",Plan!k:k)</f>
        <v>0</v>
      </c>
      <c r="L1289">
        <f>sumif(Plan!B:B,"906-412477-210",Plan!l:l)</f>
        <v>0</v>
      </c>
      <c r="M1289">
        <f>sumif(Plan!B:B,"906-412477-210",Plan!m:m)</f>
        <v>0</v>
      </c>
      <c r="N1289">
        <f>sumif(Plan!B:B,"906-412477-210",Plan!n:n)</f>
        <v>0</v>
      </c>
      <c r="O1289">
        <f>sumif(Plan!B:B,"906-412477-210",Plan!o:o)</f>
        <v>0</v>
      </c>
      <c r="P1289">
        <f>sumif(Plan!B:B,"906-412477-210",Plan!p:p)</f>
        <v>0</v>
      </c>
      <c r="Q1289">
        <f>sumif(Plan!B:B,"906-412477-210",Plan!q:q)</f>
        <v>0</v>
      </c>
      <c r="R1289">
        <f>sumif(Plan!B:B,"906-412477-210",Plan!r:r)</f>
        <v>0</v>
      </c>
      <c r="S1289">
        <f>sumif(Plan!B:B,"906-412477-210",Plan!s:s)</f>
        <v>0</v>
      </c>
      <c r="T1289">
        <f>sumif(Plan!B:B,"906-412477-210",Plan!t:t)</f>
        <v>0</v>
      </c>
      <c r="U1289">
        <f>sumif(Plan!B:B,"906-412477-210",Plan!u:u)</f>
        <v>0</v>
      </c>
      <c r="V1289">
        <f>sumif(Plan!B:B,"906-412477-210",Plan!v:v)</f>
        <v>0</v>
      </c>
      <c r="W1289">
        <f>sumif(Plan!B:B,"906-412477-210",Plan!w:w)</f>
        <v>0</v>
      </c>
      <c r="X1289">
        <f>sumif(Plan!B:B,"906-412477-210",Plan!x:x)</f>
        <v>0</v>
      </c>
      <c r="Y1289">
        <f>sumif(Plan!B:B,"906-412477-210",Plan!y:y)</f>
        <v>0</v>
      </c>
      <c r="Z1289">
        <f>sumif(Plan!B:B,"906-412477-210",Plan!z:z)</f>
        <v>0</v>
      </c>
      <c r="AA1289">
        <f>sumif(Plan!B:B,"906-412477-210",Plan!aa:aa)</f>
        <v>0</v>
      </c>
      <c r="AB1289">
        <f>sumif(Plan!B:B,"906-412477-210",Plan!ab:ab)</f>
        <v>0</v>
      </c>
      <c r="AC1289">
        <f>sumif(Plan!B:B,"906-412477-210",Plan!ac:ac)</f>
        <v>0</v>
      </c>
      <c r="AD1289">
        <f>sumif(Plan!B:B,"906-412477-210",Plan!ad:ad)</f>
        <v>0</v>
      </c>
      <c r="AE1289">
        <f>sumif(Plan!B:B,"906-412477-210",Plan!ae:ae)</f>
        <v>0</v>
      </c>
      <c r="AF1289">
        <f>sumif(Plan!B:B,"906-412477-210",Plan!af:af)</f>
        <v>0</v>
      </c>
      <c r="AG1289">
        <f>sumif(Plan!B:B,"906-412477-210",Plan!ag:ag)</f>
        <v>0</v>
      </c>
      <c r="AH1289">
        <f>sumif(Plan!B:B,"906-412477-210",Plan!ah:ah)</f>
        <v>0</v>
      </c>
      <c r="AI1289">
        <f>sumif(Plan!B:B,"906-412477-210",Plan!ai:ai)</f>
        <v>0</v>
      </c>
      <c r="AJ1289">
        <f>sumif(Plan!B:B,"906-412477-210",Plan!aj:aj)</f>
        <v>0</v>
      </c>
      <c r="AK1289">
        <f>sumif(Plan!B:B,"906-412477-210",Plan!ak:ak)</f>
        <v>0</v>
      </c>
      <c r="AL1289">
        <f>sumif(Plan!B:B,"906-412477-210",Plan!al:al)</f>
        <v>0</v>
      </c>
      <c r="AM1289">
        <f>sumif(Plan!B:B,"906-412477-210",Plan!am:am)</f>
        <v>0</v>
      </c>
      <c r="AN1289">
        <f>sumif(Plan!B:B,"906-412477-210",Plan!an:an)</f>
        <v>0</v>
      </c>
      <c r="AO1289">
        <f>sumif(Plan!B:B,"906-412477-210",Plan!ao:ao)</f>
        <v>0</v>
      </c>
    </row>
    <row r="1290" spans="1:41">
      <c r="A1290" t="s">
        <v>17</v>
      </c>
      <c r="B1290" t="s">
        <v>846</v>
      </c>
      <c r="C1290" t="s">
        <v>847</v>
      </c>
      <c r="E1290">
        <v>1</v>
      </c>
      <c r="F1290" t="s">
        <v>13</v>
      </c>
      <c r="H1290" t="s">
        <v>16</v>
      </c>
      <c r="J1290">
        <f>indirect(address(1290,9))+indirect(address(1288,10))-indirect(address(1289,10))</f>
        <v>0</v>
      </c>
      <c r="K1290">
        <f>indirect(address(1290,10))+indirect(address(1288,11))-indirect(address(1289,11))</f>
        <v>0</v>
      </c>
      <c r="L1290">
        <f>indirect(address(1290,11))+indirect(address(1288,12))-indirect(address(1289,12))</f>
        <v>0</v>
      </c>
      <c r="M1290">
        <f>indirect(address(1290,12))+indirect(address(1288,13))-indirect(address(1289,13))</f>
        <v>0</v>
      </c>
      <c r="N1290">
        <f>indirect(address(1290,13))+indirect(address(1288,14))-indirect(address(1289,14))</f>
        <v>0</v>
      </c>
      <c r="O1290">
        <f>indirect(address(1290,14))+indirect(address(1288,15))-indirect(address(1289,15))</f>
        <v>0</v>
      </c>
      <c r="P1290">
        <f>indirect(address(1290,15))+indirect(address(1288,16))-indirect(address(1289,16))</f>
        <v>0</v>
      </c>
      <c r="Q1290">
        <f>indirect(address(1290,16))+indirect(address(1288,17))-indirect(address(1289,17))</f>
        <v>0</v>
      </c>
      <c r="R1290">
        <f>indirect(address(1290,17))+indirect(address(1288,18))-indirect(address(1289,18))</f>
        <v>0</v>
      </c>
      <c r="S1290">
        <f>indirect(address(1290,18))+indirect(address(1288,19))-indirect(address(1289,19))</f>
        <v>0</v>
      </c>
      <c r="T1290">
        <f>indirect(address(1290,19))+indirect(address(1288,20))-indirect(address(1289,20))</f>
        <v>0</v>
      </c>
      <c r="U1290">
        <f>indirect(address(1290,20))+indirect(address(1288,21))-indirect(address(1289,21))</f>
        <v>0</v>
      </c>
      <c r="V1290">
        <f>indirect(address(1290,21))+indirect(address(1288,22))-indirect(address(1289,22))</f>
        <v>0</v>
      </c>
      <c r="W1290">
        <f>indirect(address(1290,22))+indirect(address(1288,23))-indirect(address(1289,23))</f>
        <v>0</v>
      </c>
      <c r="X1290">
        <f>indirect(address(1290,23))+indirect(address(1288,24))-indirect(address(1289,24))</f>
        <v>0</v>
      </c>
      <c r="Y1290">
        <f>indirect(address(1290,24))+indirect(address(1288,25))-indirect(address(1289,25))</f>
        <v>0</v>
      </c>
      <c r="Z1290">
        <f>indirect(address(1290,25))+indirect(address(1288,26))-indirect(address(1289,26))</f>
        <v>0</v>
      </c>
      <c r="AA1290">
        <f>indirect(address(1290,26))+indirect(address(1288,27))-indirect(address(1289,27))</f>
        <v>0</v>
      </c>
      <c r="AB1290">
        <f>indirect(address(1290,27))+indirect(address(1288,28))-indirect(address(1289,28))</f>
        <v>0</v>
      </c>
      <c r="AC1290">
        <f>indirect(address(1290,28))+indirect(address(1288,29))-indirect(address(1289,29))</f>
        <v>0</v>
      </c>
      <c r="AD1290">
        <f>indirect(address(1290,29))+indirect(address(1288,30))-indirect(address(1289,30))</f>
        <v>0</v>
      </c>
      <c r="AE1290">
        <f>indirect(address(1290,30))+indirect(address(1288,31))-indirect(address(1289,31))</f>
        <v>0</v>
      </c>
      <c r="AF1290">
        <f>indirect(address(1290,31))+indirect(address(1288,32))-indirect(address(1289,32))</f>
        <v>0</v>
      </c>
      <c r="AG1290">
        <f>indirect(address(1290,32))+indirect(address(1288,33))-indirect(address(1289,33))</f>
        <v>0</v>
      </c>
      <c r="AH1290">
        <f>indirect(address(1290,33))+indirect(address(1288,34))-indirect(address(1289,34))</f>
        <v>0</v>
      </c>
      <c r="AI1290">
        <f>indirect(address(1290,34))+indirect(address(1288,35))-indirect(address(1289,35))</f>
        <v>0</v>
      </c>
      <c r="AJ1290">
        <f>indirect(address(1290,35))+indirect(address(1288,36))-indirect(address(1289,36))</f>
        <v>0</v>
      </c>
      <c r="AK1290">
        <f>indirect(address(1290,36))+indirect(address(1288,37))-indirect(address(1289,37))</f>
        <v>0</v>
      </c>
      <c r="AL1290">
        <f>indirect(address(1290,37))+indirect(address(1288,38))-indirect(address(1289,38))</f>
        <v>0</v>
      </c>
      <c r="AM1290">
        <f>indirect(address(1290,38))+indirect(address(1288,39))-indirect(address(1289,39))</f>
        <v>0</v>
      </c>
      <c r="AN1290">
        <f>indirect(address(1290,39))+indirect(address(1288,40))-indirect(address(1289,40))</f>
        <v>0</v>
      </c>
      <c r="AO1290">
        <f>indirect(address(1290,40))+indirect(address(1288,41))-indirect(address(1289,41))</f>
        <v>0</v>
      </c>
    </row>
    <row r="1291" spans="1:41">
      <c r="I1291" t="s">
        <v>14</v>
      </c>
      <c r="AO1291">
        <f>sum(j1291:an1291)</f>
        <v>0</v>
      </c>
    </row>
    <row r="1292" spans="1:41">
      <c r="I1292" t="s">
        <v>15</v>
      </c>
      <c r="J1292">
        <f>sumif(Plan!B:B,"906-412477-210",Plan!j:j)</f>
        <v>0</v>
      </c>
      <c r="K1292">
        <f>sumif(Plan!B:B,"906-412477-210",Plan!k:k)</f>
        <v>0</v>
      </c>
      <c r="L1292">
        <f>sumif(Plan!B:B,"906-412477-210",Plan!l:l)</f>
        <v>0</v>
      </c>
      <c r="M1292">
        <f>sumif(Plan!B:B,"906-412477-210",Plan!m:m)</f>
        <v>0</v>
      </c>
      <c r="N1292">
        <f>sumif(Plan!B:B,"906-412477-210",Plan!n:n)</f>
        <v>0</v>
      </c>
      <c r="O1292">
        <f>sumif(Plan!B:B,"906-412477-210",Plan!o:o)</f>
        <v>0</v>
      </c>
      <c r="P1292">
        <f>sumif(Plan!B:B,"906-412477-210",Plan!p:p)</f>
        <v>0</v>
      </c>
      <c r="Q1292">
        <f>sumif(Plan!B:B,"906-412477-210",Plan!q:q)</f>
        <v>0</v>
      </c>
      <c r="R1292">
        <f>sumif(Plan!B:B,"906-412477-210",Plan!r:r)</f>
        <v>0</v>
      </c>
      <c r="S1292">
        <f>sumif(Plan!B:B,"906-412477-210",Plan!s:s)</f>
        <v>0</v>
      </c>
      <c r="T1292">
        <f>sumif(Plan!B:B,"906-412477-210",Plan!t:t)</f>
        <v>0</v>
      </c>
      <c r="U1292">
        <f>sumif(Plan!B:B,"906-412477-210",Plan!u:u)</f>
        <v>0</v>
      </c>
      <c r="V1292">
        <f>sumif(Plan!B:B,"906-412477-210",Plan!v:v)</f>
        <v>0</v>
      </c>
      <c r="W1292">
        <f>sumif(Plan!B:B,"906-412477-210",Plan!w:w)</f>
        <v>0</v>
      </c>
      <c r="X1292">
        <f>sumif(Plan!B:B,"906-412477-210",Plan!x:x)</f>
        <v>0</v>
      </c>
      <c r="Y1292">
        <f>sumif(Plan!B:B,"906-412477-210",Plan!y:y)</f>
        <v>0</v>
      </c>
      <c r="Z1292">
        <f>sumif(Plan!B:B,"906-412477-210",Plan!z:z)</f>
        <v>0</v>
      </c>
      <c r="AA1292">
        <f>sumif(Plan!B:B,"906-412477-210",Plan!aa:aa)</f>
        <v>0</v>
      </c>
      <c r="AB1292">
        <f>sumif(Plan!B:B,"906-412477-210",Plan!ab:ab)</f>
        <v>0</v>
      </c>
      <c r="AC1292">
        <f>sumif(Plan!B:B,"906-412477-210",Plan!ac:ac)</f>
        <v>0</v>
      </c>
      <c r="AD1292">
        <f>sumif(Plan!B:B,"906-412477-210",Plan!ad:ad)</f>
        <v>0</v>
      </c>
      <c r="AE1292">
        <f>sumif(Plan!B:B,"906-412477-210",Plan!ae:ae)</f>
        <v>0</v>
      </c>
      <c r="AF1292">
        <f>sumif(Plan!B:B,"906-412477-210",Plan!af:af)</f>
        <v>0</v>
      </c>
      <c r="AG1292">
        <f>sumif(Plan!B:B,"906-412477-210",Plan!ag:ag)</f>
        <v>0</v>
      </c>
      <c r="AH1292">
        <f>sumif(Plan!B:B,"906-412477-210",Plan!ah:ah)</f>
        <v>0</v>
      </c>
      <c r="AI1292">
        <f>sumif(Plan!B:B,"906-412477-210",Plan!ai:ai)</f>
        <v>0</v>
      </c>
      <c r="AJ1292">
        <f>sumif(Plan!B:B,"906-412477-210",Plan!aj:aj)</f>
        <v>0</v>
      </c>
      <c r="AK1292">
        <f>sumif(Plan!B:B,"906-412477-210",Plan!ak:ak)</f>
        <v>0</v>
      </c>
      <c r="AL1292">
        <f>sumif(Plan!B:B,"906-412477-210",Plan!al:al)</f>
        <v>0</v>
      </c>
      <c r="AM1292">
        <f>sumif(Plan!B:B,"906-412477-210",Plan!am:am)</f>
        <v>0</v>
      </c>
      <c r="AN1292">
        <f>sumif(Plan!B:B,"906-412477-210",Plan!an:an)</f>
        <v>0</v>
      </c>
      <c r="AO1292">
        <f>sumif(Plan!B:B,"906-412477-210",Plan!ao:ao)</f>
        <v>0</v>
      </c>
    </row>
    <row r="1293" spans="1:41">
      <c r="A1293" t="s">
        <v>22</v>
      </c>
      <c r="B1293" t="s">
        <v>846</v>
      </c>
      <c r="C1293" t="s">
        <v>848</v>
      </c>
      <c r="E1293">
        <v>1</v>
      </c>
      <c r="F1293" t="s">
        <v>13</v>
      </c>
      <c r="H1293" t="s">
        <v>16</v>
      </c>
      <c r="J1293">
        <f>indirect(address(1293,9))+indirect(address(1291,10))-indirect(address(1292,10))</f>
        <v>0</v>
      </c>
      <c r="K1293">
        <f>indirect(address(1293,10))+indirect(address(1291,11))-indirect(address(1292,11))</f>
        <v>0</v>
      </c>
      <c r="L1293">
        <f>indirect(address(1293,11))+indirect(address(1291,12))-indirect(address(1292,12))</f>
        <v>0</v>
      </c>
      <c r="M1293">
        <f>indirect(address(1293,12))+indirect(address(1291,13))-indirect(address(1292,13))</f>
        <v>0</v>
      </c>
      <c r="N1293">
        <f>indirect(address(1293,13))+indirect(address(1291,14))-indirect(address(1292,14))</f>
        <v>0</v>
      </c>
      <c r="O1293">
        <f>indirect(address(1293,14))+indirect(address(1291,15))-indirect(address(1292,15))</f>
        <v>0</v>
      </c>
      <c r="P1293">
        <f>indirect(address(1293,15))+indirect(address(1291,16))-indirect(address(1292,16))</f>
        <v>0</v>
      </c>
      <c r="Q1293">
        <f>indirect(address(1293,16))+indirect(address(1291,17))-indirect(address(1292,17))</f>
        <v>0</v>
      </c>
      <c r="R1293">
        <f>indirect(address(1293,17))+indirect(address(1291,18))-indirect(address(1292,18))</f>
        <v>0</v>
      </c>
      <c r="S1293">
        <f>indirect(address(1293,18))+indirect(address(1291,19))-indirect(address(1292,19))</f>
        <v>0</v>
      </c>
      <c r="T1293">
        <f>indirect(address(1293,19))+indirect(address(1291,20))-indirect(address(1292,20))</f>
        <v>0</v>
      </c>
      <c r="U1293">
        <f>indirect(address(1293,20))+indirect(address(1291,21))-indirect(address(1292,21))</f>
        <v>0</v>
      </c>
      <c r="V1293">
        <f>indirect(address(1293,21))+indirect(address(1291,22))-indirect(address(1292,22))</f>
        <v>0</v>
      </c>
      <c r="W1293">
        <f>indirect(address(1293,22))+indirect(address(1291,23))-indirect(address(1292,23))</f>
        <v>0</v>
      </c>
      <c r="X1293">
        <f>indirect(address(1293,23))+indirect(address(1291,24))-indirect(address(1292,24))</f>
        <v>0</v>
      </c>
      <c r="Y1293">
        <f>indirect(address(1293,24))+indirect(address(1291,25))-indirect(address(1292,25))</f>
        <v>0</v>
      </c>
      <c r="Z1293">
        <f>indirect(address(1293,25))+indirect(address(1291,26))-indirect(address(1292,26))</f>
        <v>0</v>
      </c>
      <c r="AA1293">
        <f>indirect(address(1293,26))+indirect(address(1291,27))-indirect(address(1292,27))</f>
        <v>0</v>
      </c>
      <c r="AB1293">
        <f>indirect(address(1293,27))+indirect(address(1291,28))-indirect(address(1292,28))</f>
        <v>0</v>
      </c>
      <c r="AC1293">
        <f>indirect(address(1293,28))+indirect(address(1291,29))-indirect(address(1292,29))</f>
        <v>0</v>
      </c>
      <c r="AD1293">
        <f>indirect(address(1293,29))+indirect(address(1291,30))-indirect(address(1292,30))</f>
        <v>0</v>
      </c>
      <c r="AE1293">
        <f>indirect(address(1293,30))+indirect(address(1291,31))-indirect(address(1292,31))</f>
        <v>0</v>
      </c>
      <c r="AF1293">
        <f>indirect(address(1293,31))+indirect(address(1291,32))-indirect(address(1292,32))</f>
        <v>0</v>
      </c>
      <c r="AG1293">
        <f>indirect(address(1293,32))+indirect(address(1291,33))-indirect(address(1292,33))</f>
        <v>0</v>
      </c>
      <c r="AH1293">
        <f>indirect(address(1293,33))+indirect(address(1291,34))-indirect(address(1292,34))</f>
        <v>0</v>
      </c>
      <c r="AI1293">
        <f>indirect(address(1293,34))+indirect(address(1291,35))-indirect(address(1292,35))</f>
        <v>0</v>
      </c>
      <c r="AJ1293">
        <f>indirect(address(1293,35))+indirect(address(1291,36))-indirect(address(1292,36))</f>
        <v>0</v>
      </c>
      <c r="AK1293">
        <f>indirect(address(1293,36))+indirect(address(1291,37))-indirect(address(1292,37))</f>
        <v>0</v>
      </c>
      <c r="AL1293">
        <f>indirect(address(1293,37))+indirect(address(1291,38))-indirect(address(1292,38))</f>
        <v>0</v>
      </c>
      <c r="AM1293">
        <f>indirect(address(1293,38))+indirect(address(1291,39))-indirect(address(1292,39))</f>
        <v>0</v>
      </c>
      <c r="AN1293">
        <f>indirect(address(1293,39))+indirect(address(1291,40))-indirect(address(1292,40))</f>
        <v>0</v>
      </c>
      <c r="AO1293">
        <f>indirect(address(1293,40))+indirect(address(1291,41))-indirect(address(1292,41))</f>
        <v>0</v>
      </c>
    </row>
    <row r="1294" spans="1:41">
      <c r="I1294" t="s">
        <v>14</v>
      </c>
      <c r="AO1294">
        <f>sum(j1294:an1294)</f>
        <v>0</v>
      </c>
    </row>
    <row r="1295" spans="1:41">
      <c r="I1295" t="s">
        <v>15</v>
      </c>
      <c r="J1295">
        <f>sumif(Plan!B:B,"906-471348-110",Plan!j:j)</f>
        <v>0</v>
      </c>
      <c r="K1295">
        <f>sumif(Plan!B:B,"906-471348-110",Plan!k:k)</f>
        <v>0</v>
      </c>
      <c r="L1295">
        <f>sumif(Plan!B:B,"906-471348-110",Plan!l:l)</f>
        <v>0</v>
      </c>
      <c r="M1295">
        <f>sumif(Plan!B:B,"906-471348-110",Plan!m:m)</f>
        <v>0</v>
      </c>
      <c r="N1295">
        <f>sumif(Plan!B:B,"906-471348-110",Plan!n:n)</f>
        <v>0</v>
      </c>
      <c r="O1295">
        <f>sumif(Plan!B:B,"906-471348-110",Plan!o:o)</f>
        <v>0</v>
      </c>
      <c r="P1295">
        <f>sumif(Plan!B:B,"906-471348-110",Plan!p:p)</f>
        <v>0</v>
      </c>
      <c r="Q1295">
        <f>sumif(Plan!B:B,"906-471348-110",Plan!q:q)</f>
        <v>0</v>
      </c>
      <c r="R1295">
        <f>sumif(Plan!B:B,"906-471348-110",Plan!r:r)</f>
        <v>0</v>
      </c>
      <c r="S1295">
        <f>sumif(Plan!B:B,"906-471348-110",Plan!s:s)</f>
        <v>0</v>
      </c>
      <c r="T1295">
        <f>sumif(Plan!B:B,"906-471348-110",Plan!t:t)</f>
        <v>0</v>
      </c>
      <c r="U1295">
        <f>sumif(Plan!B:B,"906-471348-110",Plan!u:u)</f>
        <v>0</v>
      </c>
      <c r="V1295">
        <f>sumif(Plan!B:B,"906-471348-110",Plan!v:v)</f>
        <v>0</v>
      </c>
      <c r="W1295">
        <f>sumif(Plan!B:B,"906-471348-110",Plan!w:w)</f>
        <v>0</v>
      </c>
      <c r="X1295">
        <f>sumif(Plan!B:B,"906-471348-110",Plan!x:x)</f>
        <v>0</v>
      </c>
      <c r="Y1295">
        <f>sumif(Plan!B:B,"906-471348-110",Plan!y:y)</f>
        <v>0</v>
      </c>
      <c r="Z1295">
        <f>sumif(Plan!B:B,"906-471348-110",Plan!z:z)</f>
        <v>0</v>
      </c>
      <c r="AA1295">
        <f>sumif(Plan!B:B,"906-471348-110",Plan!aa:aa)</f>
        <v>0</v>
      </c>
      <c r="AB1295">
        <f>sumif(Plan!B:B,"906-471348-110",Plan!ab:ab)</f>
        <v>0</v>
      </c>
      <c r="AC1295">
        <f>sumif(Plan!B:B,"906-471348-110",Plan!ac:ac)</f>
        <v>0</v>
      </c>
      <c r="AD1295">
        <f>sumif(Plan!B:B,"906-471348-110",Plan!ad:ad)</f>
        <v>0</v>
      </c>
      <c r="AE1295">
        <f>sumif(Plan!B:B,"906-471348-110",Plan!ae:ae)</f>
        <v>0</v>
      </c>
      <c r="AF1295">
        <f>sumif(Plan!B:B,"906-471348-110",Plan!af:af)</f>
        <v>0</v>
      </c>
      <c r="AG1295">
        <f>sumif(Plan!B:B,"906-471348-110",Plan!ag:ag)</f>
        <v>0</v>
      </c>
      <c r="AH1295">
        <f>sumif(Plan!B:B,"906-471348-110",Plan!ah:ah)</f>
        <v>0</v>
      </c>
      <c r="AI1295">
        <f>sumif(Plan!B:B,"906-471348-110",Plan!ai:ai)</f>
        <v>0</v>
      </c>
      <c r="AJ1295">
        <f>sumif(Plan!B:B,"906-471348-110",Plan!aj:aj)</f>
        <v>0</v>
      </c>
      <c r="AK1295">
        <f>sumif(Plan!B:B,"906-471348-110",Plan!ak:ak)</f>
        <v>0</v>
      </c>
      <c r="AL1295">
        <f>sumif(Plan!B:B,"906-471348-110",Plan!al:al)</f>
        <v>0</v>
      </c>
      <c r="AM1295">
        <f>sumif(Plan!B:B,"906-471348-110",Plan!am:am)</f>
        <v>0</v>
      </c>
      <c r="AN1295">
        <f>sumif(Plan!B:B,"906-471348-110",Plan!an:an)</f>
        <v>0</v>
      </c>
      <c r="AO1295">
        <f>sumif(Plan!B:B,"906-471348-110",Plan!ao:ao)</f>
        <v>0</v>
      </c>
    </row>
    <row r="1296" spans="1:41">
      <c r="A1296" t="s">
        <v>17</v>
      </c>
      <c r="B1296" t="s">
        <v>852</v>
      </c>
      <c r="C1296" t="s">
        <v>853</v>
      </c>
      <c r="E1296">
        <v>1</v>
      </c>
      <c r="F1296" t="s">
        <v>13</v>
      </c>
      <c r="H1296" t="s">
        <v>16</v>
      </c>
      <c r="J1296">
        <f>indirect(address(1296,9))+indirect(address(1294,10))-indirect(address(1295,10))</f>
        <v>0</v>
      </c>
      <c r="K1296">
        <f>indirect(address(1296,10))+indirect(address(1294,11))-indirect(address(1295,11))</f>
        <v>0</v>
      </c>
      <c r="L1296">
        <f>indirect(address(1296,11))+indirect(address(1294,12))-indirect(address(1295,12))</f>
        <v>0</v>
      </c>
      <c r="M1296">
        <f>indirect(address(1296,12))+indirect(address(1294,13))-indirect(address(1295,13))</f>
        <v>0</v>
      </c>
      <c r="N1296">
        <f>indirect(address(1296,13))+indirect(address(1294,14))-indirect(address(1295,14))</f>
        <v>0</v>
      </c>
      <c r="O1296">
        <f>indirect(address(1296,14))+indirect(address(1294,15))-indirect(address(1295,15))</f>
        <v>0</v>
      </c>
      <c r="P1296">
        <f>indirect(address(1296,15))+indirect(address(1294,16))-indirect(address(1295,16))</f>
        <v>0</v>
      </c>
      <c r="Q1296">
        <f>indirect(address(1296,16))+indirect(address(1294,17))-indirect(address(1295,17))</f>
        <v>0</v>
      </c>
      <c r="R1296">
        <f>indirect(address(1296,17))+indirect(address(1294,18))-indirect(address(1295,18))</f>
        <v>0</v>
      </c>
      <c r="S1296">
        <f>indirect(address(1296,18))+indirect(address(1294,19))-indirect(address(1295,19))</f>
        <v>0</v>
      </c>
      <c r="T1296">
        <f>indirect(address(1296,19))+indirect(address(1294,20))-indirect(address(1295,20))</f>
        <v>0</v>
      </c>
      <c r="U1296">
        <f>indirect(address(1296,20))+indirect(address(1294,21))-indirect(address(1295,21))</f>
        <v>0</v>
      </c>
      <c r="V1296">
        <f>indirect(address(1296,21))+indirect(address(1294,22))-indirect(address(1295,22))</f>
        <v>0</v>
      </c>
      <c r="W1296">
        <f>indirect(address(1296,22))+indirect(address(1294,23))-indirect(address(1295,23))</f>
        <v>0</v>
      </c>
      <c r="X1296">
        <f>indirect(address(1296,23))+indirect(address(1294,24))-indirect(address(1295,24))</f>
        <v>0</v>
      </c>
      <c r="Y1296">
        <f>indirect(address(1296,24))+indirect(address(1294,25))-indirect(address(1295,25))</f>
        <v>0</v>
      </c>
      <c r="Z1296">
        <f>indirect(address(1296,25))+indirect(address(1294,26))-indirect(address(1295,26))</f>
        <v>0</v>
      </c>
      <c r="AA1296">
        <f>indirect(address(1296,26))+indirect(address(1294,27))-indirect(address(1295,27))</f>
        <v>0</v>
      </c>
      <c r="AB1296">
        <f>indirect(address(1296,27))+indirect(address(1294,28))-indirect(address(1295,28))</f>
        <v>0</v>
      </c>
      <c r="AC1296">
        <f>indirect(address(1296,28))+indirect(address(1294,29))-indirect(address(1295,29))</f>
        <v>0</v>
      </c>
      <c r="AD1296">
        <f>indirect(address(1296,29))+indirect(address(1294,30))-indirect(address(1295,30))</f>
        <v>0</v>
      </c>
      <c r="AE1296">
        <f>indirect(address(1296,30))+indirect(address(1294,31))-indirect(address(1295,31))</f>
        <v>0</v>
      </c>
      <c r="AF1296">
        <f>indirect(address(1296,31))+indirect(address(1294,32))-indirect(address(1295,32))</f>
        <v>0</v>
      </c>
      <c r="AG1296">
        <f>indirect(address(1296,32))+indirect(address(1294,33))-indirect(address(1295,33))</f>
        <v>0</v>
      </c>
      <c r="AH1296">
        <f>indirect(address(1296,33))+indirect(address(1294,34))-indirect(address(1295,34))</f>
        <v>0</v>
      </c>
      <c r="AI1296">
        <f>indirect(address(1296,34))+indirect(address(1294,35))-indirect(address(1295,35))</f>
        <v>0</v>
      </c>
      <c r="AJ1296">
        <f>indirect(address(1296,35))+indirect(address(1294,36))-indirect(address(1295,36))</f>
        <v>0</v>
      </c>
      <c r="AK1296">
        <f>indirect(address(1296,36))+indirect(address(1294,37))-indirect(address(1295,37))</f>
        <v>0</v>
      </c>
      <c r="AL1296">
        <f>indirect(address(1296,37))+indirect(address(1294,38))-indirect(address(1295,38))</f>
        <v>0</v>
      </c>
      <c r="AM1296">
        <f>indirect(address(1296,38))+indirect(address(1294,39))-indirect(address(1295,39))</f>
        <v>0</v>
      </c>
      <c r="AN1296">
        <f>indirect(address(1296,39))+indirect(address(1294,40))-indirect(address(1295,40))</f>
        <v>0</v>
      </c>
      <c r="AO1296">
        <f>indirect(address(1296,40))+indirect(address(1294,41))-indirect(address(1295,41))</f>
        <v>0</v>
      </c>
    </row>
    <row r="1297" spans="1:41">
      <c r="I1297" t="s">
        <v>14</v>
      </c>
      <c r="AO1297">
        <f>sum(j1297:an1297)</f>
        <v>0</v>
      </c>
    </row>
    <row r="1298" spans="1:41">
      <c r="I1298" t="s">
        <v>15</v>
      </c>
      <c r="J1298">
        <f>sumif(Plan!B:B,"906-473348-110",Plan!j:j)</f>
        <v>0</v>
      </c>
      <c r="K1298">
        <f>sumif(Plan!B:B,"906-473348-110",Plan!k:k)</f>
        <v>0</v>
      </c>
      <c r="L1298">
        <f>sumif(Plan!B:B,"906-473348-110",Plan!l:l)</f>
        <v>0</v>
      </c>
      <c r="M1298">
        <f>sumif(Plan!B:B,"906-473348-110",Plan!m:m)</f>
        <v>0</v>
      </c>
      <c r="N1298">
        <f>sumif(Plan!B:B,"906-473348-110",Plan!n:n)</f>
        <v>0</v>
      </c>
      <c r="O1298">
        <f>sumif(Plan!B:B,"906-473348-110",Plan!o:o)</f>
        <v>0</v>
      </c>
      <c r="P1298">
        <f>sumif(Plan!B:B,"906-473348-110",Plan!p:p)</f>
        <v>0</v>
      </c>
      <c r="Q1298">
        <f>sumif(Plan!B:B,"906-473348-110",Plan!q:q)</f>
        <v>0</v>
      </c>
      <c r="R1298">
        <f>sumif(Plan!B:B,"906-473348-110",Plan!r:r)</f>
        <v>0</v>
      </c>
      <c r="S1298">
        <f>sumif(Plan!B:B,"906-473348-110",Plan!s:s)</f>
        <v>0</v>
      </c>
      <c r="T1298">
        <f>sumif(Plan!B:B,"906-473348-110",Plan!t:t)</f>
        <v>0</v>
      </c>
      <c r="U1298">
        <f>sumif(Plan!B:B,"906-473348-110",Plan!u:u)</f>
        <v>0</v>
      </c>
      <c r="V1298">
        <f>sumif(Plan!B:B,"906-473348-110",Plan!v:v)</f>
        <v>0</v>
      </c>
      <c r="W1298">
        <f>sumif(Plan!B:B,"906-473348-110",Plan!w:w)</f>
        <v>0</v>
      </c>
      <c r="X1298">
        <f>sumif(Plan!B:B,"906-473348-110",Plan!x:x)</f>
        <v>0</v>
      </c>
      <c r="Y1298">
        <f>sumif(Plan!B:B,"906-473348-110",Plan!y:y)</f>
        <v>0</v>
      </c>
      <c r="Z1298">
        <f>sumif(Plan!B:B,"906-473348-110",Plan!z:z)</f>
        <v>0</v>
      </c>
      <c r="AA1298">
        <f>sumif(Plan!B:B,"906-473348-110",Plan!aa:aa)</f>
        <v>0</v>
      </c>
      <c r="AB1298">
        <f>sumif(Plan!B:B,"906-473348-110",Plan!ab:ab)</f>
        <v>0</v>
      </c>
      <c r="AC1298">
        <f>sumif(Plan!B:B,"906-473348-110",Plan!ac:ac)</f>
        <v>0</v>
      </c>
      <c r="AD1298">
        <f>sumif(Plan!B:B,"906-473348-110",Plan!ad:ad)</f>
        <v>0</v>
      </c>
      <c r="AE1298">
        <f>sumif(Plan!B:B,"906-473348-110",Plan!ae:ae)</f>
        <v>0</v>
      </c>
      <c r="AF1298">
        <f>sumif(Plan!B:B,"906-473348-110",Plan!af:af)</f>
        <v>0</v>
      </c>
      <c r="AG1298">
        <f>sumif(Plan!B:B,"906-473348-110",Plan!ag:ag)</f>
        <v>0</v>
      </c>
      <c r="AH1298">
        <f>sumif(Plan!B:B,"906-473348-110",Plan!ah:ah)</f>
        <v>0</v>
      </c>
      <c r="AI1298">
        <f>sumif(Plan!B:B,"906-473348-110",Plan!ai:ai)</f>
        <v>0</v>
      </c>
      <c r="AJ1298">
        <f>sumif(Plan!B:B,"906-473348-110",Plan!aj:aj)</f>
        <v>0</v>
      </c>
      <c r="AK1298">
        <f>sumif(Plan!B:B,"906-473348-110",Plan!ak:ak)</f>
        <v>0</v>
      </c>
      <c r="AL1298">
        <f>sumif(Plan!B:B,"906-473348-110",Plan!al:al)</f>
        <v>0</v>
      </c>
      <c r="AM1298">
        <f>sumif(Plan!B:B,"906-473348-110",Plan!am:am)</f>
        <v>0</v>
      </c>
      <c r="AN1298">
        <f>sumif(Plan!B:B,"906-473348-110",Plan!an:an)</f>
        <v>0</v>
      </c>
      <c r="AO1298">
        <f>sumif(Plan!B:B,"906-473348-110",Plan!ao:ao)</f>
        <v>0</v>
      </c>
    </row>
    <row r="1299" spans="1:41">
      <c r="A1299" t="s">
        <v>17</v>
      </c>
      <c r="B1299" t="s">
        <v>854</v>
      </c>
      <c r="C1299" t="s">
        <v>855</v>
      </c>
      <c r="E1299">
        <v>1</v>
      </c>
      <c r="F1299" t="s">
        <v>13</v>
      </c>
      <c r="H1299" t="s">
        <v>16</v>
      </c>
      <c r="J1299">
        <f>indirect(address(1299,9))+indirect(address(1297,10))-indirect(address(1298,10))</f>
        <v>0</v>
      </c>
      <c r="K1299">
        <f>indirect(address(1299,10))+indirect(address(1297,11))-indirect(address(1298,11))</f>
        <v>0</v>
      </c>
      <c r="L1299">
        <f>indirect(address(1299,11))+indirect(address(1297,12))-indirect(address(1298,12))</f>
        <v>0</v>
      </c>
      <c r="M1299">
        <f>indirect(address(1299,12))+indirect(address(1297,13))-indirect(address(1298,13))</f>
        <v>0</v>
      </c>
      <c r="N1299">
        <f>indirect(address(1299,13))+indirect(address(1297,14))-indirect(address(1298,14))</f>
        <v>0</v>
      </c>
      <c r="O1299">
        <f>indirect(address(1299,14))+indirect(address(1297,15))-indirect(address(1298,15))</f>
        <v>0</v>
      </c>
      <c r="P1299">
        <f>indirect(address(1299,15))+indirect(address(1297,16))-indirect(address(1298,16))</f>
        <v>0</v>
      </c>
      <c r="Q1299">
        <f>indirect(address(1299,16))+indirect(address(1297,17))-indirect(address(1298,17))</f>
        <v>0</v>
      </c>
      <c r="R1299">
        <f>indirect(address(1299,17))+indirect(address(1297,18))-indirect(address(1298,18))</f>
        <v>0</v>
      </c>
      <c r="S1299">
        <f>indirect(address(1299,18))+indirect(address(1297,19))-indirect(address(1298,19))</f>
        <v>0</v>
      </c>
      <c r="T1299">
        <f>indirect(address(1299,19))+indirect(address(1297,20))-indirect(address(1298,20))</f>
        <v>0</v>
      </c>
      <c r="U1299">
        <f>indirect(address(1299,20))+indirect(address(1297,21))-indirect(address(1298,21))</f>
        <v>0</v>
      </c>
      <c r="V1299">
        <f>indirect(address(1299,21))+indirect(address(1297,22))-indirect(address(1298,22))</f>
        <v>0</v>
      </c>
      <c r="W1299">
        <f>indirect(address(1299,22))+indirect(address(1297,23))-indirect(address(1298,23))</f>
        <v>0</v>
      </c>
      <c r="X1299">
        <f>indirect(address(1299,23))+indirect(address(1297,24))-indirect(address(1298,24))</f>
        <v>0</v>
      </c>
      <c r="Y1299">
        <f>indirect(address(1299,24))+indirect(address(1297,25))-indirect(address(1298,25))</f>
        <v>0</v>
      </c>
      <c r="Z1299">
        <f>indirect(address(1299,25))+indirect(address(1297,26))-indirect(address(1298,26))</f>
        <v>0</v>
      </c>
      <c r="AA1299">
        <f>indirect(address(1299,26))+indirect(address(1297,27))-indirect(address(1298,27))</f>
        <v>0</v>
      </c>
      <c r="AB1299">
        <f>indirect(address(1299,27))+indirect(address(1297,28))-indirect(address(1298,28))</f>
        <v>0</v>
      </c>
      <c r="AC1299">
        <f>indirect(address(1299,28))+indirect(address(1297,29))-indirect(address(1298,29))</f>
        <v>0</v>
      </c>
      <c r="AD1299">
        <f>indirect(address(1299,29))+indirect(address(1297,30))-indirect(address(1298,30))</f>
        <v>0</v>
      </c>
      <c r="AE1299">
        <f>indirect(address(1299,30))+indirect(address(1297,31))-indirect(address(1298,31))</f>
        <v>0</v>
      </c>
      <c r="AF1299">
        <f>indirect(address(1299,31))+indirect(address(1297,32))-indirect(address(1298,32))</f>
        <v>0</v>
      </c>
      <c r="AG1299">
        <f>indirect(address(1299,32))+indirect(address(1297,33))-indirect(address(1298,33))</f>
        <v>0</v>
      </c>
      <c r="AH1299">
        <f>indirect(address(1299,33))+indirect(address(1297,34))-indirect(address(1298,34))</f>
        <v>0</v>
      </c>
      <c r="AI1299">
        <f>indirect(address(1299,34))+indirect(address(1297,35))-indirect(address(1298,35))</f>
        <v>0</v>
      </c>
      <c r="AJ1299">
        <f>indirect(address(1299,35))+indirect(address(1297,36))-indirect(address(1298,36))</f>
        <v>0</v>
      </c>
      <c r="AK1299">
        <f>indirect(address(1299,36))+indirect(address(1297,37))-indirect(address(1298,37))</f>
        <v>0</v>
      </c>
      <c r="AL1299">
        <f>indirect(address(1299,37))+indirect(address(1297,38))-indirect(address(1298,38))</f>
        <v>0</v>
      </c>
      <c r="AM1299">
        <f>indirect(address(1299,38))+indirect(address(1297,39))-indirect(address(1298,39))</f>
        <v>0</v>
      </c>
      <c r="AN1299">
        <f>indirect(address(1299,39))+indirect(address(1297,40))-indirect(address(1298,40))</f>
        <v>0</v>
      </c>
      <c r="AO1299">
        <f>indirect(address(1299,40))+indirect(address(1297,41))-indirect(address(1298,41))</f>
        <v>0</v>
      </c>
    </row>
    <row r="1300" spans="1:41">
      <c r="I1300" t="s">
        <v>14</v>
      </c>
      <c r="AO1300">
        <f>sum(j1300:an1300)</f>
        <v>0</v>
      </c>
    </row>
    <row r="1301" spans="1:41">
      <c r="I1301" t="s">
        <v>15</v>
      </c>
      <c r="J1301">
        <f>sumif(Plan!B:B,"271-000800-000",Plan!j:j)</f>
        <v>0</v>
      </c>
      <c r="K1301">
        <f>sumif(Plan!B:B,"271-000800-000",Plan!k:k)</f>
        <v>0</v>
      </c>
      <c r="L1301">
        <f>sumif(Plan!B:B,"271-000800-000",Plan!l:l)</f>
        <v>0</v>
      </c>
      <c r="M1301">
        <f>sumif(Plan!B:B,"271-000800-000",Plan!m:m)</f>
        <v>0</v>
      </c>
      <c r="N1301">
        <f>sumif(Plan!B:B,"271-000800-000",Plan!n:n)</f>
        <v>0</v>
      </c>
      <c r="O1301">
        <f>sumif(Plan!B:B,"271-000800-000",Plan!o:o)</f>
        <v>0</v>
      </c>
      <c r="P1301">
        <f>sumif(Plan!B:B,"271-000800-000",Plan!p:p)</f>
        <v>0</v>
      </c>
      <c r="Q1301">
        <f>sumif(Plan!B:B,"271-000800-000",Plan!q:q)</f>
        <v>0</v>
      </c>
      <c r="R1301">
        <f>sumif(Plan!B:B,"271-000800-000",Plan!r:r)</f>
        <v>0</v>
      </c>
      <c r="S1301">
        <f>sumif(Plan!B:B,"271-000800-000",Plan!s:s)</f>
        <v>0</v>
      </c>
      <c r="T1301">
        <f>sumif(Plan!B:B,"271-000800-000",Plan!t:t)</f>
        <v>0</v>
      </c>
      <c r="U1301">
        <f>sumif(Plan!B:B,"271-000800-000",Plan!u:u)</f>
        <v>0</v>
      </c>
      <c r="V1301">
        <f>sumif(Plan!B:B,"271-000800-000",Plan!v:v)</f>
        <v>0</v>
      </c>
      <c r="W1301">
        <f>sumif(Plan!B:B,"271-000800-000",Plan!w:w)</f>
        <v>0</v>
      </c>
      <c r="X1301">
        <f>sumif(Plan!B:B,"271-000800-000",Plan!x:x)</f>
        <v>0</v>
      </c>
      <c r="Y1301">
        <f>sumif(Plan!B:B,"271-000800-000",Plan!y:y)</f>
        <v>0</v>
      </c>
      <c r="Z1301">
        <f>sumif(Plan!B:B,"271-000800-000",Plan!z:z)</f>
        <v>0</v>
      </c>
      <c r="AA1301">
        <f>sumif(Plan!B:B,"271-000800-000",Plan!aa:aa)</f>
        <v>0</v>
      </c>
      <c r="AB1301">
        <f>sumif(Plan!B:B,"271-000800-000",Plan!ab:ab)</f>
        <v>0</v>
      </c>
      <c r="AC1301">
        <f>sumif(Plan!B:B,"271-000800-000",Plan!ac:ac)</f>
        <v>0</v>
      </c>
      <c r="AD1301">
        <f>sumif(Plan!B:B,"271-000800-000",Plan!ad:ad)</f>
        <v>0</v>
      </c>
      <c r="AE1301">
        <f>sumif(Plan!B:B,"271-000800-000",Plan!ae:ae)</f>
        <v>0</v>
      </c>
      <c r="AF1301">
        <f>sumif(Plan!B:B,"271-000800-000",Plan!af:af)</f>
        <v>0</v>
      </c>
      <c r="AG1301">
        <f>sumif(Plan!B:B,"271-000800-000",Plan!ag:ag)</f>
        <v>0</v>
      </c>
      <c r="AH1301">
        <f>sumif(Plan!B:B,"271-000800-000",Plan!ah:ah)</f>
        <v>0</v>
      </c>
      <c r="AI1301">
        <f>sumif(Plan!B:B,"271-000800-000",Plan!ai:ai)</f>
        <v>0</v>
      </c>
      <c r="AJ1301">
        <f>sumif(Plan!B:B,"271-000800-000",Plan!aj:aj)</f>
        <v>0</v>
      </c>
      <c r="AK1301">
        <f>sumif(Plan!B:B,"271-000800-000",Plan!ak:ak)</f>
        <v>0</v>
      </c>
      <c r="AL1301">
        <f>sumif(Plan!B:B,"271-000800-000",Plan!al:al)</f>
        <v>0</v>
      </c>
      <c r="AM1301">
        <f>sumif(Plan!B:B,"271-000800-000",Plan!am:am)</f>
        <v>0</v>
      </c>
      <c r="AN1301">
        <f>sumif(Plan!B:B,"271-000800-000",Plan!an:an)</f>
        <v>0</v>
      </c>
      <c r="AO1301">
        <f>sumif(Plan!B:B,"271-000800-000",Plan!ao:ao)</f>
        <v>0</v>
      </c>
    </row>
    <row r="1302" spans="1:41">
      <c r="A1302" t="s">
        <v>22</v>
      </c>
      <c r="B1302" t="s">
        <v>856</v>
      </c>
      <c r="C1302" t="s">
        <v>857</v>
      </c>
      <c r="E1302">
        <v>1</v>
      </c>
      <c r="F1302" t="s">
        <v>13</v>
      </c>
      <c r="H1302" t="s">
        <v>16</v>
      </c>
      <c r="J1302">
        <f>indirect(address(1302,9))+indirect(address(1300,10))-indirect(address(1301,10))</f>
        <v>0</v>
      </c>
      <c r="K1302">
        <f>indirect(address(1302,10))+indirect(address(1300,11))-indirect(address(1301,11))</f>
        <v>0</v>
      </c>
      <c r="L1302">
        <f>indirect(address(1302,11))+indirect(address(1300,12))-indirect(address(1301,12))</f>
        <v>0</v>
      </c>
      <c r="M1302">
        <f>indirect(address(1302,12))+indirect(address(1300,13))-indirect(address(1301,13))</f>
        <v>0</v>
      </c>
      <c r="N1302">
        <f>indirect(address(1302,13))+indirect(address(1300,14))-indirect(address(1301,14))</f>
        <v>0</v>
      </c>
      <c r="O1302">
        <f>indirect(address(1302,14))+indirect(address(1300,15))-indirect(address(1301,15))</f>
        <v>0</v>
      </c>
      <c r="P1302">
        <f>indirect(address(1302,15))+indirect(address(1300,16))-indirect(address(1301,16))</f>
        <v>0</v>
      </c>
      <c r="Q1302">
        <f>indirect(address(1302,16))+indirect(address(1300,17))-indirect(address(1301,17))</f>
        <v>0</v>
      </c>
      <c r="R1302">
        <f>indirect(address(1302,17))+indirect(address(1300,18))-indirect(address(1301,18))</f>
        <v>0</v>
      </c>
      <c r="S1302">
        <f>indirect(address(1302,18))+indirect(address(1300,19))-indirect(address(1301,19))</f>
        <v>0</v>
      </c>
      <c r="T1302">
        <f>indirect(address(1302,19))+indirect(address(1300,20))-indirect(address(1301,20))</f>
        <v>0</v>
      </c>
      <c r="U1302">
        <f>indirect(address(1302,20))+indirect(address(1300,21))-indirect(address(1301,21))</f>
        <v>0</v>
      </c>
      <c r="V1302">
        <f>indirect(address(1302,21))+indirect(address(1300,22))-indirect(address(1301,22))</f>
        <v>0</v>
      </c>
      <c r="W1302">
        <f>indirect(address(1302,22))+indirect(address(1300,23))-indirect(address(1301,23))</f>
        <v>0</v>
      </c>
      <c r="X1302">
        <f>indirect(address(1302,23))+indirect(address(1300,24))-indirect(address(1301,24))</f>
        <v>0</v>
      </c>
      <c r="Y1302">
        <f>indirect(address(1302,24))+indirect(address(1300,25))-indirect(address(1301,25))</f>
        <v>0</v>
      </c>
      <c r="Z1302">
        <f>indirect(address(1302,25))+indirect(address(1300,26))-indirect(address(1301,26))</f>
        <v>0</v>
      </c>
      <c r="AA1302">
        <f>indirect(address(1302,26))+indirect(address(1300,27))-indirect(address(1301,27))</f>
        <v>0</v>
      </c>
      <c r="AB1302">
        <f>indirect(address(1302,27))+indirect(address(1300,28))-indirect(address(1301,28))</f>
        <v>0</v>
      </c>
      <c r="AC1302">
        <f>indirect(address(1302,28))+indirect(address(1300,29))-indirect(address(1301,29))</f>
        <v>0</v>
      </c>
      <c r="AD1302">
        <f>indirect(address(1302,29))+indirect(address(1300,30))-indirect(address(1301,30))</f>
        <v>0</v>
      </c>
      <c r="AE1302">
        <f>indirect(address(1302,30))+indirect(address(1300,31))-indirect(address(1301,31))</f>
        <v>0</v>
      </c>
      <c r="AF1302">
        <f>indirect(address(1302,31))+indirect(address(1300,32))-indirect(address(1301,32))</f>
        <v>0</v>
      </c>
      <c r="AG1302">
        <f>indirect(address(1302,32))+indirect(address(1300,33))-indirect(address(1301,33))</f>
        <v>0</v>
      </c>
      <c r="AH1302">
        <f>indirect(address(1302,33))+indirect(address(1300,34))-indirect(address(1301,34))</f>
        <v>0</v>
      </c>
      <c r="AI1302">
        <f>indirect(address(1302,34))+indirect(address(1300,35))-indirect(address(1301,35))</f>
        <v>0</v>
      </c>
      <c r="AJ1302">
        <f>indirect(address(1302,35))+indirect(address(1300,36))-indirect(address(1301,36))</f>
        <v>0</v>
      </c>
      <c r="AK1302">
        <f>indirect(address(1302,36))+indirect(address(1300,37))-indirect(address(1301,37))</f>
        <v>0</v>
      </c>
      <c r="AL1302">
        <f>indirect(address(1302,37))+indirect(address(1300,38))-indirect(address(1301,38))</f>
        <v>0</v>
      </c>
      <c r="AM1302">
        <f>indirect(address(1302,38))+indirect(address(1300,39))-indirect(address(1301,39))</f>
        <v>0</v>
      </c>
      <c r="AN1302">
        <f>indirect(address(1302,39))+indirect(address(1300,40))-indirect(address(1301,40))</f>
        <v>0</v>
      </c>
      <c r="AO1302">
        <f>indirect(address(1302,40))+indirect(address(1300,41))-indirect(address(1301,41))</f>
        <v>0</v>
      </c>
    </row>
    <row r="1303" spans="1:41">
      <c r="I1303" t="s">
        <v>14</v>
      </c>
      <c r="AO1303">
        <f>sum(j1303:an1303)</f>
        <v>0</v>
      </c>
    </row>
    <row r="1304" spans="1:41">
      <c r="I1304" t="s">
        <v>15</v>
      </c>
      <c r="J1304">
        <f>sumif(Plan!B:B,"906-908000-110",Plan!j:j)</f>
        <v>0</v>
      </c>
      <c r="K1304">
        <f>sumif(Plan!B:B,"906-908000-110",Plan!k:k)</f>
        <v>0</v>
      </c>
      <c r="L1304">
        <f>sumif(Plan!B:B,"906-908000-110",Plan!l:l)</f>
        <v>0</v>
      </c>
      <c r="M1304">
        <f>sumif(Plan!B:B,"906-908000-110",Plan!m:m)</f>
        <v>0</v>
      </c>
      <c r="N1304">
        <f>sumif(Plan!B:B,"906-908000-110",Plan!n:n)</f>
        <v>0</v>
      </c>
      <c r="O1304">
        <f>sumif(Plan!B:B,"906-908000-110",Plan!o:o)</f>
        <v>0</v>
      </c>
      <c r="P1304">
        <f>sumif(Plan!B:B,"906-908000-110",Plan!p:p)</f>
        <v>0</v>
      </c>
      <c r="Q1304">
        <f>sumif(Plan!B:B,"906-908000-110",Plan!q:q)</f>
        <v>0</v>
      </c>
      <c r="R1304">
        <f>sumif(Plan!B:B,"906-908000-110",Plan!r:r)</f>
        <v>0</v>
      </c>
      <c r="S1304">
        <f>sumif(Plan!B:B,"906-908000-110",Plan!s:s)</f>
        <v>0</v>
      </c>
      <c r="T1304">
        <f>sumif(Plan!B:B,"906-908000-110",Plan!t:t)</f>
        <v>0</v>
      </c>
      <c r="U1304">
        <f>sumif(Plan!B:B,"906-908000-110",Plan!u:u)</f>
        <v>0</v>
      </c>
      <c r="V1304">
        <f>sumif(Plan!B:B,"906-908000-110",Plan!v:v)</f>
        <v>0</v>
      </c>
      <c r="W1304">
        <f>sumif(Plan!B:B,"906-908000-110",Plan!w:w)</f>
        <v>0</v>
      </c>
      <c r="X1304">
        <f>sumif(Plan!B:B,"906-908000-110",Plan!x:x)</f>
        <v>0</v>
      </c>
      <c r="Y1304">
        <f>sumif(Plan!B:B,"906-908000-110",Plan!y:y)</f>
        <v>0</v>
      </c>
      <c r="Z1304">
        <f>sumif(Plan!B:B,"906-908000-110",Plan!z:z)</f>
        <v>0</v>
      </c>
      <c r="AA1304">
        <f>sumif(Plan!B:B,"906-908000-110",Plan!aa:aa)</f>
        <v>0</v>
      </c>
      <c r="AB1304">
        <f>sumif(Plan!B:B,"906-908000-110",Plan!ab:ab)</f>
        <v>0</v>
      </c>
      <c r="AC1304">
        <f>sumif(Plan!B:B,"906-908000-110",Plan!ac:ac)</f>
        <v>0</v>
      </c>
      <c r="AD1304">
        <f>sumif(Plan!B:B,"906-908000-110",Plan!ad:ad)</f>
        <v>0</v>
      </c>
      <c r="AE1304">
        <f>sumif(Plan!B:B,"906-908000-110",Plan!ae:ae)</f>
        <v>0</v>
      </c>
      <c r="AF1304">
        <f>sumif(Plan!B:B,"906-908000-110",Plan!af:af)</f>
        <v>0</v>
      </c>
      <c r="AG1304">
        <f>sumif(Plan!B:B,"906-908000-110",Plan!ag:ag)</f>
        <v>0</v>
      </c>
      <c r="AH1304">
        <f>sumif(Plan!B:B,"906-908000-110",Plan!ah:ah)</f>
        <v>0</v>
      </c>
      <c r="AI1304">
        <f>sumif(Plan!B:B,"906-908000-110",Plan!ai:ai)</f>
        <v>0</v>
      </c>
      <c r="AJ1304">
        <f>sumif(Plan!B:B,"906-908000-110",Plan!aj:aj)</f>
        <v>0</v>
      </c>
      <c r="AK1304">
        <f>sumif(Plan!B:B,"906-908000-110",Plan!ak:ak)</f>
        <v>0</v>
      </c>
      <c r="AL1304">
        <f>sumif(Plan!B:B,"906-908000-110",Plan!al:al)</f>
        <v>0</v>
      </c>
      <c r="AM1304">
        <f>sumif(Plan!B:B,"906-908000-110",Plan!am:am)</f>
        <v>0</v>
      </c>
      <c r="AN1304">
        <f>sumif(Plan!B:B,"906-908000-110",Plan!an:an)</f>
        <v>0</v>
      </c>
      <c r="AO1304">
        <f>sumif(Plan!B:B,"906-908000-110",Plan!ao:ao)</f>
        <v>0</v>
      </c>
    </row>
    <row r="1305" spans="1:41">
      <c r="A1305" t="s">
        <v>17</v>
      </c>
      <c r="B1305" t="s">
        <v>859</v>
      </c>
      <c r="C1305" t="s">
        <v>860</v>
      </c>
      <c r="E1305">
        <v>1</v>
      </c>
      <c r="F1305" t="s">
        <v>13</v>
      </c>
      <c r="H1305" t="s">
        <v>16</v>
      </c>
      <c r="J1305">
        <f>indirect(address(1305,9))+indirect(address(1303,10))-indirect(address(1304,10))</f>
        <v>0</v>
      </c>
      <c r="K1305">
        <f>indirect(address(1305,10))+indirect(address(1303,11))-indirect(address(1304,11))</f>
        <v>0</v>
      </c>
      <c r="L1305">
        <f>indirect(address(1305,11))+indirect(address(1303,12))-indirect(address(1304,12))</f>
        <v>0</v>
      </c>
      <c r="M1305">
        <f>indirect(address(1305,12))+indirect(address(1303,13))-indirect(address(1304,13))</f>
        <v>0</v>
      </c>
      <c r="N1305">
        <f>indirect(address(1305,13))+indirect(address(1303,14))-indirect(address(1304,14))</f>
        <v>0</v>
      </c>
      <c r="O1305">
        <f>indirect(address(1305,14))+indirect(address(1303,15))-indirect(address(1304,15))</f>
        <v>0</v>
      </c>
      <c r="P1305">
        <f>indirect(address(1305,15))+indirect(address(1303,16))-indirect(address(1304,16))</f>
        <v>0</v>
      </c>
      <c r="Q1305">
        <f>indirect(address(1305,16))+indirect(address(1303,17))-indirect(address(1304,17))</f>
        <v>0</v>
      </c>
      <c r="R1305">
        <f>indirect(address(1305,17))+indirect(address(1303,18))-indirect(address(1304,18))</f>
        <v>0</v>
      </c>
      <c r="S1305">
        <f>indirect(address(1305,18))+indirect(address(1303,19))-indirect(address(1304,19))</f>
        <v>0</v>
      </c>
      <c r="T1305">
        <f>indirect(address(1305,19))+indirect(address(1303,20))-indirect(address(1304,20))</f>
        <v>0</v>
      </c>
      <c r="U1305">
        <f>indirect(address(1305,20))+indirect(address(1303,21))-indirect(address(1304,21))</f>
        <v>0</v>
      </c>
      <c r="V1305">
        <f>indirect(address(1305,21))+indirect(address(1303,22))-indirect(address(1304,22))</f>
        <v>0</v>
      </c>
      <c r="W1305">
        <f>indirect(address(1305,22))+indirect(address(1303,23))-indirect(address(1304,23))</f>
        <v>0</v>
      </c>
      <c r="X1305">
        <f>indirect(address(1305,23))+indirect(address(1303,24))-indirect(address(1304,24))</f>
        <v>0</v>
      </c>
      <c r="Y1305">
        <f>indirect(address(1305,24))+indirect(address(1303,25))-indirect(address(1304,25))</f>
        <v>0</v>
      </c>
      <c r="Z1305">
        <f>indirect(address(1305,25))+indirect(address(1303,26))-indirect(address(1304,26))</f>
        <v>0</v>
      </c>
      <c r="AA1305">
        <f>indirect(address(1305,26))+indirect(address(1303,27))-indirect(address(1304,27))</f>
        <v>0</v>
      </c>
      <c r="AB1305">
        <f>indirect(address(1305,27))+indirect(address(1303,28))-indirect(address(1304,28))</f>
        <v>0</v>
      </c>
      <c r="AC1305">
        <f>indirect(address(1305,28))+indirect(address(1303,29))-indirect(address(1304,29))</f>
        <v>0</v>
      </c>
      <c r="AD1305">
        <f>indirect(address(1305,29))+indirect(address(1303,30))-indirect(address(1304,30))</f>
        <v>0</v>
      </c>
      <c r="AE1305">
        <f>indirect(address(1305,30))+indirect(address(1303,31))-indirect(address(1304,31))</f>
        <v>0</v>
      </c>
      <c r="AF1305">
        <f>indirect(address(1305,31))+indirect(address(1303,32))-indirect(address(1304,32))</f>
        <v>0</v>
      </c>
      <c r="AG1305">
        <f>indirect(address(1305,32))+indirect(address(1303,33))-indirect(address(1304,33))</f>
        <v>0</v>
      </c>
      <c r="AH1305">
        <f>indirect(address(1305,33))+indirect(address(1303,34))-indirect(address(1304,34))</f>
        <v>0</v>
      </c>
      <c r="AI1305">
        <f>indirect(address(1305,34))+indirect(address(1303,35))-indirect(address(1304,35))</f>
        <v>0</v>
      </c>
      <c r="AJ1305">
        <f>indirect(address(1305,35))+indirect(address(1303,36))-indirect(address(1304,36))</f>
        <v>0</v>
      </c>
      <c r="AK1305">
        <f>indirect(address(1305,36))+indirect(address(1303,37))-indirect(address(1304,37))</f>
        <v>0</v>
      </c>
      <c r="AL1305">
        <f>indirect(address(1305,37))+indirect(address(1303,38))-indirect(address(1304,38))</f>
        <v>0</v>
      </c>
      <c r="AM1305">
        <f>indirect(address(1305,38))+indirect(address(1303,39))-indirect(address(1304,39))</f>
        <v>0</v>
      </c>
      <c r="AN1305">
        <f>indirect(address(1305,39))+indirect(address(1303,40))-indirect(address(1304,40))</f>
        <v>0</v>
      </c>
      <c r="AO1305">
        <f>indirect(address(1305,40))+indirect(address(1303,41))-indirect(address(1304,41))</f>
        <v>0</v>
      </c>
    </row>
    <row r="1306" spans="1:41">
      <c r="I1306" t="s">
        <v>14</v>
      </c>
      <c r="AO1306">
        <f>sum(j1306:an1306)</f>
        <v>0</v>
      </c>
    </row>
    <row r="1307" spans="1:41">
      <c r="I1307" t="s">
        <v>15</v>
      </c>
      <c r="J1307">
        <f>sumif(Plan!B:B,"241-007400-000",Plan!j:j)</f>
        <v>0</v>
      </c>
      <c r="K1307">
        <f>sumif(Plan!B:B,"241-007400-000",Plan!k:k)</f>
        <v>0</v>
      </c>
      <c r="L1307">
        <f>sumif(Plan!B:B,"241-007400-000",Plan!l:l)</f>
        <v>0</v>
      </c>
      <c r="M1307">
        <f>sumif(Plan!B:B,"241-007400-000",Plan!m:m)</f>
        <v>0</v>
      </c>
      <c r="N1307">
        <f>sumif(Plan!B:B,"241-007400-000",Plan!n:n)</f>
        <v>0</v>
      </c>
      <c r="O1307">
        <f>sumif(Plan!B:B,"241-007400-000",Plan!o:o)</f>
        <v>0</v>
      </c>
      <c r="P1307">
        <f>sumif(Plan!B:B,"241-007400-000",Plan!p:p)</f>
        <v>0</v>
      </c>
      <c r="Q1307">
        <f>sumif(Plan!B:B,"241-007400-000",Plan!q:q)</f>
        <v>0</v>
      </c>
      <c r="R1307">
        <f>sumif(Plan!B:B,"241-007400-000",Plan!r:r)</f>
        <v>0</v>
      </c>
      <c r="S1307">
        <f>sumif(Plan!B:B,"241-007400-000",Plan!s:s)</f>
        <v>0</v>
      </c>
      <c r="T1307">
        <f>sumif(Plan!B:B,"241-007400-000",Plan!t:t)</f>
        <v>0</v>
      </c>
      <c r="U1307">
        <f>sumif(Plan!B:B,"241-007400-000",Plan!u:u)</f>
        <v>0</v>
      </c>
      <c r="V1307">
        <f>sumif(Plan!B:B,"241-007400-000",Plan!v:v)</f>
        <v>0</v>
      </c>
      <c r="W1307">
        <f>sumif(Plan!B:B,"241-007400-000",Plan!w:w)</f>
        <v>0</v>
      </c>
      <c r="X1307">
        <f>sumif(Plan!B:B,"241-007400-000",Plan!x:x)</f>
        <v>0</v>
      </c>
      <c r="Y1307">
        <f>sumif(Plan!B:B,"241-007400-000",Plan!y:y)</f>
        <v>0</v>
      </c>
      <c r="Z1307">
        <f>sumif(Plan!B:B,"241-007400-000",Plan!z:z)</f>
        <v>0</v>
      </c>
      <c r="AA1307">
        <f>sumif(Plan!B:B,"241-007400-000",Plan!aa:aa)</f>
        <v>0</v>
      </c>
      <c r="AB1307">
        <f>sumif(Plan!B:B,"241-007400-000",Plan!ab:ab)</f>
        <v>0</v>
      </c>
      <c r="AC1307">
        <f>sumif(Plan!B:B,"241-007400-000",Plan!ac:ac)</f>
        <v>0</v>
      </c>
      <c r="AD1307">
        <f>sumif(Plan!B:B,"241-007400-000",Plan!ad:ad)</f>
        <v>0</v>
      </c>
      <c r="AE1307">
        <f>sumif(Plan!B:B,"241-007400-000",Plan!ae:ae)</f>
        <v>0</v>
      </c>
      <c r="AF1307">
        <f>sumif(Plan!B:B,"241-007400-000",Plan!af:af)</f>
        <v>0</v>
      </c>
      <c r="AG1307">
        <f>sumif(Plan!B:B,"241-007400-000",Plan!ag:ag)</f>
        <v>0</v>
      </c>
      <c r="AH1307">
        <f>sumif(Plan!B:B,"241-007400-000",Plan!ah:ah)</f>
        <v>0</v>
      </c>
      <c r="AI1307">
        <f>sumif(Plan!B:B,"241-007400-000",Plan!ai:ai)</f>
        <v>0</v>
      </c>
      <c r="AJ1307">
        <f>sumif(Plan!B:B,"241-007400-000",Plan!aj:aj)</f>
        <v>0</v>
      </c>
      <c r="AK1307">
        <f>sumif(Plan!B:B,"241-007400-000",Plan!ak:ak)</f>
        <v>0</v>
      </c>
      <c r="AL1307">
        <f>sumif(Plan!B:B,"241-007400-000",Plan!al:al)</f>
        <v>0</v>
      </c>
      <c r="AM1307">
        <f>sumif(Plan!B:B,"241-007400-000",Plan!am:am)</f>
        <v>0</v>
      </c>
      <c r="AN1307">
        <f>sumif(Plan!B:B,"241-007400-000",Plan!an:an)</f>
        <v>0</v>
      </c>
      <c r="AO1307">
        <f>sumif(Plan!B:B,"241-007400-000",Plan!ao:ao)</f>
        <v>0</v>
      </c>
    </row>
    <row r="1308" spans="1:41">
      <c r="A1308" t="s">
        <v>22</v>
      </c>
      <c r="B1308" t="s">
        <v>821</v>
      </c>
      <c r="C1308" t="s">
        <v>824</v>
      </c>
      <c r="E1308">
        <v>1</v>
      </c>
      <c r="F1308" t="s">
        <v>13</v>
      </c>
      <c r="H1308" t="s">
        <v>16</v>
      </c>
      <c r="J1308">
        <f>indirect(address(1308,9))+indirect(address(1306,10))-indirect(address(1307,10))</f>
        <v>0</v>
      </c>
      <c r="K1308">
        <f>indirect(address(1308,10))+indirect(address(1306,11))-indirect(address(1307,11))</f>
        <v>0</v>
      </c>
      <c r="L1308">
        <f>indirect(address(1308,11))+indirect(address(1306,12))-indirect(address(1307,12))</f>
        <v>0</v>
      </c>
      <c r="M1308">
        <f>indirect(address(1308,12))+indirect(address(1306,13))-indirect(address(1307,13))</f>
        <v>0</v>
      </c>
      <c r="N1308">
        <f>indirect(address(1308,13))+indirect(address(1306,14))-indirect(address(1307,14))</f>
        <v>0</v>
      </c>
      <c r="O1308">
        <f>indirect(address(1308,14))+indirect(address(1306,15))-indirect(address(1307,15))</f>
        <v>0</v>
      </c>
      <c r="P1308">
        <f>indirect(address(1308,15))+indirect(address(1306,16))-indirect(address(1307,16))</f>
        <v>0</v>
      </c>
      <c r="Q1308">
        <f>indirect(address(1308,16))+indirect(address(1306,17))-indirect(address(1307,17))</f>
        <v>0</v>
      </c>
      <c r="R1308">
        <f>indirect(address(1308,17))+indirect(address(1306,18))-indirect(address(1307,18))</f>
        <v>0</v>
      </c>
      <c r="S1308">
        <f>indirect(address(1308,18))+indirect(address(1306,19))-indirect(address(1307,19))</f>
        <v>0</v>
      </c>
      <c r="T1308">
        <f>indirect(address(1308,19))+indirect(address(1306,20))-indirect(address(1307,20))</f>
        <v>0</v>
      </c>
      <c r="U1308">
        <f>indirect(address(1308,20))+indirect(address(1306,21))-indirect(address(1307,21))</f>
        <v>0</v>
      </c>
      <c r="V1308">
        <f>indirect(address(1308,21))+indirect(address(1306,22))-indirect(address(1307,22))</f>
        <v>0</v>
      </c>
      <c r="W1308">
        <f>indirect(address(1308,22))+indirect(address(1306,23))-indirect(address(1307,23))</f>
        <v>0</v>
      </c>
      <c r="X1308">
        <f>indirect(address(1308,23))+indirect(address(1306,24))-indirect(address(1307,24))</f>
        <v>0</v>
      </c>
      <c r="Y1308">
        <f>indirect(address(1308,24))+indirect(address(1306,25))-indirect(address(1307,25))</f>
        <v>0</v>
      </c>
      <c r="Z1308">
        <f>indirect(address(1308,25))+indirect(address(1306,26))-indirect(address(1307,26))</f>
        <v>0</v>
      </c>
      <c r="AA1308">
        <f>indirect(address(1308,26))+indirect(address(1306,27))-indirect(address(1307,27))</f>
        <v>0</v>
      </c>
      <c r="AB1308">
        <f>indirect(address(1308,27))+indirect(address(1306,28))-indirect(address(1307,28))</f>
        <v>0</v>
      </c>
      <c r="AC1308">
        <f>indirect(address(1308,28))+indirect(address(1306,29))-indirect(address(1307,29))</f>
        <v>0</v>
      </c>
      <c r="AD1308">
        <f>indirect(address(1308,29))+indirect(address(1306,30))-indirect(address(1307,30))</f>
        <v>0</v>
      </c>
      <c r="AE1308">
        <f>indirect(address(1308,30))+indirect(address(1306,31))-indirect(address(1307,31))</f>
        <v>0</v>
      </c>
      <c r="AF1308">
        <f>indirect(address(1308,31))+indirect(address(1306,32))-indirect(address(1307,32))</f>
        <v>0</v>
      </c>
      <c r="AG1308">
        <f>indirect(address(1308,32))+indirect(address(1306,33))-indirect(address(1307,33))</f>
        <v>0</v>
      </c>
      <c r="AH1308">
        <f>indirect(address(1308,33))+indirect(address(1306,34))-indirect(address(1307,34))</f>
        <v>0</v>
      </c>
      <c r="AI1308">
        <f>indirect(address(1308,34))+indirect(address(1306,35))-indirect(address(1307,35))</f>
        <v>0</v>
      </c>
      <c r="AJ1308">
        <f>indirect(address(1308,35))+indirect(address(1306,36))-indirect(address(1307,36))</f>
        <v>0</v>
      </c>
      <c r="AK1308">
        <f>indirect(address(1308,36))+indirect(address(1306,37))-indirect(address(1307,37))</f>
        <v>0</v>
      </c>
      <c r="AL1308">
        <f>indirect(address(1308,37))+indirect(address(1306,38))-indirect(address(1307,38))</f>
        <v>0</v>
      </c>
      <c r="AM1308">
        <f>indirect(address(1308,38))+indirect(address(1306,39))-indirect(address(1307,39))</f>
        <v>0</v>
      </c>
      <c r="AN1308">
        <f>indirect(address(1308,39))+indirect(address(1306,40))-indirect(address(1307,40))</f>
        <v>0</v>
      </c>
      <c r="AO1308">
        <f>indirect(address(1308,40))+indirect(address(1306,41))-indirect(address(1307,41))</f>
        <v>0</v>
      </c>
    </row>
    <row r="1309" spans="1:41">
      <c r="I1309" t="s">
        <v>14</v>
      </c>
      <c r="AO1309">
        <f>sum(j1309:an1309)</f>
        <v>0</v>
      </c>
    </row>
    <row r="1310" spans="1:41">
      <c r="I1310" t="s">
        <v>15</v>
      </c>
      <c r="J1310">
        <f>sumif(Plan!B:B,"623-000000-002",Plan!j:j)</f>
        <v>0</v>
      </c>
      <c r="K1310">
        <f>sumif(Plan!B:B,"623-000000-002",Plan!k:k)</f>
        <v>0</v>
      </c>
      <c r="L1310">
        <f>sumif(Plan!B:B,"623-000000-002",Plan!l:l)</f>
        <v>0</v>
      </c>
      <c r="M1310">
        <f>sumif(Plan!B:B,"623-000000-002",Plan!m:m)</f>
        <v>0</v>
      </c>
      <c r="N1310">
        <f>sumif(Plan!B:B,"623-000000-002",Plan!n:n)</f>
        <v>0</v>
      </c>
      <c r="O1310">
        <f>sumif(Plan!B:B,"623-000000-002",Plan!o:o)</f>
        <v>0</v>
      </c>
      <c r="P1310">
        <f>sumif(Plan!B:B,"623-000000-002",Plan!p:p)</f>
        <v>0</v>
      </c>
      <c r="Q1310">
        <f>sumif(Plan!B:B,"623-000000-002",Plan!q:q)</f>
        <v>0</v>
      </c>
      <c r="R1310">
        <f>sumif(Plan!B:B,"623-000000-002",Plan!r:r)</f>
        <v>0</v>
      </c>
      <c r="S1310">
        <f>sumif(Plan!B:B,"623-000000-002",Plan!s:s)</f>
        <v>0</v>
      </c>
      <c r="T1310">
        <f>sumif(Plan!B:B,"623-000000-002",Plan!t:t)</f>
        <v>0</v>
      </c>
      <c r="U1310">
        <f>sumif(Plan!B:B,"623-000000-002",Plan!u:u)</f>
        <v>0</v>
      </c>
      <c r="V1310">
        <f>sumif(Plan!B:B,"623-000000-002",Plan!v:v)</f>
        <v>0</v>
      </c>
      <c r="W1310">
        <f>sumif(Plan!B:B,"623-000000-002",Plan!w:w)</f>
        <v>0</v>
      </c>
      <c r="X1310">
        <f>sumif(Plan!B:B,"623-000000-002",Plan!x:x)</f>
        <v>0</v>
      </c>
      <c r="Y1310">
        <f>sumif(Plan!B:B,"623-000000-002",Plan!y:y)</f>
        <v>0</v>
      </c>
      <c r="Z1310">
        <f>sumif(Plan!B:B,"623-000000-002",Plan!z:z)</f>
        <v>0</v>
      </c>
      <c r="AA1310">
        <f>sumif(Plan!B:B,"623-000000-002",Plan!aa:aa)</f>
        <v>0</v>
      </c>
      <c r="AB1310">
        <f>sumif(Plan!B:B,"623-000000-002",Plan!ab:ab)</f>
        <v>0</v>
      </c>
      <c r="AC1310">
        <f>sumif(Plan!B:B,"623-000000-002",Plan!ac:ac)</f>
        <v>0</v>
      </c>
      <c r="AD1310">
        <f>sumif(Plan!B:B,"623-000000-002",Plan!ad:ad)</f>
        <v>0</v>
      </c>
      <c r="AE1310">
        <f>sumif(Plan!B:B,"623-000000-002",Plan!ae:ae)</f>
        <v>0</v>
      </c>
      <c r="AF1310">
        <f>sumif(Plan!B:B,"623-000000-002",Plan!af:af)</f>
        <v>0</v>
      </c>
      <c r="AG1310">
        <f>sumif(Plan!B:B,"623-000000-002",Plan!ag:ag)</f>
        <v>0</v>
      </c>
      <c r="AH1310">
        <f>sumif(Plan!B:B,"623-000000-002",Plan!ah:ah)</f>
        <v>0</v>
      </c>
      <c r="AI1310">
        <f>sumif(Plan!B:B,"623-000000-002",Plan!ai:ai)</f>
        <v>0</v>
      </c>
      <c r="AJ1310">
        <f>sumif(Plan!B:B,"623-000000-002",Plan!aj:aj)</f>
        <v>0</v>
      </c>
      <c r="AK1310">
        <f>sumif(Plan!B:B,"623-000000-002",Plan!ak:ak)</f>
        <v>0</v>
      </c>
      <c r="AL1310">
        <f>sumif(Plan!B:B,"623-000000-002",Plan!al:al)</f>
        <v>0</v>
      </c>
      <c r="AM1310">
        <f>sumif(Plan!B:B,"623-000000-002",Plan!am:am)</f>
        <v>0</v>
      </c>
      <c r="AN1310">
        <f>sumif(Plan!B:B,"623-000000-002",Plan!an:an)</f>
        <v>0</v>
      </c>
      <c r="AO1310">
        <f>sumif(Plan!B:B,"623-000000-002",Plan!ao:ao)</f>
        <v>0</v>
      </c>
    </row>
    <row r="1311" spans="1:41">
      <c r="A1311" t="s">
        <v>22</v>
      </c>
      <c r="B1311" t="s">
        <v>861</v>
      </c>
      <c r="C1311" t="s">
        <v>862</v>
      </c>
      <c r="E1311">
        <v>1</v>
      </c>
      <c r="F1311" t="s">
        <v>13</v>
      </c>
      <c r="H1311" t="s">
        <v>16</v>
      </c>
      <c r="J1311">
        <f>indirect(address(1311,9))+indirect(address(1309,10))-indirect(address(1310,10))</f>
        <v>0</v>
      </c>
      <c r="K1311">
        <f>indirect(address(1311,10))+indirect(address(1309,11))-indirect(address(1310,11))</f>
        <v>0</v>
      </c>
      <c r="L1311">
        <f>indirect(address(1311,11))+indirect(address(1309,12))-indirect(address(1310,12))</f>
        <v>0</v>
      </c>
      <c r="M1311">
        <f>indirect(address(1311,12))+indirect(address(1309,13))-indirect(address(1310,13))</f>
        <v>0</v>
      </c>
      <c r="N1311">
        <f>indirect(address(1311,13))+indirect(address(1309,14))-indirect(address(1310,14))</f>
        <v>0</v>
      </c>
      <c r="O1311">
        <f>indirect(address(1311,14))+indirect(address(1309,15))-indirect(address(1310,15))</f>
        <v>0</v>
      </c>
      <c r="P1311">
        <f>indirect(address(1311,15))+indirect(address(1309,16))-indirect(address(1310,16))</f>
        <v>0</v>
      </c>
      <c r="Q1311">
        <f>indirect(address(1311,16))+indirect(address(1309,17))-indirect(address(1310,17))</f>
        <v>0</v>
      </c>
      <c r="R1311">
        <f>indirect(address(1311,17))+indirect(address(1309,18))-indirect(address(1310,18))</f>
        <v>0</v>
      </c>
      <c r="S1311">
        <f>indirect(address(1311,18))+indirect(address(1309,19))-indirect(address(1310,19))</f>
        <v>0</v>
      </c>
      <c r="T1311">
        <f>indirect(address(1311,19))+indirect(address(1309,20))-indirect(address(1310,20))</f>
        <v>0</v>
      </c>
      <c r="U1311">
        <f>indirect(address(1311,20))+indirect(address(1309,21))-indirect(address(1310,21))</f>
        <v>0</v>
      </c>
      <c r="V1311">
        <f>indirect(address(1311,21))+indirect(address(1309,22))-indirect(address(1310,22))</f>
        <v>0</v>
      </c>
      <c r="W1311">
        <f>indirect(address(1311,22))+indirect(address(1309,23))-indirect(address(1310,23))</f>
        <v>0</v>
      </c>
      <c r="X1311">
        <f>indirect(address(1311,23))+indirect(address(1309,24))-indirect(address(1310,24))</f>
        <v>0</v>
      </c>
      <c r="Y1311">
        <f>indirect(address(1311,24))+indirect(address(1309,25))-indirect(address(1310,25))</f>
        <v>0</v>
      </c>
      <c r="Z1311">
        <f>indirect(address(1311,25))+indirect(address(1309,26))-indirect(address(1310,26))</f>
        <v>0</v>
      </c>
      <c r="AA1311">
        <f>indirect(address(1311,26))+indirect(address(1309,27))-indirect(address(1310,27))</f>
        <v>0</v>
      </c>
      <c r="AB1311">
        <f>indirect(address(1311,27))+indirect(address(1309,28))-indirect(address(1310,28))</f>
        <v>0</v>
      </c>
      <c r="AC1311">
        <f>indirect(address(1311,28))+indirect(address(1309,29))-indirect(address(1310,29))</f>
        <v>0</v>
      </c>
      <c r="AD1311">
        <f>indirect(address(1311,29))+indirect(address(1309,30))-indirect(address(1310,30))</f>
        <v>0</v>
      </c>
      <c r="AE1311">
        <f>indirect(address(1311,30))+indirect(address(1309,31))-indirect(address(1310,31))</f>
        <v>0</v>
      </c>
      <c r="AF1311">
        <f>indirect(address(1311,31))+indirect(address(1309,32))-indirect(address(1310,32))</f>
        <v>0</v>
      </c>
      <c r="AG1311">
        <f>indirect(address(1311,32))+indirect(address(1309,33))-indirect(address(1310,33))</f>
        <v>0</v>
      </c>
      <c r="AH1311">
        <f>indirect(address(1311,33))+indirect(address(1309,34))-indirect(address(1310,34))</f>
        <v>0</v>
      </c>
      <c r="AI1311">
        <f>indirect(address(1311,34))+indirect(address(1309,35))-indirect(address(1310,35))</f>
        <v>0</v>
      </c>
      <c r="AJ1311">
        <f>indirect(address(1311,35))+indirect(address(1309,36))-indirect(address(1310,36))</f>
        <v>0</v>
      </c>
      <c r="AK1311">
        <f>indirect(address(1311,36))+indirect(address(1309,37))-indirect(address(1310,37))</f>
        <v>0</v>
      </c>
      <c r="AL1311">
        <f>indirect(address(1311,37))+indirect(address(1309,38))-indirect(address(1310,38))</f>
        <v>0</v>
      </c>
      <c r="AM1311">
        <f>indirect(address(1311,38))+indirect(address(1309,39))-indirect(address(1310,39))</f>
        <v>0</v>
      </c>
      <c r="AN1311">
        <f>indirect(address(1311,39))+indirect(address(1309,40))-indirect(address(1310,40))</f>
        <v>0</v>
      </c>
      <c r="AO1311">
        <f>indirect(address(1311,40))+indirect(address(1309,41))-indirect(address(1310,41))</f>
        <v>0</v>
      </c>
    </row>
    <row r="1312" spans="1:41">
      <c r="I1312" t="s">
        <v>14</v>
      </c>
      <c r="AO1312">
        <f>sum(j1312:an1312)</f>
        <v>0</v>
      </c>
    </row>
    <row r="1313" spans="1:41">
      <c r="I1313" t="s">
        <v>15</v>
      </c>
      <c r="J1313">
        <f>sumif(Plan!B:B,"906-417348-110",Plan!j:j)</f>
        <v>0</v>
      </c>
      <c r="K1313">
        <f>sumif(Plan!B:B,"906-417348-110",Plan!k:k)</f>
        <v>0</v>
      </c>
      <c r="L1313">
        <f>sumif(Plan!B:B,"906-417348-110",Plan!l:l)</f>
        <v>0</v>
      </c>
      <c r="M1313">
        <f>sumif(Plan!B:B,"906-417348-110",Plan!m:m)</f>
        <v>0</v>
      </c>
      <c r="N1313">
        <f>sumif(Plan!B:B,"906-417348-110",Plan!n:n)</f>
        <v>0</v>
      </c>
      <c r="O1313">
        <f>sumif(Plan!B:B,"906-417348-110",Plan!o:o)</f>
        <v>0</v>
      </c>
      <c r="P1313">
        <f>sumif(Plan!B:B,"906-417348-110",Plan!p:p)</f>
        <v>0</v>
      </c>
      <c r="Q1313">
        <f>sumif(Plan!B:B,"906-417348-110",Plan!q:q)</f>
        <v>0</v>
      </c>
      <c r="R1313">
        <f>sumif(Plan!B:B,"906-417348-110",Plan!r:r)</f>
        <v>0</v>
      </c>
      <c r="S1313">
        <f>sumif(Plan!B:B,"906-417348-110",Plan!s:s)</f>
        <v>0</v>
      </c>
      <c r="T1313">
        <f>sumif(Plan!B:B,"906-417348-110",Plan!t:t)</f>
        <v>0</v>
      </c>
      <c r="U1313">
        <f>sumif(Plan!B:B,"906-417348-110",Plan!u:u)</f>
        <v>0</v>
      </c>
      <c r="V1313">
        <f>sumif(Plan!B:B,"906-417348-110",Plan!v:v)</f>
        <v>0</v>
      </c>
      <c r="W1313">
        <f>sumif(Plan!B:B,"906-417348-110",Plan!w:w)</f>
        <v>0</v>
      </c>
      <c r="X1313">
        <f>sumif(Plan!B:B,"906-417348-110",Plan!x:x)</f>
        <v>0</v>
      </c>
      <c r="Y1313">
        <f>sumif(Plan!B:B,"906-417348-110",Plan!y:y)</f>
        <v>0</v>
      </c>
      <c r="Z1313">
        <f>sumif(Plan!B:B,"906-417348-110",Plan!z:z)</f>
        <v>0</v>
      </c>
      <c r="AA1313">
        <f>sumif(Plan!B:B,"906-417348-110",Plan!aa:aa)</f>
        <v>0</v>
      </c>
      <c r="AB1313">
        <f>sumif(Plan!B:B,"906-417348-110",Plan!ab:ab)</f>
        <v>0</v>
      </c>
      <c r="AC1313">
        <f>sumif(Plan!B:B,"906-417348-110",Plan!ac:ac)</f>
        <v>0</v>
      </c>
      <c r="AD1313">
        <f>sumif(Plan!B:B,"906-417348-110",Plan!ad:ad)</f>
        <v>0</v>
      </c>
      <c r="AE1313">
        <f>sumif(Plan!B:B,"906-417348-110",Plan!ae:ae)</f>
        <v>0</v>
      </c>
      <c r="AF1313">
        <f>sumif(Plan!B:B,"906-417348-110",Plan!af:af)</f>
        <v>0</v>
      </c>
      <c r="AG1313">
        <f>sumif(Plan!B:B,"906-417348-110",Plan!ag:ag)</f>
        <v>0</v>
      </c>
      <c r="AH1313">
        <f>sumif(Plan!B:B,"906-417348-110",Plan!ah:ah)</f>
        <v>0</v>
      </c>
      <c r="AI1313">
        <f>sumif(Plan!B:B,"906-417348-110",Plan!ai:ai)</f>
        <v>0</v>
      </c>
      <c r="AJ1313">
        <f>sumif(Plan!B:B,"906-417348-110",Plan!aj:aj)</f>
        <v>0</v>
      </c>
      <c r="AK1313">
        <f>sumif(Plan!B:B,"906-417348-110",Plan!ak:ak)</f>
        <v>0</v>
      </c>
      <c r="AL1313">
        <f>sumif(Plan!B:B,"906-417348-110",Plan!al:al)</f>
        <v>0</v>
      </c>
      <c r="AM1313">
        <f>sumif(Plan!B:B,"906-417348-110",Plan!am:am)</f>
        <v>0</v>
      </c>
      <c r="AN1313">
        <f>sumif(Plan!B:B,"906-417348-110",Plan!an:an)</f>
        <v>0</v>
      </c>
      <c r="AO1313">
        <f>sumif(Plan!B:B,"906-417348-110",Plan!ao:ao)</f>
        <v>0</v>
      </c>
    </row>
    <row r="1314" spans="1:41">
      <c r="A1314" t="s">
        <v>17</v>
      </c>
      <c r="B1314" t="s">
        <v>864</v>
      </c>
      <c r="C1314" t="s">
        <v>865</v>
      </c>
      <c r="E1314">
        <v>1</v>
      </c>
      <c r="F1314" t="s">
        <v>13</v>
      </c>
      <c r="H1314" t="s">
        <v>16</v>
      </c>
      <c r="J1314">
        <f>indirect(address(1314,9))+indirect(address(1312,10))-indirect(address(1313,10))</f>
        <v>0</v>
      </c>
      <c r="K1314">
        <f>indirect(address(1314,10))+indirect(address(1312,11))-indirect(address(1313,11))</f>
        <v>0</v>
      </c>
      <c r="L1314">
        <f>indirect(address(1314,11))+indirect(address(1312,12))-indirect(address(1313,12))</f>
        <v>0</v>
      </c>
      <c r="M1314">
        <f>indirect(address(1314,12))+indirect(address(1312,13))-indirect(address(1313,13))</f>
        <v>0</v>
      </c>
      <c r="N1314">
        <f>indirect(address(1314,13))+indirect(address(1312,14))-indirect(address(1313,14))</f>
        <v>0</v>
      </c>
      <c r="O1314">
        <f>indirect(address(1314,14))+indirect(address(1312,15))-indirect(address(1313,15))</f>
        <v>0</v>
      </c>
      <c r="P1314">
        <f>indirect(address(1314,15))+indirect(address(1312,16))-indirect(address(1313,16))</f>
        <v>0</v>
      </c>
      <c r="Q1314">
        <f>indirect(address(1314,16))+indirect(address(1312,17))-indirect(address(1313,17))</f>
        <v>0</v>
      </c>
      <c r="R1314">
        <f>indirect(address(1314,17))+indirect(address(1312,18))-indirect(address(1313,18))</f>
        <v>0</v>
      </c>
      <c r="S1314">
        <f>indirect(address(1314,18))+indirect(address(1312,19))-indirect(address(1313,19))</f>
        <v>0</v>
      </c>
      <c r="T1314">
        <f>indirect(address(1314,19))+indirect(address(1312,20))-indirect(address(1313,20))</f>
        <v>0</v>
      </c>
      <c r="U1314">
        <f>indirect(address(1314,20))+indirect(address(1312,21))-indirect(address(1313,21))</f>
        <v>0</v>
      </c>
      <c r="V1314">
        <f>indirect(address(1314,21))+indirect(address(1312,22))-indirect(address(1313,22))</f>
        <v>0</v>
      </c>
      <c r="W1314">
        <f>indirect(address(1314,22))+indirect(address(1312,23))-indirect(address(1313,23))</f>
        <v>0</v>
      </c>
      <c r="X1314">
        <f>indirect(address(1314,23))+indirect(address(1312,24))-indirect(address(1313,24))</f>
        <v>0</v>
      </c>
      <c r="Y1314">
        <f>indirect(address(1314,24))+indirect(address(1312,25))-indirect(address(1313,25))</f>
        <v>0</v>
      </c>
      <c r="Z1314">
        <f>indirect(address(1314,25))+indirect(address(1312,26))-indirect(address(1313,26))</f>
        <v>0</v>
      </c>
      <c r="AA1314">
        <f>indirect(address(1314,26))+indirect(address(1312,27))-indirect(address(1313,27))</f>
        <v>0</v>
      </c>
      <c r="AB1314">
        <f>indirect(address(1314,27))+indirect(address(1312,28))-indirect(address(1313,28))</f>
        <v>0</v>
      </c>
      <c r="AC1314">
        <f>indirect(address(1314,28))+indirect(address(1312,29))-indirect(address(1313,29))</f>
        <v>0</v>
      </c>
      <c r="AD1314">
        <f>indirect(address(1314,29))+indirect(address(1312,30))-indirect(address(1313,30))</f>
        <v>0</v>
      </c>
      <c r="AE1314">
        <f>indirect(address(1314,30))+indirect(address(1312,31))-indirect(address(1313,31))</f>
        <v>0</v>
      </c>
      <c r="AF1314">
        <f>indirect(address(1314,31))+indirect(address(1312,32))-indirect(address(1313,32))</f>
        <v>0</v>
      </c>
      <c r="AG1314">
        <f>indirect(address(1314,32))+indirect(address(1312,33))-indirect(address(1313,33))</f>
        <v>0</v>
      </c>
      <c r="AH1314">
        <f>indirect(address(1314,33))+indirect(address(1312,34))-indirect(address(1313,34))</f>
        <v>0</v>
      </c>
      <c r="AI1314">
        <f>indirect(address(1314,34))+indirect(address(1312,35))-indirect(address(1313,35))</f>
        <v>0</v>
      </c>
      <c r="AJ1314">
        <f>indirect(address(1314,35))+indirect(address(1312,36))-indirect(address(1313,36))</f>
        <v>0</v>
      </c>
      <c r="AK1314">
        <f>indirect(address(1314,36))+indirect(address(1312,37))-indirect(address(1313,37))</f>
        <v>0</v>
      </c>
      <c r="AL1314">
        <f>indirect(address(1314,37))+indirect(address(1312,38))-indirect(address(1313,38))</f>
        <v>0</v>
      </c>
      <c r="AM1314">
        <f>indirect(address(1314,38))+indirect(address(1312,39))-indirect(address(1313,39))</f>
        <v>0</v>
      </c>
      <c r="AN1314">
        <f>indirect(address(1314,39))+indirect(address(1312,40))-indirect(address(1313,40))</f>
        <v>0</v>
      </c>
      <c r="AO1314">
        <f>indirect(address(1314,40))+indirect(address(1312,41))-indirect(address(1313,41))</f>
        <v>0</v>
      </c>
    </row>
    <row r="1315" spans="1:41">
      <c r="I1315" t="s">
        <v>14</v>
      </c>
      <c r="AO1315">
        <f>sum(j1315:an1315)</f>
        <v>0</v>
      </c>
    </row>
    <row r="1316" spans="1:41">
      <c r="I1316" t="s">
        <v>15</v>
      </c>
      <c r="J1316">
        <f>sumif(Plan!B:B,"221-027100-000",Plan!j:j)</f>
        <v>0</v>
      </c>
      <c r="K1316">
        <f>sumif(Plan!B:B,"221-027100-000",Plan!k:k)</f>
        <v>0</v>
      </c>
      <c r="L1316">
        <f>sumif(Plan!B:B,"221-027100-000",Plan!l:l)</f>
        <v>0</v>
      </c>
      <c r="M1316">
        <f>sumif(Plan!B:B,"221-027100-000",Plan!m:m)</f>
        <v>0</v>
      </c>
      <c r="N1316">
        <f>sumif(Plan!B:B,"221-027100-000",Plan!n:n)</f>
        <v>0</v>
      </c>
      <c r="O1316">
        <f>sumif(Plan!B:B,"221-027100-000",Plan!o:o)</f>
        <v>0</v>
      </c>
      <c r="P1316">
        <f>sumif(Plan!B:B,"221-027100-000",Plan!p:p)</f>
        <v>0</v>
      </c>
      <c r="Q1316">
        <f>sumif(Plan!B:B,"221-027100-000",Plan!q:q)</f>
        <v>0</v>
      </c>
      <c r="R1316">
        <f>sumif(Plan!B:B,"221-027100-000",Plan!r:r)</f>
        <v>0</v>
      </c>
      <c r="S1316">
        <f>sumif(Plan!B:B,"221-027100-000",Plan!s:s)</f>
        <v>0</v>
      </c>
      <c r="T1316">
        <f>sumif(Plan!B:B,"221-027100-000",Plan!t:t)</f>
        <v>0</v>
      </c>
      <c r="U1316">
        <f>sumif(Plan!B:B,"221-027100-000",Plan!u:u)</f>
        <v>0</v>
      </c>
      <c r="V1316">
        <f>sumif(Plan!B:B,"221-027100-000",Plan!v:v)</f>
        <v>0</v>
      </c>
      <c r="W1316">
        <f>sumif(Plan!B:B,"221-027100-000",Plan!w:w)</f>
        <v>0</v>
      </c>
      <c r="X1316">
        <f>sumif(Plan!B:B,"221-027100-000",Plan!x:x)</f>
        <v>0</v>
      </c>
      <c r="Y1316">
        <f>sumif(Plan!B:B,"221-027100-000",Plan!y:y)</f>
        <v>0</v>
      </c>
      <c r="Z1316">
        <f>sumif(Plan!B:B,"221-027100-000",Plan!z:z)</f>
        <v>0</v>
      </c>
      <c r="AA1316">
        <f>sumif(Plan!B:B,"221-027100-000",Plan!aa:aa)</f>
        <v>0</v>
      </c>
      <c r="AB1316">
        <f>sumif(Plan!B:B,"221-027100-000",Plan!ab:ab)</f>
        <v>0</v>
      </c>
      <c r="AC1316">
        <f>sumif(Plan!B:B,"221-027100-000",Plan!ac:ac)</f>
        <v>0</v>
      </c>
      <c r="AD1316">
        <f>sumif(Plan!B:B,"221-027100-000",Plan!ad:ad)</f>
        <v>0</v>
      </c>
      <c r="AE1316">
        <f>sumif(Plan!B:B,"221-027100-000",Plan!ae:ae)</f>
        <v>0</v>
      </c>
      <c r="AF1316">
        <f>sumif(Plan!B:B,"221-027100-000",Plan!af:af)</f>
        <v>0</v>
      </c>
      <c r="AG1316">
        <f>sumif(Plan!B:B,"221-027100-000",Plan!ag:ag)</f>
        <v>0</v>
      </c>
      <c r="AH1316">
        <f>sumif(Plan!B:B,"221-027100-000",Plan!ah:ah)</f>
        <v>0</v>
      </c>
      <c r="AI1316">
        <f>sumif(Plan!B:B,"221-027100-000",Plan!ai:ai)</f>
        <v>0</v>
      </c>
      <c r="AJ1316">
        <f>sumif(Plan!B:B,"221-027100-000",Plan!aj:aj)</f>
        <v>0</v>
      </c>
      <c r="AK1316">
        <f>sumif(Plan!B:B,"221-027100-000",Plan!ak:ak)</f>
        <v>0</v>
      </c>
      <c r="AL1316">
        <f>sumif(Plan!B:B,"221-027100-000",Plan!al:al)</f>
        <v>0</v>
      </c>
      <c r="AM1316">
        <f>sumif(Plan!B:B,"221-027100-000",Plan!am:am)</f>
        <v>0</v>
      </c>
      <c r="AN1316">
        <f>sumif(Plan!B:B,"221-027100-000",Plan!an:an)</f>
        <v>0</v>
      </c>
      <c r="AO1316">
        <f>sumif(Plan!B:B,"221-027100-000",Plan!ao:ao)</f>
        <v>0</v>
      </c>
    </row>
    <row r="1317" spans="1:41">
      <c r="A1317" t="s">
        <v>22</v>
      </c>
      <c r="B1317" t="s">
        <v>866</v>
      </c>
      <c r="C1317" t="s">
        <v>867</v>
      </c>
      <c r="E1317">
        <v>1</v>
      </c>
      <c r="F1317" t="s">
        <v>13</v>
      </c>
      <c r="H1317" t="s">
        <v>16</v>
      </c>
      <c r="J1317">
        <f>indirect(address(1317,9))+indirect(address(1315,10))-indirect(address(1316,10))</f>
        <v>0</v>
      </c>
      <c r="K1317">
        <f>indirect(address(1317,10))+indirect(address(1315,11))-indirect(address(1316,11))</f>
        <v>0</v>
      </c>
      <c r="L1317">
        <f>indirect(address(1317,11))+indirect(address(1315,12))-indirect(address(1316,12))</f>
        <v>0</v>
      </c>
      <c r="M1317">
        <f>indirect(address(1317,12))+indirect(address(1315,13))-indirect(address(1316,13))</f>
        <v>0</v>
      </c>
      <c r="N1317">
        <f>indirect(address(1317,13))+indirect(address(1315,14))-indirect(address(1316,14))</f>
        <v>0</v>
      </c>
      <c r="O1317">
        <f>indirect(address(1317,14))+indirect(address(1315,15))-indirect(address(1316,15))</f>
        <v>0</v>
      </c>
      <c r="P1317">
        <f>indirect(address(1317,15))+indirect(address(1315,16))-indirect(address(1316,16))</f>
        <v>0</v>
      </c>
      <c r="Q1317">
        <f>indirect(address(1317,16))+indirect(address(1315,17))-indirect(address(1316,17))</f>
        <v>0</v>
      </c>
      <c r="R1317">
        <f>indirect(address(1317,17))+indirect(address(1315,18))-indirect(address(1316,18))</f>
        <v>0</v>
      </c>
      <c r="S1317">
        <f>indirect(address(1317,18))+indirect(address(1315,19))-indirect(address(1316,19))</f>
        <v>0</v>
      </c>
      <c r="T1317">
        <f>indirect(address(1317,19))+indirect(address(1315,20))-indirect(address(1316,20))</f>
        <v>0</v>
      </c>
      <c r="U1317">
        <f>indirect(address(1317,20))+indirect(address(1315,21))-indirect(address(1316,21))</f>
        <v>0</v>
      </c>
      <c r="V1317">
        <f>indirect(address(1317,21))+indirect(address(1315,22))-indirect(address(1316,22))</f>
        <v>0</v>
      </c>
      <c r="W1317">
        <f>indirect(address(1317,22))+indirect(address(1315,23))-indirect(address(1316,23))</f>
        <v>0</v>
      </c>
      <c r="X1317">
        <f>indirect(address(1317,23))+indirect(address(1315,24))-indirect(address(1316,24))</f>
        <v>0</v>
      </c>
      <c r="Y1317">
        <f>indirect(address(1317,24))+indirect(address(1315,25))-indirect(address(1316,25))</f>
        <v>0</v>
      </c>
      <c r="Z1317">
        <f>indirect(address(1317,25))+indirect(address(1315,26))-indirect(address(1316,26))</f>
        <v>0</v>
      </c>
      <c r="AA1317">
        <f>indirect(address(1317,26))+indirect(address(1315,27))-indirect(address(1316,27))</f>
        <v>0</v>
      </c>
      <c r="AB1317">
        <f>indirect(address(1317,27))+indirect(address(1315,28))-indirect(address(1316,28))</f>
        <v>0</v>
      </c>
      <c r="AC1317">
        <f>indirect(address(1317,28))+indirect(address(1315,29))-indirect(address(1316,29))</f>
        <v>0</v>
      </c>
      <c r="AD1317">
        <f>indirect(address(1317,29))+indirect(address(1315,30))-indirect(address(1316,30))</f>
        <v>0</v>
      </c>
      <c r="AE1317">
        <f>indirect(address(1317,30))+indirect(address(1315,31))-indirect(address(1316,31))</f>
        <v>0</v>
      </c>
      <c r="AF1317">
        <f>indirect(address(1317,31))+indirect(address(1315,32))-indirect(address(1316,32))</f>
        <v>0</v>
      </c>
      <c r="AG1317">
        <f>indirect(address(1317,32))+indirect(address(1315,33))-indirect(address(1316,33))</f>
        <v>0</v>
      </c>
      <c r="AH1317">
        <f>indirect(address(1317,33))+indirect(address(1315,34))-indirect(address(1316,34))</f>
        <v>0</v>
      </c>
      <c r="AI1317">
        <f>indirect(address(1317,34))+indirect(address(1315,35))-indirect(address(1316,35))</f>
        <v>0</v>
      </c>
      <c r="AJ1317">
        <f>indirect(address(1317,35))+indirect(address(1315,36))-indirect(address(1316,36))</f>
        <v>0</v>
      </c>
      <c r="AK1317">
        <f>indirect(address(1317,36))+indirect(address(1315,37))-indirect(address(1316,37))</f>
        <v>0</v>
      </c>
      <c r="AL1317">
        <f>indirect(address(1317,37))+indirect(address(1315,38))-indirect(address(1316,38))</f>
        <v>0</v>
      </c>
      <c r="AM1317">
        <f>indirect(address(1317,38))+indirect(address(1315,39))-indirect(address(1316,39))</f>
        <v>0</v>
      </c>
      <c r="AN1317">
        <f>indirect(address(1317,39))+indirect(address(1315,40))-indirect(address(1316,40))</f>
        <v>0</v>
      </c>
      <c r="AO1317">
        <f>indirect(address(1317,40))+indirect(address(1315,41))-indirect(address(1316,41))</f>
        <v>0</v>
      </c>
    </row>
    <row r="1318" spans="1:41">
      <c r="I1318" t="s">
        <v>14</v>
      </c>
      <c r="AO1318">
        <f>sum(j1318:an1318)</f>
        <v>0</v>
      </c>
    </row>
    <row r="1319" spans="1:41">
      <c r="I1319" t="s">
        <v>15</v>
      </c>
      <c r="J1319">
        <f>sumif(Plan!B:B,"231-009900-000",Plan!j:j)</f>
        <v>0</v>
      </c>
      <c r="K1319">
        <f>sumif(Plan!B:B,"231-009900-000",Plan!k:k)</f>
        <v>0</v>
      </c>
      <c r="L1319">
        <f>sumif(Plan!B:B,"231-009900-000",Plan!l:l)</f>
        <v>0</v>
      </c>
      <c r="M1319">
        <f>sumif(Plan!B:B,"231-009900-000",Plan!m:m)</f>
        <v>0</v>
      </c>
      <c r="N1319">
        <f>sumif(Plan!B:B,"231-009900-000",Plan!n:n)</f>
        <v>0</v>
      </c>
      <c r="O1319">
        <f>sumif(Plan!B:B,"231-009900-000",Plan!o:o)</f>
        <v>0</v>
      </c>
      <c r="P1319">
        <f>sumif(Plan!B:B,"231-009900-000",Plan!p:p)</f>
        <v>0</v>
      </c>
      <c r="Q1319">
        <f>sumif(Plan!B:B,"231-009900-000",Plan!q:q)</f>
        <v>0</v>
      </c>
      <c r="R1319">
        <f>sumif(Plan!B:B,"231-009900-000",Plan!r:r)</f>
        <v>0</v>
      </c>
      <c r="S1319">
        <f>sumif(Plan!B:B,"231-009900-000",Plan!s:s)</f>
        <v>0</v>
      </c>
      <c r="T1319">
        <f>sumif(Plan!B:B,"231-009900-000",Plan!t:t)</f>
        <v>0</v>
      </c>
      <c r="U1319">
        <f>sumif(Plan!B:B,"231-009900-000",Plan!u:u)</f>
        <v>0</v>
      </c>
      <c r="V1319">
        <f>sumif(Plan!B:B,"231-009900-000",Plan!v:v)</f>
        <v>0</v>
      </c>
      <c r="W1319">
        <f>sumif(Plan!B:B,"231-009900-000",Plan!w:w)</f>
        <v>0</v>
      </c>
      <c r="X1319">
        <f>sumif(Plan!B:B,"231-009900-000",Plan!x:x)</f>
        <v>0</v>
      </c>
      <c r="Y1319">
        <f>sumif(Plan!B:B,"231-009900-000",Plan!y:y)</f>
        <v>0</v>
      </c>
      <c r="Z1319">
        <f>sumif(Plan!B:B,"231-009900-000",Plan!z:z)</f>
        <v>0</v>
      </c>
      <c r="AA1319">
        <f>sumif(Plan!B:B,"231-009900-000",Plan!aa:aa)</f>
        <v>0</v>
      </c>
      <c r="AB1319">
        <f>sumif(Plan!B:B,"231-009900-000",Plan!ab:ab)</f>
        <v>0</v>
      </c>
      <c r="AC1319">
        <f>sumif(Plan!B:B,"231-009900-000",Plan!ac:ac)</f>
        <v>0</v>
      </c>
      <c r="AD1319">
        <f>sumif(Plan!B:B,"231-009900-000",Plan!ad:ad)</f>
        <v>0</v>
      </c>
      <c r="AE1319">
        <f>sumif(Plan!B:B,"231-009900-000",Plan!ae:ae)</f>
        <v>0</v>
      </c>
      <c r="AF1319">
        <f>sumif(Plan!B:B,"231-009900-000",Plan!af:af)</f>
        <v>0</v>
      </c>
      <c r="AG1319">
        <f>sumif(Plan!B:B,"231-009900-000",Plan!ag:ag)</f>
        <v>0</v>
      </c>
      <c r="AH1319">
        <f>sumif(Plan!B:B,"231-009900-000",Plan!ah:ah)</f>
        <v>0</v>
      </c>
      <c r="AI1319">
        <f>sumif(Plan!B:B,"231-009900-000",Plan!ai:ai)</f>
        <v>0</v>
      </c>
      <c r="AJ1319">
        <f>sumif(Plan!B:B,"231-009900-000",Plan!aj:aj)</f>
        <v>0</v>
      </c>
      <c r="AK1319">
        <f>sumif(Plan!B:B,"231-009900-000",Plan!ak:ak)</f>
        <v>0</v>
      </c>
      <c r="AL1319">
        <f>sumif(Plan!B:B,"231-009900-000",Plan!al:al)</f>
        <v>0</v>
      </c>
      <c r="AM1319">
        <f>sumif(Plan!B:B,"231-009900-000",Plan!am:am)</f>
        <v>0</v>
      </c>
      <c r="AN1319">
        <f>sumif(Plan!B:B,"231-009900-000",Plan!an:an)</f>
        <v>0</v>
      </c>
      <c r="AO1319">
        <f>sumif(Plan!B:B,"231-009900-000",Plan!ao:ao)</f>
        <v>0</v>
      </c>
    </row>
    <row r="1320" spans="1:41">
      <c r="A1320" t="s">
        <v>22</v>
      </c>
      <c r="B1320" t="s">
        <v>868</v>
      </c>
      <c r="C1320" t="s">
        <v>869</v>
      </c>
      <c r="E1320">
        <v>2</v>
      </c>
      <c r="F1320" t="s">
        <v>13</v>
      </c>
      <c r="H1320" t="s">
        <v>16</v>
      </c>
      <c r="J1320">
        <f>indirect(address(1320,9))+indirect(address(1318,10))-indirect(address(1319,10))</f>
        <v>0</v>
      </c>
      <c r="K1320">
        <f>indirect(address(1320,10))+indirect(address(1318,11))-indirect(address(1319,11))</f>
        <v>0</v>
      </c>
      <c r="L1320">
        <f>indirect(address(1320,11))+indirect(address(1318,12))-indirect(address(1319,12))</f>
        <v>0</v>
      </c>
      <c r="M1320">
        <f>indirect(address(1320,12))+indirect(address(1318,13))-indirect(address(1319,13))</f>
        <v>0</v>
      </c>
      <c r="N1320">
        <f>indirect(address(1320,13))+indirect(address(1318,14))-indirect(address(1319,14))</f>
        <v>0</v>
      </c>
      <c r="O1320">
        <f>indirect(address(1320,14))+indirect(address(1318,15))-indirect(address(1319,15))</f>
        <v>0</v>
      </c>
      <c r="P1320">
        <f>indirect(address(1320,15))+indirect(address(1318,16))-indirect(address(1319,16))</f>
        <v>0</v>
      </c>
      <c r="Q1320">
        <f>indirect(address(1320,16))+indirect(address(1318,17))-indirect(address(1319,17))</f>
        <v>0</v>
      </c>
      <c r="R1320">
        <f>indirect(address(1320,17))+indirect(address(1318,18))-indirect(address(1319,18))</f>
        <v>0</v>
      </c>
      <c r="S1320">
        <f>indirect(address(1320,18))+indirect(address(1318,19))-indirect(address(1319,19))</f>
        <v>0</v>
      </c>
      <c r="T1320">
        <f>indirect(address(1320,19))+indirect(address(1318,20))-indirect(address(1319,20))</f>
        <v>0</v>
      </c>
      <c r="U1320">
        <f>indirect(address(1320,20))+indirect(address(1318,21))-indirect(address(1319,21))</f>
        <v>0</v>
      </c>
      <c r="V1320">
        <f>indirect(address(1320,21))+indirect(address(1318,22))-indirect(address(1319,22))</f>
        <v>0</v>
      </c>
      <c r="W1320">
        <f>indirect(address(1320,22))+indirect(address(1318,23))-indirect(address(1319,23))</f>
        <v>0</v>
      </c>
      <c r="X1320">
        <f>indirect(address(1320,23))+indirect(address(1318,24))-indirect(address(1319,24))</f>
        <v>0</v>
      </c>
      <c r="Y1320">
        <f>indirect(address(1320,24))+indirect(address(1318,25))-indirect(address(1319,25))</f>
        <v>0</v>
      </c>
      <c r="Z1320">
        <f>indirect(address(1320,25))+indirect(address(1318,26))-indirect(address(1319,26))</f>
        <v>0</v>
      </c>
      <c r="AA1320">
        <f>indirect(address(1320,26))+indirect(address(1318,27))-indirect(address(1319,27))</f>
        <v>0</v>
      </c>
      <c r="AB1320">
        <f>indirect(address(1320,27))+indirect(address(1318,28))-indirect(address(1319,28))</f>
        <v>0</v>
      </c>
      <c r="AC1320">
        <f>indirect(address(1320,28))+indirect(address(1318,29))-indirect(address(1319,29))</f>
        <v>0</v>
      </c>
      <c r="AD1320">
        <f>indirect(address(1320,29))+indirect(address(1318,30))-indirect(address(1319,30))</f>
        <v>0</v>
      </c>
      <c r="AE1320">
        <f>indirect(address(1320,30))+indirect(address(1318,31))-indirect(address(1319,31))</f>
        <v>0</v>
      </c>
      <c r="AF1320">
        <f>indirect(address(1320,31))+indirect(address(1318,32))-indirect(address(1319,32))</f>
        <v>0</v>
      </c>
      <c r="AG1320">
        <f>indirect(address(1320,32))+indirect(address(1318,33))-indirect(address(1319,33))</f>
        <v>0</v>
      </c>
      <c r="AH1320">
        <f>indirect(address(1320,33))+indirect(address(1318,34))-indirect(address(1319,34))</f>
        <v>0</v>
      </c>
      <c r="AI1320">
        <f>indirect(address(1320,34))+indirect(address(1318,35))-indirect(address(1319,35))</f>
        <v>0</v>
      </c>
      <c r="AJ1320">
        <f>indirect(address(1320,35))+indirect(address(1318,36))-indirect(address(1319,36))</f>
        <v>0</v>
      </c>
      <c r="AK1320">
        <f>indirect(address(1320,36))+indirect(address(1318,37))-indirect(address(1319,37))</f>
        <v>0</v>
      </c>
      <c r="AL1320">
        <f>indirect(address(1320,37))+indirect(address(1318,38))-indirect(address(1319,38))</f>
        <v>0</v>
      </c>
      <c r="AM1320">
        <f>indirect(address(1320,38))+indirect(address(1318,39))-indirect(address(1319,39))</f>
        <v>0</v>
      </c>
      <c r="AN1320">
        <f>indirect(address(1320,39))+indirect(address(1318,40))-indirect(address(1319,40))</f>
        <v>0</v>
      </c>
      <c r="AO1320">
        <f>indirect(address(1320,40))+indirect(address(1318,41))-indirect(address(1319,41))</f>
        <v>0</v>
      </c>
    </row>
    <row r="1321" spans="1:41">
      <c r="I1321" t="s">
        <v>14</v>
      </c>
      <c r="AO1321">
        <f>sum(j1321:an1321)</f>
        <v>0</v>
      </c>
    </row>
    <row r="1322" spans="1:41">
      <c r="I1322" t="s">
        <v>15</v>
      </c>
      <c r="J1322">
        <f>sumif(Plan!B:B,"231-010000-000",Plan!j:j)</f>
        <v>0</v>
      </c>
      <c r="K1322">
        <f>sumif(Plan!B:B,"231-010000-000",Plan!k:k)</f>
        <v>0</v>
      </c>
      <c r="L1322">
        <f>sumif(Plan!B:B,"231-010000-000",Plan!l:l)</f>
        <v>0</v>
      </c>
      <c r="M1322">
        <f>sumif(Plan!B:B,"231-010000-000",Plan!m:m)</f>
        <v>0</v>
      </c>
      <c r="N1322">
        <f>sumif(Plan!B:B,"231-010000-000",Plan!n:n)</f>
        <v>0</v>
      </c>
      <c r="O1322">
        <f>sumif(Plan!B:B,"231-010000-000",Plan!o:o)</f>
        <v>0</v>
      </c>
      <c r="P1322">
        <f>sumif(Plan!B:B,"231-010000-000",Plan!p:p)</f>
        <v>0</v>
      </c>
      <c r="Q1322">
        <f>sumif(Plan!B:B,"231-010000-000",Plan!q:q)</f>
        <v>0</v>
      </c>
      <c r="R1322">
        <f>sumif(Plan!B:B,"231-010000-000",Plan!r:r)</f>
        <v>0</v>
      </c>
      <c r="S1322">
        <f>sumif(Plan!B:B,"231-010000-000",Plan!s:s)</f>
        <v>0</v>
      </c>
      <c r="T1322">
        <f>sumif(Plan!B:B,"231-010000-000",Plan!t:t)</f>
        <v>0</v>
      </c>
      <c r="U1322">
        <f>sumif(Plan!B:B,"231-010000-000",Plan!u:u)</f>
        <v>0</v>
      </c>
      <c r="V1322">
        <f>sumif(Plan!B:B,"231-010000-000",Plan!v:v)</f>
        <v>0</v>
      </c>
      <c r="W1322">
        <f>sumif(Plan!B:B,"231-010000-000",Plan!w:w)</f>
        <v>0</v>
      </c>
      <c r="X1322">
        <f>sumif(Plan!B:B,"231-010000-000",Plan!x:x)</f>
        <v>0</v>
      </c>
      <c r="Y1322">
        <f>sumif(Plan!B:B,"231-010000-000",Plan!y:y)</f>
        <v>0</v>
      </c>
      <c r="Z1322">
        <f>sumif(Plan!B:B,"231-010000-000",Plan!z:z)</f>
        <v>0</v>
      </c>
      <c r="AA1322">
        <f>sumif(Plan!B:B,"231-010000-000",Plan!aa:aa)</f>
        <v>0</v>
      </c>
      <c r="AB1322">
        <f>sumif(Plan!B:B,"231-010000-000",Plan!ab:ab)</f>
        <v>0</v>
      </c>
      <c r="AC1322">
        <f>sumif(Plan!B:B,"231-010000-000",Plan!ac:ac)</f>
        <v>0</v>
      </c>
      <c r="AD1322">
        <f>sumif(Plan!B:B,"231-010000-000",Plan!ad:ad)</f>
        <v>0</v>
      </c>
      <c r="AE1322">
        <f>sumif(Plan!B:B,"231-010000-000",Plan!ae:ae)</f>
        <v>0</v>
      </c>
      <c r="AF1322">
        <f>sumif(Plan!B:B,"231-010000-000",Plan!af:af)</f>
        <v>0</v>
      </c>
      <c r="AG1322">
        <f>sumif(Plan!B:B,"231-010000-000",Plan!ag:ag)</f>
        <v>0</v>
      </c>
      <c r="AH1322">
        <f>sumif(Plan!B:B,"231-010000-000",Plan!ah:ah)</f>
        <v>0</v>
      </c>
      <c r="AI1322">
        <f>sumif(Plan!B:B,"231-010000-000",Plan!ai:ai)</f>
        <v>0</v>
      </c>
      <c r="AJ1322">
        <f>sumif(Plan!B:B,"231-010000-000",Plan!aj:aj)</f>
        <v>0</v>
      </c>
      <c r="AK1322">
        <f>sumif(Plan!B:B,"231-010000-000",Plan!ak:ak)</f>
        <v>0</v>
      </c>
      <c r="AL1322">
        <f>sumif(Plan!B:B,"231-010000-000",Plan!al:al)</f>
        <v>0</v>
      </c>
      <c r="AM1322">
        <f>sumif(Plan!B:B,"231-010000-000",Plan!am:am)</f>
        <v>0</v>
      </c>
      <c r="AN1322">
        <f>sumif(Plan!B:B,"231-010000-000",Plan!an:an)</f>
        <v>0</v>
      </c>
      <c r="AO1322">
        <f>sumif(Plan!B:B,"231-010000-000",Plan!ao:ao)</f>
        <v>0</v>
      </c>
    </row>
    <row r="1323" spans="1:41">
      <c r="A1323" t="s">
        <v>22</v>
      </c>
      <c r="B1323" t="s">
        <v>870</v>
      </c>
      <c r="C1323" t="s">
        <v>871</v>
      </c>
      <c r="E1323">
        <v>1</v>
      </c>
      <c r="F1323" t="s">
        <v>13</v>
      </c>
      <c r="H1323" t="s">
        <v>16</v>
      </c>
      <c r="J1323">
        <f>indirect(address(1323,9))+indirect(address(1321,10))-indirect(address(1322,10))</f>
        <v>0</v>
      </c>
      <c r="K1323">
        <f>indirect(address(1323,10))+indirect(address(1321,11))-indirect(address(1322,11))</f>
        <v>0</v>
      </c>
      <c r="L1323">
        <f>indirect(address(1323,11))+indirect(address(1321,12))-indirect(address(1322,12))</f>
        <v>0</v>
      </c>
      <c r="M1323">
        <f>indirect(address(1323,12))+indirect(address(1321,13))-indirect(address(1322,13))</f>
        <v>0</v>
      </c>
      <c r="N1323">
        <f>indirect(address(1323,13))+indirect(address(1321,14))-indirect(address(1322,14))</f>
        <v>0</v>
      </c>
      <c r="O1323">
        <f>indirect(address(1323,14))+indirect(address(1321,15))-indirect(address(1322,15))</f>
        <v>0</v>
      </c>
      <c r="P1323">
        <f>indirect(address(1323,15))+indirect(address(1321,16))-indirect(address(1322,16))</f>
        <v>0</v>
      </c>
      <c r="Q1323">
        <f>indirect(address(1323,16))+indirect(address(1321,17))-indirect(address(1322,17))</f>
        <v>0</v>
      </c>
      <c r="R1323">
        <f>indirect(address(1323,17))+indirect(address(1321,18))-indirect(address(1322,18))</f>
        <v>0</v>
      </c>
      <c r="S1323">
        <f>indirect(address(1323,18))+indirect(address(1321,19))-indirect(address(1322,19))</f>
        <v>0</v>
      </c>
      <c r="T1323">
        <f>indirect(address(1323,19))+indirect(address(1321,20))-indirect(address(1322,20))</f>
        <v>0</v>
      </c>
      <c r="U1323">
        <f>indirect(address(1323,20))+indirect(address(1321,21))-indirect(address(1322,21))</f>
        <v>0</v>
      </c>
      <c r="V1323">
        <f>indirect(address(1323,21))+indirect(address(1321,22))-indirect(address(1322,22))</f>
        <v>0</v>
      </c>
      <c r="W1323">
        <f>indirect(address(1323,22))+indirect(address(1321,23))-indirect(address(1322,23))</f>
        <v>0</v>
      </c>
      <c r="X1323">
        <f>indirect(address(1323,23))+indirect(address(1321,24))-indirect(address(1322,24))</f>
        <v>0</v>
      </c>
      <c r="Y1323">
        <f>indirect(address(1323,24))+indirect(address(1321,25))-indirect(address(1322,25))</f>
        <v>0</v>
      </c>
      <c r="Z1323">
        <f>indirect(address(1323,25))+indirect(address(1321,26))-indirect(address(1322,26))</f>
        <v>0</v>
      </c>
      <c r="AA1323">
        <f>indirect(address(1323,26))+indirect(address(1321,27))-indirect(address(1322,27))</f>
        <v>0</v>
      </c>
      <c r="AB1323">
        <f>indirect(address(1323,27))+indirect(address(1321,28))-indirect(address(1322,28))</f>
        <v>0</v>
      </c>
      <c r="AC1323">
        <f>indirect(address(1323,28))+indirect(address(1321,29))-indirect(address(1322,29))</f>
        <v>0</v>
      </c>
      <c r="AD1323">
        <f>indirect(address(1323,29))+indirect(address(1321,30))-indirect(address(1322,30))</f>
        <v>0</v>
      </c>
      <c r="AE1323">
        <f>indirect(address(1323,30))+indirect(address(1321,31))-indirect(address(1322,31))</f>
        <v>0</v>
      </c>
      <c r="AF1323">
        <f>indirect(address(1323,31))+indirect(address(1321,32))-indirect(address(1322,32))</f>
        <v>0</v>
      </c>
      <c r="AG1323">
        <f>indirect(address(1323,32))+indirect(address(1321,33))-indirect(address(1322,33))</f>
        <v>0</v>
      </c>
      <c r="AH1323">
        <f>indirect(address(1323,33))+indirect(address(1321,34))-indirect(address(1322,34))</f>
        <v>0</v>
      </c>
      <c r="AI1323">
        <f>indirect(address(1323,34))+indirect(address(1321,35))-indirect(address(1322,35))</f>
        <v>0</v>
      </c>
      <c r="AJ1323">
        <f>indirect(address(1323,35))+indirect(address(1321,36))-indirect(address(1322,36))</f>
        <v>0</v>
      </c>
      <c r="AK1323">
        <f>indirect(address(1323,36))+indirect(address(1321,37))-indirect(address(1322,37))</f>
        <v>0</v>
      </c>
      <c r="AL1323">
        <f>indirect(address(1323,37))+indirect(address(1321,38))-indirect(address(1322,38))</f>
        <v>0</v>
      </c>
      <c r="AM1323">
        <f>indirect(address(1323,38))+indirect(address(1321,39))-indirect(address(1322,39))</f>
        <v>0</v>
      </c>
      <c r="AN1323">
        <f>indirect(address(1323,39))+indirect(address(1321,40))-indirect(address(1322,40))</f>
        <v>0</v>
      </c>
      <c r="AO1323">
        <f>indirect(address(1323,40))+indirect(address(1321,41))-indirect(address(1322,41))</f>
        <v>0</v>
      </c>
    </row>
    <row r="1324" spans="1:41">
      <c r="I1324" t="s">
        <v>14</v>
      </c>
      <c r="AO1324">
        <f>sum(j1324:an1324)</f>
        <v>0</v>
      </c>
    </row>
    <row r="1325" spans="1:41">
      <c r="I1325" t="s">
        <v>15</v>
      </c>
      <c r="J1325">
        <f>sumif(Plan!B:B,"231-010100-000",Plan!j:j)</f>
        <v>0</v>
      </c>
      <c r="K1325">
        <f>sumif(Plan!B:B,"231-010100-000",Plan!k:k)</f>
        <v>0</v>
      </c>
      <c r="L1325">
        <f>sumif(Plan!B:B,"231-010100-000",Plan!l:l)</f>
        <v>0</v>
      </c>
      <c r="M1325">
        <f>sumif(Plan!B:B,"231-010100-000",Plan!m:m)</f>
        <v>0</v>
      </c>
      <c r="N1325">
        <f>sumif(Plan!B:B,"231-010100-000",Plan!n:n)</f>
        <v>0</v>
      </c>
      <c r="O1325">
        <f>sumif(Plan!B:B,"231-010100-000",Plan!o:o)</f>
        <v>0</v>
      </c>
      <c r="P1325">
        <f>sumif(Plan!B:B,"231-010100-000",Plan!p:p)</f>
        <v>0</v>
      </c>
      <c r="Q1325">
        <f>sumif(Plan!B:B,"231-010100-000",Plan!q:q)</f>
        <v>0</v>
      </c>
      <c r="R1325">
        <f>sumif(Plan!B:B,"231-010100-000",Plan!r:r)</f>
        <v>0</v>
      </c>
      <c r="S1325">
        <f>sumif(Plan!B:B,"231-010100-000",Plan!s:s)</f>
        <v>0</v>
      </c>
      <c r="T1325">
        <f>sumif(Plan!B:B,"231-010100-000",Plan!t:t)</f>
        <v>0</v>
      </c>
      <c r="U1325">
        <f>sumif(Plan!B:B,"231-010100-000",Plan!u:u)</f>
        <v>0</v>
      </c>
      <c r="V1325">
        <f>sumif(Plan!B:B,"231-010100-000",Plan!v:v)</f>
        <v>0</v>
      </c>
      <c r="W1325">
        <f>sumif(Plan!B:B,"231-010100-000",Plan!w:w)</f>
        <v>0</v>
      </c>
      <c r="X1325">
        <f>sumif(Plan!B:B,"231-010100-000",Plan!x:x)</f>
        <v>0</v>
      </c>
      <c r="Y1325">
        <f>sumif(Plan!B:B,"231-010100-000",Plan!y:y)</f>
        <v>0</v>
      </c>
      <c r="Z1325">
        <f>sumif(Plan!B:B,"231-010100-000",Plan!z:z)</f>
        <v>0</v>
      </c>
      <c r="AA1325">
        <f>sumif(Plan!B:B,"231-010100-000",Plan!aa:aa)</f>
        <v>0</v>
      </c>
      <c r="AB1325">
        <f>sumif(Plan!B:B,"231-010100-000",Plan!ab:ab)</f>
        <v>0</v>
      </c>
      <c r="AC1325">
        <f>sumif(Plan!B:B,"231-010100-000",Plan!ac:ac)</f>
        <v>0</v>
      </c>
      <c r="AD1325">
        <f>sumif(Plan!B:B,"231-010100-000",Plan!ad:ad)</f>
        <v>0</v>
      </c>
      <c r="AE1325">
        <f>sumif(Plan!B:B,"231-010100-000",Plan!ae:ae)</f>
        <v>0</v>
      </c>
      <c r="AF1325">
        <f>sumif(Plan!B:B,"231-010100-000",Plan!af:af)</f>
        <v>0</v>
      </c>
      <c r="AG1325">
        <f>sumif(Plan!B:B,"231-010100-000",Plan!ag:ag)</f>
        <v>0</v>
      </c>
      <c r="AH1325">
        <f>sumif(Plan!B:B,"231-010100-000",Plan!ah:ah)</f>
        <v>0</v>
      </c>
      <c r="AI1325">
        <f>sumif(Plan!B:B,"231-010100-000",Plan!ai:ai)</f>
        <v>0</v>
      </c>
      <c r="AJ1325">
        <f>sumif(Plan!B:B,"231-010100-000",Plan!aj:aj)</f>
        <v>0</v>
      </c>
      <c r="AK1325">
        <f>sumif(Plan!B:B,"231-010100-000",Plan!ak:ak)</f>
        <v>0</v>
      </c>
      <c r="AL1325">
        <f>sumif(Plan!B:B,"231-010100-000",Plan!al:al)</f>
        <v>0</v>
      </c>
      <c r="AM1325">
        <f>sumif(Plan!B:B,"231-010100-000",Plan!am:am)</f>
        <v>0</v>
      </c>
      <c r="AN1325">
        <f>sumif(Plan!B:B,"231-010100-000",Plan!an:an)</f>
        <v>0</v>
      </c>
      <c r="AO1325">
        <f>sumif(Plan!B:B,"231-010100-000",Plan!ao:ao)</f>
        <v>0</v>
      </c>
    </row>
    <row r="1326" spans="1:41">
      <c r="A1326" t="s">
        <v>22</v>
      </c>
      <c r="B1326" t="s">
        <v>872</v>
      </c>
      <c r="C1326" t="s">
        <v>873</v>
      </c>
      <c r="E1326">
        <v>1</v>
      </c>
      <c r="F1326" t="s">
        <v>13</v>
      </c>
      <c r="H1326" t="s">
        <v>16</v>
      </c>
      <c r="J1326">
        <f>indirect(address(1326,9))+indirect(address(1324,10))-indirect(address(1325,10))</f>
        <v>0</v>
      </c>
      <c r="K1326">
        <f>indirect(address(1326,10))+indirect(address(1324,11))-indirect(address(1325,11))</f>
        <v>0</v>
      </c>
      <c r="L1326">
        <f>indirect(address(1326,11))+indirect(address(1324,12))-indirect(address(1325,12))</f>
        <v>0</v>
      </c>
      <c r="M1326">
        <f>indirect(address(1326,12))+indirect(address(1324,13))-indirect(address(1325,13))</f>
        <v>0</v>
      </c>
      <c r="N1326">
        <f>indirect(address(1326,13))+indirect(address(1324,14))-indirect(address(1325,14))</f>
        <v>0</v>
      </c>
      <c r="O1326">
        <f>indirect(address(1326,14))+indirect(address(1324,15))-indirect(address(1325,15))</f>
        <v>0</v>
      </c>
      <c r="P1326">
        <f>indirect(address(1326,15))+indirect(address(1324,16))-indirect(address(1325,16))</f>
        <v>0</v>
      </c>
      <c r="Q1326">
        <f>indirect(address(1326,16))+indirect(address(1324,17))-indirect(address(1325,17))</f>
        <v>0</v>
      </c>
      <c r="R1326">
        <f>indirect(address(1326,17))+indirect(address(1324,18))-indirect(address(1325,18))</f>
        <v>0</v>
      </c>
      <c r="S1326">
        <f>indirect(address(1326,18))+indirect(address(1324,19))-indirect(address(1325,19))</f>
        <v>0</v>
      </c>
      <c r="T1326">
        <f>indirect(address(1326,19))+indirect(address(1324,20))-indirect(address(1325,20))</f>
        <v>0</v>
      </c>
      <c r="U1326">
        <f>indirect(address(1326,20))+indirect(address(1324,21))-indirect(address(1325,21))</f>
        <v>0</v>
      </c>
      <c r="V1326">
        <f>indirect(address(1326,21))+indirect(address(1324,22))-indirect(address(1325,22))</f>
        <v>0</v>
      </c>
      <c r="W1326">
        <f>indirect(address(1326,22))+indirect(address(1324,23))-indirect(address(1325,23))</f>
        <v>0</v>
      </c>
      <c r="X1326">
        <f>indirect(address(1326,23))+indirect(address(1324,24))-indirect(address(1325,24))</f>
        <v>0</v>
      </c>
      <c r="Y1326">
        <f>indirect(address(1326,24))+indirect(address(1324,25))-indirect(address(1325,25))</f>
        <v>0</v>
      </c>
      <c r="Z1326">
        <f>indirect(address(1326,25))+indirect(address(1324,26))-indirect(address(1325,26))</f>
        <v>0</v>
      </c>
      <c r="AA1326">
        <f>indirect(address(1326,26))+indirect(address(1324,27))-indirect(address(1325,27))</f>
        <v>0</v>
      </c>
      <c r="AB1326">
        <f>indirect(address(1326,27))+indirect(address(1324,28))-indirect(address(1325,28))</f>
        <v>0</v>
      </c>
      <c r="AC1326">
        <f>indirect(address(1326,28))+indirect(address(1324,29))-indirect(address(1325,29))</f>
        <v>0</v>
      </c>
      <c r="AD1326">
        <f>indirect(address(1326,29))+indirect(address(1324,30))-indirect(address(1325,30))</f>
        <v>0</v>
      </c>
      <c r="AE1326">
        <f>indirect(address(1326,30))+indirect(address(1324,31))-indirect(address(1325,31))</f>
        <v>0</v>
      </c>
      <c r="AF1326">
        <f>indirect(address(1326,31))+indirect(address(1324,32))-indirect(address(1325,32))</f>
        <v>0</v>
      </c>
      <c r="AG1326">
        <f>indirect(address(1326,32))+indirect(address(1324,33))-indirect(address(1325,33))</f>
        <v>0</v>
      </c>
      <c r="AH1326">
        <f>indirect(address(1326,33))+indirect(address(1324,34))-indirect(address(1325,34))</f>
        <v>0</v>
      </c>
      <c r="AI1326">
        <f>indirect(address(1326,34))+indirect(address(1324,35))-indirect(address(1325,35))</f>
        <v>0</v>
      </c>
      <c r="AJ1326">
        <f>indirect(address(1326,35))+indirect(address(1324,36))-indirect(address(1325,36))</f>
        <v>0</v>
      </c>
      <c r="AK1326">
        <f>indirect(address(1326,36))+indirect(address(1324,37))-indirect(address(1325,37))</f>
        <v>0</v>
      </c>
      <c r="AL1326">
        <f>indirect(address(1326,37))+indirect(address(1324,38))-indirect(address(1325,38))</f>
        <v>0</v>
      </c>
      <c r="AM1326">
        <f>indirect(address(1326,38))+indirect(address(1324,39))-indirect(address(1325,39))</f>
        <v>0</v>
      </c>
      <c r="AN1326">
        <f>indirect(address(1326,39))+indirect(address(1324,40))-indirect(address(1325,40))</f>
        <v>0</v>
      </c>
      <c r="AO1326">
        <f>indirect(address(1326,40))+indirect(address(1324,41))-indirect(address(1325,41))</f>
        <v>0</v>
      </c>
    </row>
    <row r="1327" spans="1:41">
      <c r="I1327" t="s">
        <v>14</v>
      </c>
      <c r="AO1327">
        <f>sum(j1327:an1327)</f>
        <v>0</v>
      </c>
    </row>
    <row r="1328" spans="1:41">
      <c r="I1328" t="s">
        <v>15</v>
      </c>
      <c r="J1328">
        <f>sumif(Plan!B:B,"231-010200-000",Plan!j:j)</f>
        <v>0</v>
      </c>
      <c r="K1328">
        <f>sumif(Plan!B:B,"231-010200-000",Plan!k:k)</f>
        <v>0</v>
      </c>
      <c r="L1328">
        <f>sumif(Plan!B:B,"231-010200-000",Plan!l:l)</f>
        <v>0</v>
      </c>
      <c r="M1328">
        <f>sumif(Plan!B:B,"231-010200-000",Plan!m:m)</f>
        <v>0</v>
      </c>
      <c r="N1328">
        <f>sumif(Plan!B:B,"231-010200-000",Plan!n:n)</f>
        <v>0</v>
      </c>
      <c r="O1328">
        <f>sumif(Plan!B:B,"231-010200-000",Plan!o:o)</f>
        <v>0</v>
      </c>
      <c r="P1328">
        <f>sumif(Plan!B:B,"231-010200-000",Plan!p:p)</f>
        <v>0</v>
      </c>
      <c r="Q1328">
        <f>sumif(Plan!B:B,"231-010200-000",Plan!q:q)</f>
        <v>0</v>
      </c>
      <c r="R1328">
        <f>sumif(Plan!B:B,"231-010200-000",Plan!r:r)</f>
        <v>0</v>
      </c>
      <c r="S1328">
        <f>sumif(Plan!B:B,"231-010200-000",Plan!s:s)</f>
        <v>0</v>
      </c>
      <c r="T1328">
        <f>sumif(Plan!B:B,"231-010200-000",Plan!t:t)</f>
        <v>0</v>
      </c>
      <c r="U1328">
        <f>sumif(Plan!B:B,"231-010200-000",Plan!u:u)</f>
        <v>0</v>
      </c>
      <c r="V1328">
        <f>sumif(Plan!B:B,"231-010200-000",Plan!v:v)</f>
        <v>0</v>
      </c>
      <c r="W1328">
        <f>sumif(Plan!B:B,"231-010200-000",Plan!w:w)</f>
        <v>0</v>
      </c>
      <c r="X1328">
        <f>sumif(Plan!B:B,"231-010200-000",Plan!x:x)</f>
        <v>0</v>
      </c>
      <c r="Y1328">
        <f>sumif(Plan!B:B,"231-010200-000",Plan!y:y)</f>
        <v>0</v>
      </c>
      <c r="Z1328">
        <f>sumif(Plan!B:B,"231-010200-000",Plan!z:z)</f>
        <v>0</v>
      </c>
      <c r="AA1328">
        <f>sumif(Plan!B:B,"231-010200-000",Plan!aa:aa)</f>
        <v>0</v>
      </c>
      <c r="AB1328">
        <f>sumif(Plan!B:B,"231-010200-000",Plan!ab:ab)</f>
        <v>0</v>
      </c>
      <c r="AC1328">
        <f>sumif(Plan!B:B,"231-010200-000",Plan!ac:ac)</f>
        <v>0</v>
      </c>
      <c r="AD1328">
        <f>sumif(Plan!B:B,"231-010200-000",Plan!ad:ad)</f>
        <v>0</v>
      </c>
      <c r="AE1328">
        <f>sumif(Plan!B:B,"231-010200-000",Plan!ae:ae)</f>
        <v>0</v>
      </c>
      <c r="AF1328">
        <f>sumif(Plan!B:B,"231-010200-000",Plan!af:af)</f>
        <v>0</v>
      </c>
      <c r="AG1328">
        <f>sumif(Plan!B:B,"231-010200-000",Plan!ag:ag)</f>
        <v>0</v>
      </c>
      <c r="AH1328">
        <f>sumif(Plan!B:B,"231-010200-000",Plan!ah:ah)</f>
        <v>0</v>
      </c>
      <c r="AI1328">
        <f>sumif(Plan!B:B,"231-010200-000",Plan!ai:ai)</f>
        <v>0</v>
      </c>
      <c r="AJ1328">
        <f>sumif(Plan!B:B,"231-010200-000",Plan!aj:aj)</f>
        <v>0</v>
      </c>
      <c r="AK1328">
        <f>sumif(Plan!B:B,"231-010200-000",Plan!ak:ak)</f>
        <v>0</v>
      </c>
      <c r="AL1328">
        <f>sumif(Plan!B:B,"231-010200-000",Plan!al:al)</f>
        <v>0</v>
      </c>
      <c r="AM1328">
        <f>sumif(Plan!B:B,"231-010200-000",Plan!am:am)</f>
        <v>0</v>
      </c>
      <c r="AN1328">
        <f>sumif(Plan!B:B,"231-010200-000",Plan!an:an)</f>
        <v>0</v>
      </c>
      <c r="AO1328">
        <f>sumif(Plan!B:B,"231-010200-000",Plan!ao:ao)</f>
        <v>0</v>
      </c>
    </row>
    <row r="1329" spans="1:41">
      <c r="A1329" t="s">
        <v>22</v>
      </c>
      <c r="B1329" t="s">
        <v>874</v>
      </c>
      <c r="C1329" t="s">
        <v>875</v>
      </c>
      <c r="E1329">
        <v>1</v>
      </c>
      <c r="F1329" t="s">
        <v>13</v>
      </c>
      <c r="H1329" t="s">
        <v>16</v>
      </c>
      <c r="J1329">
        <f>indirect(address(1329,9))+indirect(address(1327,10))-indirect(address(1328,10))</f>
        <v>0</v>
      </c>
      <c r="K1329">
        <f>indirect(address(1329,10))+indirect(address(1327,11))-indirect(address(1328,11))</f>
        <v>0</v>
      </c>
      <c r="L1329">
        <f>indirect(address(1329,11))+indirect(address(1327,12))-indirect(address(1328,12))</f>
        <v>0</v>
      </c>
      <c r="M1329">
        <f>indirect(address(1329,12))+indirect(address(1327,13))-indirect(address(1328,13))</f>
        <v>0</v>
      </c>
      <c r="N1329">
        <f>indirect(address(1329,13))+indirect(address(1327,14))-indirect(address(1328,14))</f>
        <v>0</v>
      </c>
      <c r="O1329">
        <f>indirect(address(1329,14))+indirect(address(1327,15))-indirect(address(1328,15))</f>
        <v>0</v>
      </c>
      <c r="P1329">
        <f>indirect(address(1329,15))+indirect(address(1327,16))-indirect(address(1328,16))</f>
        <v>0</v>
      </c>
      <c r="Q1329">
        <f>indirect(address(1329,16))+indirect(address(1327,17))-indirect(address(1328,17))</f>
        <v>0</v>
      </c>
      <c r="R1329">
        <f>indirect(address(1329,17))+indirect(address(1327,18))-indirect(address(1328,18))</f>
        <v>0</v>
      </c>
      <c r="S1329">
        <f>indirect(address(1329,18))+indirect(address(1327,19))-indirect(address(1328,19))</f>
        <v>0</v>
      </c>
      <c r="T1329">
        <f>indirect(address(1329,19))+indirect(address(1327,20))-indirect(address(1328,20))</f>
        <v>0</v>
      </c>
      <c r="U1329">
        <f>indirect(address(1329,20))+indirect(address(1327,21))-indirect(address(1328,21))</f>
        <v>0</v>
      </c>
      <c r="V1329">
        <f>indirect(address(1329,21))+indirect(address(1327,22))-indirect(address(1328,22))</f>
        <v>0</v>
      </c>
      <c r="W1329">
        <f>indirect(address(1329,22))+indirect(address(1327,23))-indirect(address(1328,23))</f>
        <v>0</v>
      </c>
      <c r="X1329">
        <f>indirect(address(1329,23))+indirect(address(1327,24))-indirect(address(1328,24))</f>
        <v>0</v>
      </c>
      <c r="Y1329">
        <f>indirect(address(1329,24))+indirect(address(1327,25))-indirect(address(1328,25))</f>
        <v>0</v>
      </c>
      <c r="Z1329">
        <f>indirect(address(1329,25))+indirect(address(1327,26))-indirect(address(1328,26))</f>
        <v>0</v>
      </c>
      <c r="AA1329">
        <f>indirect(address(1329,26))+indirect(address(1327,27))-indirect(address(1328,27))</f>
        <v>0</v>
      </c>
      <c r="AB1329">
        <f>indirect(address(1329,27))+indirect(address(1327,28))-indirect(address(1328,28))</f>
        <v>0</v>
      </c>
      <c r="AC1329">
        <f>indirect(address(1329,28))+indirect(address(1327,29))-indirect(address(1328,29))</f>
        <v>0</v>
      </c>
      <c r="AD1329">
        <f>indirect(address(1329,29))+indirect(address(1327,30))-indirect(address(1328,30))</f>
        <v>0</v>
      </c>
      <c r="AE1329">
        <f>indirect(address(1329,30))+indirect(address(1327,31))-indirect(address(1328,31))</f>
        <v>0</v>
      </c>
      <c r="AF1329">
        <f>indirect(address(1329,31))+indirect(address(1327,32))-indirect(address(1328,32))</f>
        <v>0</v>
      </c>
      <c r="AG1329">
        <f>indirect(address(1329,32))+indirect(address(1327,33))-indirect(address(1328,33))</f>
        <v>0</v>
      </c>
      <c r="AH1329">
        <f>indirect(address(1329,33))+indirect(address(1327,34))-indirect(address(1328,34))</f>
        <v>0</v>
      </c>
      <c r="AI1329">
        <f>indirect(address(1329,34))+indirect(address(1327,35))-indirect(address(1328,35))</f>
        <v>0</v>
      </c>
      <c r="AJ1329">
        <f>indirect(address(1329,35))+indirect(address(1327,36))-indirect(address(1328,36))</f>
        <v>0</v>
      </c>
      <c r="AK1329">
        <f>indirect(address(1329,36))+indirect(address(1327,37))-indirect(address(1328,37))</f>
        <v>0</v>
      </c>
      <c r="AL1329">
        <f>indirect(address(1329,37))+indirect(address(1327,38))-indirect(address(1328,38))</f>
        <v>0</v>
      </c>
      <c r="AM1329">
        <f>indirect(address(1329,38))+indirect(address(1327,39))-indirect(address(1328,39))</f>
        <v>0</v>
      </c>
      <c r="AN1329">
        <f>indirect(address(1329,39))+indirect(address(1327,40))-indirect(address(1328,40))</f>
        <v>0</v>
      </c>
      <c r="AO1329">
        <f>indirect(address(1329,40))+indirect(address(1327,41))-indirect(address(1328,41))</f>
        <v>0</v>
      </c>
    </row>
    <row r="1330" spans="1:41">
      <c r="I1330" t="s">
        <v>14</v>
      </c>
      <c r="AO1330">
        <f>sum(j1330:an1330)</f>
        <v>0</v>
      </c>
    </row>
    <row r="1331" spans="1:41">
      <c r="I1331" t="s">
        <v>15</v>
      </c>
      <c r="J1331">
        <f>sumif(Plan!B:B,"232-002300-000",Plan!j:j)</f>
        <v>0</v>
      </c>
      <c r="K1331">
        <f>sumif(Plan!B:B,"232-002300-000",Plan!k:k)</f>
        <v>0</v>
      </c>
      <c r="L1331">
        <f>sumif(Plan!B:B,"232-002300-000",Plan!l:l)</f>
        <v>0</v>
      </c>
      <c r="M1331">
        <f>sumif(Plan!B:B,"232-002300-000",Plan!m:m)</f>
        <v>0</v>
      </c>
      <c r="N1331">
        <f>sumif(Plan!B:B,"232-002300-000",Plan!n:n)</f>
        <v>0</v>
      </c>
      <c r="O1331">
        <f>sumif(Plan!B:B,"232-002300-000",Plan!o:o)</f>
        <v>0</v>
      </c>
      <c r="P1331">
        <f>sumif(Plan!B:B,"232-002300-000",Plan!p:p)</f>
        <v>0</v>
      </c>
      <c r="Q1331">
        <f>sumif(Plan!B:B,"232-002300-000",Plan!q:q)</f>
        <v>0</v>
      </c>
      <c r="R1331">
        <f>sumif(Plan!B:B,"232-002300-000",Plan!r:r)</f>
        <v>0</v>
      </c>
      <c r="S1331">
        <f>sumif(Plan!B:B,"232-002300-000",Plan!s:s)</f>
        <v>0</v>
      </c>
      <c r="T1331">
        <f>sumif(Plan!B:B,"232-002300-000",Plan!t:t)</f>
        <v>0</v>
      </c>
      <c r="U1331">
        <f>sumif(Plan!B:B,"232-002300-000",Plan!u:u)</f>
        <v>0</v>
      </c>
      <c r="V1331">
        <f>sumif(Plan!B:B,"232-002300-000",Plan!v:v)</f>
        <v>0</v>
      </c>
      <c r="W1331">
        <f>sumif(Plan!B:B,"232-002300-000",Plan!w:w)</f>
        <v>0</v>
      </c>
      <c r="X1331">
        <f>sumif(Plan!B:B,"232-002300-000",Plan!x:x)</f>
        <v>0</v>
      </c>
      <c r="Y1331">
        <f>sumif(Plan!B:B,"232-002300-000",Plan!y:y)</f>
        <v>0</v>
      </c>
      <c r="Z1331">
        <f>sumif(Plan!B:B,"232-002300-000",Plan!z:z)</f>
        <v>0</v>
      </c>
      <c r="AA1331">
        <f>sumif(Plan!B:B,"232-002300-000",Plan!aa:aa)</f>
        <v>0</v>
      </c>
      <c r="AB1331">
        <f>sumif(Plan!B:B,"232-002300-000",Plan!ab:ab)</f>
        <v>0</v>
      </c>
      <c r="AC1331">
        <f>sumif(Plan!B:B,"232-002300-000",Plan!ac:ac)</f>
        <v>0</v>
      </c>
      <c r="AD1331">
        <f>sumif(Plan!B:B,"232-002300-000",Plan!ad:ad)</f>
        <v>0</v>
      </c>
      <c r="AE1331">
        <f>sumif(Plan!B:B,"232-002300-000",Plan!ae:ae)</f>
        <v>0</v>
      </c>
      <c r="AF1331">
        <f>sumif(Plan!B:B,"232-002300-000",Plan!af:af)</f>
        <v>0</v>
      </c>
      <c r="AG1331">
        <f>sumif(Plan!B:B,"232-002300-000",Plan!ag:ag)</f>
        <v>0</v>
      </c>
      <c r="AH1331">
        <f>sumif(Plan!B:B,"232-002300-000",Plan!ah:ah)</f>
        <v>0</v>
      </c>
      <c r="AI1331">
        <f>sumif(Plan!B:B,"232-002300-000",Plan!ai:ai)</f>
        <v>0</v>
      </c>
      <c r="AJ1331">
        <f>sumif(Plan!B:B,"232-002300-000",Plan!aj:aj)</f>
        <v>0</v>
      </c>
      <c r="AK1331">
        <f>sumif(Plan!B:B,"232-002300-000",Plan!ak:ak)</f>
        <v>0</v>
      </c>
      <c r="AL1331">
        <f>sumif(Plan!B:B,"232-002300-000",Plan!al:al)</f>
        <v>0</v>
      </c>
      <c r="AM1331">
        <f>sumif(Plan!B:B,"232-002300-000",Plan!am:am)</f>
        <v>0</v>
      </c>
      <c r="AN1331">
        <f>sumif(Plan!B:B,"232-002300-000",Plan!an:an)</f>
        <v>0</v>
      </c>
      <c r="AO1331">
        <f>sumif(Plan!B:B,"232-002300-000",Plan!ao:ao)</f>
        <v>0</v>
      </c>
    </row>
    <row r="1332" spans="1:41">
      <c r="A1332" t="s">
        <v>22</v>
      </c>
      <c r="B1332" t="s">
        <v>876</v>
      </c>
      <c r="C1332" t="s">
        <v>877</v>
      </c>
      <c r="E1332">
        <v>1</v>
      </c>
      <c r="F1332" t="s">
        <v>13</v>
      </c>
      <c r="H1332" t="s">
        <v>16</v>
      </c>
      <c r="J1332">
        <f>indirect(address(1332,9))+indirect(address(1330,10))-indirect(address(1331,10))</f>
        <v>0</v>
      </c>
      <c r="K1332">
        <f>indirect(address(1332,10))+indirect(address(1330,11))-indirect(address(1331,11))</f>
        <v>0</v>
      </c>
      <c r="L1332">
        <f>indirect(address(1332,11))+indirect(address(1330,12))-indirect(address(1331,12))</f>
        <v>0</v>
      </c>
      <c r="M1332">
        <f>indirect(address(1332,12))+indirect(address(1330,13))-indirect(address(1331,13))</f>
        <v>0</v>
      </c>
      <c r="N1332">
        <f>indirect(address(1332,13))+indirect(address(1330,14))-indirect(address(1331,14))</f>
        <v>0</v>
      </c>
      <c r="O1332">
        <f>indirect(address(1332,14))+indirect(address(1330,15))-indirect(address(1331,15))</f>
        <v>0</v>
      </c>
      <c r="P1332">
        <f>indirect(address(1332,15))+indirect(address(1330,16))-indirect(address(1331,16))</f>
        <v>0</v>
      </c>
      <c r="Q1332">
        <f>indirect(address(1332,16))+indirect(address(1330,17))-indirect(address(1331,17))</f>
        <v>0</v>
      </c>
      <c r="R1332">
        <f>indirect(address(1332,17))+indirect(address(1330,18))-indirect(address(1331,18))</f>
        <v>0</v>
      </c>
      <c r="S1332">
        <f>indirect(address(1332,18))+indirect(address(1330,19))-indirect(address(1331,19))</f>
        <v>0</v>
      </c>
      <c r="T1332">
        <f>indirect(address(1332,19))+indirect(address(1330,20))-indirect(address(1331,20))</f>
        <v>0</v>
      </c>
      <c r="U1332">
        <f>indirect(address(1332,20))+indirect(address(1330,21))-indirect(address(1331,21))</f>
        <v>0</v>
      </c>
      <c r="V1332">
        <f>indirect(address(1332,21))+indirect(address(1330,22))-indirect(address(1331,22))</f>
        <v>0</v>
      </c>
      <c r="W1332">
        <f>indirect(address(1332,22))+indirect(address(1330,23))-indirect(address(1331,23))</f>
        <v>0</v>
      </c>
      <c r="X1332">
        <f>indirect(address(1332,23))+indirect(address(1330,24))-indirect(address(1331,24))</f>
        <v>0</v>
      </c>
      <c r="Y1332">
        <f>indirect(address(1332,24))+indirect(address(1330,25))-indirect(address(1331,25))</f>
        <v>0</v>
      </c>
      <c r="Z1332">
        <f>indirect(address(1332,25))+indirect(address(1330,26))-indirect(address(1331,26))</f>
        <v>0</v>
      </c>
      <c r="AA1332">
        <f>indirect(address(1332,26))+indirect(address(1330,27))-indirect(address(1331,27))</f>
        <v>0</v>
      </c>
      <c r="AB1332">
        <f>indirect(address(1332,27))+indirect(address(1330,28))-indirect(address(1331,28))</f>
        <v>0</v>
      </c>
      <c r="AC1332">
        <f>indirect(address(1332,28))+indirect(address(1330,29))-indirect(address(1331,29))</f>
        <v>0</v>
      </c>
      <c r="AD1332">
        <f>indirect(address(1332,29))+indirect(address(1330,30))-indirect(address(1331,30))</f>
        <v>0</v>
      </c>
      <c r="AE1332">
        <f>indirect(address(1332,30))+indirect(address(1330,31))-indirect(address(1331,31))</f>
        <v>0</v>
      </c>
      <c r="AF1332">
        <f>indirect(address(1332,31))+indirect(address(1330,32))-indirect(address(1331,32))</f>
        <v>0</v>
      </c>
      <c r="AG1332">
        <f>indirect(address(1332,32))+indirect(address(1330,33))-indirect(address(1331,33))</f>
        <v>0</v>
      </c>
      <c r="AH1332">
        <f>indirect(address(1332,33))+indirect(address(1330,34))-indirect(address(1331,34))</f>
        <v>0</v>
      </c>
      <c r="AI1332">
        <f>indirect(address(1332,34))+indirect(address(1330,35))-indirect(address(1331,35))</f>
        <v>0</v>
      </c>
      <c r="AJ1332">
        <f>indirect(address(1332,35))+indirect(address(1330,36))-indirect(address(1331,36))</f>
        <v>0</v>
      </c>
      <c r="AK1332">
        <f>indirect(address(1332,36))+indirect(address(1330,37))-indirect(address(1331,37))</f>
        <v>0</v>
      </c>
      <c r="AL1332">
        <f>indirect(address(1332,37))+indirect(address(1330,38))-indirect(address(1331,38))</f>
        <v>0</v>
      </c>
      <c r="AM1332">
        <f>indirect(address(1332,38))+indirect(address(1330,39))-indirect(address(1331,39))</f>
        <v>0</v>
      </c>
      <c r="AN1332">
        <f>indirect(address(1332,39))+indirect(address(1330,40))-indirect(address(1331,40))</f>
        <v>0</v>
      </c>
      <c r="AO1332">
        <f>indirect(address(1332,40))+indirect(address(1330,41))-indirect(address(1331,41))</f>
        <v>0</v>
      </c>
    </row>
    <row r="1333" spans="1:41">
      <c r="I1333" t="s">
        <v>14</v>
      </c>
      <c r="AO1333">
        <f>sum(j1333:an1333)</f>
        <v>0</v>
      </c>
    </row>
    <row r="1334" spans="1:41">
      <c r="I1334" t="s">
        <v>15</v>
      </c>
      <c r="J1334">
        <f>sumif(Plan!B:B,"231-010500-000",Plan!j:j)</f>
        <v>0</v>
      </c>
      <c r="K1334">
        <f>sumif(Plan!B:B,"231-010500-000",Plan!k:k)</f>
        <v>0</v>
      </c>
      <c r="L1334">
        <f>sumif(Plan!B:B,"231-010500-000",Plan!l:l)</f>
        <v>0</v>
      </c>
      <c r="M1334">
        <f>sumif(Plan!B:B,"231-010500-000",Plan!m:m)</f>
        <v>0</v>
      </c>
      <c r="N1334">
        <f>sumif(Plan!B:B,"231-010500-000",Plan!n:n)</f>
        <v>0</v>
      </c>
      <c r="O1334">
        <f>sumif(Plan!B:B,"231-010500-000",Plan!o:o)</f>
        <v>0</v>
      </c>
      <c r="P1334">
        <f>sumif(Plan!B:B,"231-010500-000",Plan!p:p)</f>
        <v>0</v>
      </c>
      <c r="Q1334">
        <f>sumif(Plan!B:B,"231-010500-000",Plan!q:q)</f>
        <v>0</v>
      </c>
      <c r="R1334">
        <f>sumif(Plan!B:B,"231-010500-000",Plan!r:r)</f>
        <v>0</v>
      </c>
      <c r="S1334">
        <f>sumif(Plan!B:B,"231-010500-000",Plan!s:s)</f>
        <v>0</v>
      </c>
      <c r="T1334">
        <f>sumif(Plan!B:B,"231-010500-000",Plan!t:t)</f>
        <v>0</v>
      </c>
      <c r="U1334">
        <f>sumif(Plan!B:B,"231-010500-000",Plan!u:u)</f>
        <v>0</v>
      </c>
      <c r="V1334">
        <f>sumif(Plan!B:B,"231-010500-000",Plan!v:v)</f>
        <v>0</v>
      </c>
      <c r="W1334">
        <f>sumif(Plan!B:B,"231-010500-000",Plan!w:w)</f>
        <v>0</v>
      </c>
      <c r="X1334">
        <f>sumif(Plan!B:B,"231-010500-000",Plan!x:x)</f>
        <v>0</v>
      </c>
      <c r="Y1334">
        <f>sumif(Plan!B:B,"231-010500-000",Plan!y:y)</f>
        <v>0</v>
      </c>
      <c r="Z1334">
        <f>sumif(Plan!B:B,"231-010500-000",Plan!z:z)</f>
        <v>0</v>
      </c>
      <c r="AA1334">
        <f>sumif(Plan!B:B,"231-010500-000",Plan!aa:aa)</f>
        <v>0</v>
      </c>
      <c r="AB1334">
        <f>sumif(Plan!B:B,"231-010500-000",Plan!ab:ab)</f>
        <v>0</v>
      </c>
      <c r="AC1334">
        <f>sumif(Plan!B:B,"231-010500-000",Plan!ac:ac)</f>
        <v>0</v>
      </c>
      <c r="AD1334">
        <f>sumif(Plan!B:B,"231-010500-000",Plan!ad:ad)</f>
        <v>0</v>
      </c>
      <c r="AE1334">
        <f>sumif(Plan!B:B,"231-010500-000",Plan!ae:ae)</f>
        <v>0</v>
      </c>
      <c r="AF1334">
        <f>sumif(Plan!B:B,"231-010500-000",Plan!af:af)</f>
        <v>0</v>
      </c>
      <c r="AG1334">
        <f>sumif(Plan!B:B,"231-010500-000",Plan!ag:ag)</f>
        <v>0</v>
      </c>
      <c r="AH1334">
        <f>sumif(Plan!B:B,"231-010500-000",Plan!ah:ah)</f>
        <v>0</v>
      </c>
      <c r="AI1334">
        <f>sumif(Plan!B:B,"231-010500-000",Plan!ai:ai)</f>
        <v>0</v>
      </c>
      <c r="AJ1334">
        <f>sumif(Plan!B:B,"231-010500-000",Plan!aj:aj)</f>
        <v>0</v>
      </c>
      <c r="AK1334">
        <f>sumif(Plan!B:B,"231-010500-000",Plan!ak:ak)</f>
        <v>0</v>
      </c>
      <c r="AL1334">
        <f>sumif(Plan!B:B,"231-010500-000",Plan!al:al)</f>
        <v>0</v>
      </c>
      <c r="AM1334">
        <f>sumif(Plan!B:B,"231-010500-000",Plan!am:am)</f>
        <v>0</v>
      </c>
      <c r="AN1334">
        <f>sumif(Plan!B:B,"231-010500-000",Plan!an:an)</f>
        <v>0</v>
      </c>
      <c r="AO1334">
        <f>sumif(Plan!B:B,"231-010500-000",Plan!ao:ao)</f>
        <v>0</v>
      </c>
    </row>
    <row r="1335" spans="1:41">
      <c r="A1335" t="s">
        <v>22</v>
      </c>
      <c r="B1335" t="s">
        <v>878</v>
      </c>
      <c r="C1335" t="s">
        <v>879</v>
      </c>
      <c r="E1335">
        <v>1</v>
      </c>
      <c r="F1335" t="s">
        <v>13</v>
      </c>
      <c r="H1335" t="s">
        <v>16</v>
      </c>
      <c r="J1335">
        <f>indirect(address(1335,9))+indirect(address(1333,10))-indirect(address(1334,10))</f>
        <v>0</v>
      </c>
      <c r="K1335">
        <f>indirect(address(1335,10))+indirect(address(1333,11))-indirect(address(1334,11))</f>
        <v>0</v>
      </c>
      <c r="L1335">
        <f>indirect(address(1335,11))+indirect(address(1333,12))-indirect(address(1334,12))</f>
        <v>0</v>
      </c>
      <c r="M1335">
        <f>indirect(address(1335,12))+indirect(address(1333,13))-indirect(address(1334,13))</f>
        <v>0</v>
      </c>
      <c r="N1335">
        <f>indirect(address(1335,13))+indirect(address(1333,14))-indirect(address(1334,14))</f>
        <v>0</v>
      </c>
      <c r="O1335">
        <f>indirect(address(1335,14))+indirect(address(1333,15))-indirect(address(1334,15))</f>
        <v>0</v>
      </c>
      <c r="P1335">
        <f>indirect(address(1335,15))+indirect(address(1333,16))-indirect(address(1334,16))</f>
        <v>0</v>
      </c>
      <c r="Q1335">
        <f>indirect(address(1335,16))+indirect(address(1333,17))-indirect(address(1334,17))</f>
        <v>0</v>
      </c>
      <c r="R1335">
        <f>indirect(address(1335,17))+indirect(address(1333,18))-indirect(address(1334,18))</f>
        <v>0</v>
      </c>
      <c r="S1335">
        <f>indirect(address(1335,18))+indirect(address(1333,19))-indirect(address(1334,19))</f>
        <v>0</v>
      </c>
      <c r="T1335">
        <f>indirect(address(1335,19))+indirect(address(1333,20))-indirect(address(1334,20))</f>
        <v>0</v>
      </c>
      <c r="U1335">
        <f>indirect(address(1335,20))+indirect(address(1333,21))-indirect(address(1334,21))</f>
        <v>0</v>
      </c>
      <c r="V1335">
        <f>indirect(address(1335,21))+indirect(address(1333,22))-indirect(address(1334,22))</f>
        <v>0</v>
      </c>
      <c r="W1335">
        <f>indirect(address(1335,22))+indirect(address(1333,23))-indirect(address(1334,23))</f>
        <v>0</v>
      </c>
      <c r="X1335">
        <f>indirect(address(1335,23))+indirect(address(1333,24))-indirect(address(1334,24))</f>
        <v>0</v>
      </c>
      <c r="Y1335">
        <f>indirect(address(1335,24))+indirect(address(1333,25))-indirect(address(1334,25))</f>
        <v>0</v>
      </c>
      <c r="Z1335">
        <f>indirect(address(1335,25))+indirect(address(1333,26))-indirect(address(1334,26))</f>
        <v>0</v>
      </c>
      <c r="AA1335">
        <f>indirect(address(1335,26))+indirect(address(1333,27))-indirect(address(1334,27))</f>
        <v>0</v>
      </c>
      <c r="AB1335">
        <f>indirect(address(1335,27))+indirect(address(1333,28))-indirect(address(1334,28))</f>
        <v>0</v>
      </c>
      <c r="AC1335">
        <f>indirect(address(1335,28))+indirect(address(1333,29))-indirect(address(1334,29))</f>
        <v>0</v>
      </c>
      <c r="AD1335">
        <f>indirect(address(1335,29))+indirect(address(1333,30))-indirect(address(1334,30))</f>
        <v>0</v>
      </c>
      <c r="AE1335">
        <f>indirect(address(1335,30))+indirect(address(1333,31))-indirect(address(1334,31))</f>
        <v>0</v>
      </c>
      <c r="AF1335">
        <f>indirect(address(1335,31))+indirect(address(1333,32))-indirect(address(1334,32))</f>
        <v>0</v>
      </c>
      <c r="AG1335">
        <f>indirect(address(1335,32))+indirect(address(1333,33))-indirect(address(1334,33))</f>
        <v>0</v>
      </c>
      <c r="AH1335">
        <f>indirect(address(1335,33))+indirect(address(1333,34))-indirect(address(1334,34))</f>
        <v>0</v>
      </c>
      <c r="AI1335">
        <f>indirect(address(1335,34))+indirect(address(1333,35))-indirect(address(1334,35))</f>
        <v>0</v>
      </c>
      <c r="AJ1335">
        <f>indirect(address(1335,35))+indirect(address(1333,36))-indirect(address(1334,36))</f>
        <v>0</v>
      </c>
      <c r="AK1335">
        <f>indirect(address(1335,36))+indirect(address(1333,37))-indirect(address(1334,37))</f>
        <v>0</v>
      </c>
      <c r="AL1335">
        <f>indirect(address(1335,37))+indirect(address(1333,38))-indirect(address(1334,38))</f>
        <v>0</v>
      </c>
      <c r="AM1335">
        <f>indirect(address(1335,38))+indirect(address(1333,39))-indirect(address(1334,39))</f>
        <v>0</v>
      </c>
      <c r="AN1335">
        <f>indirect(address(1335,39))+indirect(address(1333,40))-indirect(address(1334,40))</f>
        <v>0</v>
      </c>
      <c r="AO1335">
        <f>indirect(address(1335,40))+indirect(address(1333,41))-indirect(address(1334,41))</f>
        <v>0</v>
      </c>
    </row>
    <row r="1336" spans="1:41">
      <c r="I1336" t="s">
        <v>14</v>
      </c>
      <c r="AO1336">
        <f>sum(j1336:an1336)</f>
        <v>0</v>
      </c>
    </row>
    <row r="1337" spans="1:41">
      <c r="I1337" t="s">
        <v>15</v>
      </c>
      <c r="J1337">
        <f>sumif(Plan!B:B,"906-716458-100",Plan!j:j)</f>
        <v>0</v>
      </c>
      <c r="K1337">
        <f>sumif(Plan!B:B,"906-716458-100",Plan!k:k)</f>
        <v>0</v>
      </c>
      <c r="L1337">
        <f>sumif(Plan!B:B,"906-716458-100",Plan!l:l)</f>
        <v>0</v>
      </c>
      <c r="M1337">
        <f>sumif(Plan!B:B,"906-716458-100",Plan!m:m)</f>
        <v>0</v>
      </c>
      <c r="N1337">
        <f>sumif(Plan!B:B,"906-716458-100",Plan!n:n)</f>
        <v>0</v>
      </c>
      <c r="O1337">
        <f>sumif(Plan!B:B,"906-716458-100",Plan!o:o)</f>
        <v>0</v>
      </c>
      <c r="P1337">
        <f>sumif(Plan!B:B,"906-716458-100",Plan!p:p)</f>
        <v>0</v>
      </c>
      <c r="Q1337">
        <f>sumif(Plan!B:B,"906-716458-100",Plan!q:q)</f>
        <v>0</v>
      </c>
      <c r="R1337">
        <f>sumif(Plan!B:B,"906-716458-100",Plan!r:r)</f>
        <v>0</v>
      </c>
      <c r="S1337">
        <f>sumif(Plan!B:B,"906-716458-100",Plan!s:s)</f>
        <v>0</v>
      </c>
      <c r="T1337">
        <f>sumif(Plan!B:B,"906-716458-100",Plan!t:t)</f>
        <v>0</v>
      </c>
      <c r="U1337">
        <f>sumif(Plan!B:B,"906-716458-100",Plan!u:u)</f>
        <v>0</v>
      </c>
      <c r="V1337">
        <f>sumif(Plan!B:B,"906-716458-100",Plan!v:v)</f>
        <v>0</v>
      </c>
      <c r="W1337">
        <f>sumif(Plan!B:B,"906-716458-100",Plan!w:w)</f>
        <v>0</v>
      </c>
      <c r="X1337">
        <f>sumif(Plan!B:B,"906-716458-100",Plan!x:x)</f>
        <v>0</v>
      </c>
      <c r="Y1337">
        <f>sumif(Plan!B:B,"906-716458-100",Plan!y:y)</f>
        <v>0</v>
      </c>
      <c r="Z1337">
        <f>sumif(Plan!B:B,"906-716458-100",Plan!z:z)</f>
        <v>0</v>
      </c>
      <c r="AA1337">
        <f>sumif(Plan!B:B,"906-716458-100",Plan!aa:aa)</f>
        <v>0</v>
      </c>
      <c r="AB1337">
        <f>sumif(Plan!B:B,"906-716458-100",Plan!ab:ab)</f>
        <v>0</v>
      </c>
      <c r="AC1337">
        <f>sumif(Plan!B:B,"906-716458-100",Plan!ac:ac)</f>
        <v>0</v>
      </c>
      <c r="AD1337">
        <f>sumif(Plan!B:B,"906-716458-100",Plan!ad:ad)</f>
        <v>0</v>
      </c>
      <c r="AE1337">
        <f>sumif(Plan!B:B,"906-716458-100",Plan!ae:ae)</f>
        <v>0</v>
      </c>
      <c r="AF1337">
        <f>sumif(Plan!B:B,"906-716458-100",Plan!af:af)</f>
        <v>0</v>
      </c>
      <c r="AG1337">
        <f>sumif(Plan!B:B,"906-716458-100",Plan!ag:ag)</f>
        <v>0</v>
      </c>
      <c r="AH1337">
        <f>sumif(Plan!B:B,"906-716458-100",Plan!ah:ah)</f>
        <v>0</v>
      </c>
      <c r="AI1337">
        <f>sumif(Plan!B:B,"906-716458-100",Plan!ai:ai)</f>
        <v>0</v>
      </c>
      <c r="AJ1337">
        <f>sumif(Plan!B:B,"906-716458-100",Plan!aj:aj)</f>
        <v>0</v>
      </c>
      <c r="AK1337">
        <f>sumif(Plan!B:B,"906-716458-100",Plan!ak:ak)</f>
        <v>0</v>
      </c>
      <c r="AL1337">
        <f>sumif(Plan!B:B,"906-716458-100",Plan!al:al)</f>
        <v>0</v>
      </c>
      <c r="AM1337">
        <f>sumif(Plan!B:B,"906-716458-100",Plan!am:am)</f>
        <v>0</v>
      </c>
      <c r="AN1337">
        <f>sumif(Plan!B:B,"906-716458-100",Plan!an:an)</f>
        <v>0</v>
      </c>
      <c r="AO1337">
        <f>sumif(Plan!B:B,"906-716458-100",Plan!ao:ao)</f>
        <v>0</v>
      </c>
    </row>
    <row r="1338" spans="1:41">
      <c r="A1338" t="s">
        <v>17</v>
      </c>
      <c r="B1338" t="s">
        <v>881</v>
      </c>
      <c r="C1338" t="s">
        <v>882</v>
      </c>
      <c r="E1338">
        <v>1</v>
      </c>
      <c r="F1338" t="s">
        <v>13</v>
      </c>
      <c r="H1338" t="s">
        <v>16</v>
      </c>
      <c r="J1338">
        <f>indirect(address(1338,9))+indirect(address(1336,10))-indirect(address(1337,10))</f>
        <v>0</v>
      </c>
      <c r="K1338">
        <f>indirect(address(1338,10))+indirect(address(1336,11))-indirect(address(1337,11))</f>
        <v>0</v>
      </c>
      <c r="L1338">
        <f>indirect(address(1338,11))+indirect(address(1336,12))-indirect(address(1337,12))</f>
        <v>0</v>
      </c>
      <c r="M1338">
        <f>indirect(address(1338,12))+indirect(address(1336,13))-indirect(address(1337,13))</f>
        <v>0</v>
      </c>
      <c r="N1338">
        <f>indirect(address(1338,13))+indirect(address(1336,14))-indirect(address(1337,14))</f>
        <v>0</v>
      </c>
      <c r="O1338">
        <f>indirect(address(1338,14))+indirect(address(1336,15))-indirect(address(1337,15))</f>
        <v>0</v>
      </c>
      <c r="P1338">
        <f>indirect(address(1338,15))+indirect(address(1336,16))-indirect(address(1337,16))</f>
        <v>0</v>
      </c>
      <c r="Q1338">
        <f>indirect(address(1338,16))+indirect(address(1336,17))-indirect(address(1337,17))</f>
        <v>0</v>
      </c>
      <c r="R1338">
        <f>indirect(address(1338,17))+indirect(address(1336,18))-indirect(address(1337,18))</f>
        <v>0</v>
      </c>
      <c r="S1338">
        <f>indirect(address(1338,18))+indirect(address(1336,19))-indirect(address(1337,19))</f>
        <v>0</v>
      </c>
      <c r="T1338">
        <f>indirect(address(1338,19))+indirect(address(1336,20))-indirect(address(1337,20))</f>
        <v>0</v>
      </c>
      <c r="U1338">
        <f>indirect(address(1338,20))+indirect(address(1336,21))-indirect(address(1337,21))</f>
        <v>0</v>
      </c>
      <c r="V1338">
        <f>indirect(address(1338,21))+indirect(address(1336,22))-indirect(address(1337,22))</f>
        <v>0</v>
      </c>
      <c r="W1338">
        <f>indirect(address(1338,22))+indirect(address(1336,23))-indirect(address(1337,23))</f>
        <v>0</v>
      </c>
      <c r="X1338">
        <f>indirect(address(1338,23))+indirect(address(1336,24))-indirect(address(1337,24))</f>
        <v>0</v>
      </c>
      <c r="Y1338">
        <f>indirect(address(1338,24))+indirect(address(1336,25))-indirect(address(1337,25))</f>
        <v>0</v>
      </c>
      <c r="Z1338">
        <f>indirect(address(1338,25))+indirect(address(1336,26))-indirect(address(1337,26))</f>
        <v>0</v>
      </c>
      <c r="AA1338">
        <f>indirect(address(1338,26))+indirect(address(1336,27))-indirect(address(1337,27))</f>
        <v>0</v>
      </c>
      <c r="AB1338">
        <f>indirect(address(1338,27))+indirect(address(1336,28))-indirect(address(1337,28))</f>
        <v>0</v>
      </c>
      <c r="AC1338">
        <f>indirect(address(1338,28))+indirect(address(1336,29))-indirect(address(1337,29))</f>
        <v>0</v>
      </c>
      <c r="AD1338">
        <f>indirect(address(1338,29))+indirect(address(1336,30))-indirect(address(1337,30))</f>
        <v>0</v>
      </c>
      <c r="AE1338">
        <f>indirect(address(1338,30))+indirect(address(1336,31))-indirect(address(1337,31))</f>
        <v>0</v>
      </c>
      <c r="AF1338">
        <f>indirect(address(1338,31))+indirect(address(1336,32))-indirect(address(1337,32))</f>
        <v>0</v>
      </c>
      <c r="AG1338">
        <f>indirect(address(1338,32))+indirect(address(1336,33))-indirect(address(1337,33))</f>
        <v>0</v>
      </c>
      <c r="AH1338">
        <f>indirect(address(1338,33))+indirect(address(1336,34))-indirect(address(1337,34))</f>
        <v>0</v>
      </c>
      <c r="AI1338">
        <f>indirect(address(1338,34))+indirect(address(1336,35))-indirect(address(1337,35))</f>
        <v>0</v>
      </c>
      <c r="AJ1338">
        <f>indirect(address(1338,35))+indirect(address(1336,36))-indirect(address(1337,36))</f>
        <v>0</v>
      </c>
      <c r="AK1338">
        <f>indirect(address(1338,36))+indirect(address(1336,37))-indirect(address(1337,37))</f>
        <v>0</v>
      </c>
      <c r="AL1338">
        <f>indirect(address(1338,37))+indirect(address(1336,38))-indirect(address(1337,38))</f>
        <v>0</v>
      </c>
      <c r="AM1338">
        <f>indirect(address(1338,38))+indirect(address(1336,39))-indirect(address(1337,39))</f>
        <v>0</v>
      </c>
      <c r="AN1338">
        <f>indirect(address(1338,39))+indirect(address(1336,40))-indirect(address(1337,40))</f>
        <v>0</v>
      </c>
      <c r="AO1338">
        <f>indirect(address(1338,40))+indirect(address(1336,41))-indirect(address(1337,41))</f>
        <v>0</v>
      </c>
    </row>
    <row r="1339" spans="1:41">
      <c r="I1339" t="s">
        <v>14</v>
      </c>
      <c r="AO1339">
        <f>sum(j1339:an1339)</f>
        <v>0</v>
      </c>
    </row>
    <row r="1340" spans="1:41">
      <c r="I1340" t="s">
        <v>15</v>
      </c>
      <c r="J1340">
        <f>sumif(Plan!B:B,"232-002300-000",Plan!j:j)</f>
        <v>0</v>
      </c>
      <c r="K1340">
        <f>sumif(Plan!B:B,"232-002300-000",Plan!k:k)</f>
        <v>0</v>
      </c>
      <c r="L1340">
        <f>sumif(Plan!B:B,"232-002300-000",Plan!l:l)</f>
        <v>0</v>
      </c>
      <c r="M1340">
        <f>sumif(Plan!B:B,"232-002300-000",Plan!m:m)</f>
        <v>0</v>
      </c>
      <c r="N1340">
        <f>sumif(Plan!B:B,"232-002300-000",Plan!n:n)</f>
        <v>0</v>
      </c>
      <c r="O1340">
        <f>sumif(Plan!B:B,"232-002300-000",Plan!o:o)</f>
        <v>0</v>
      </c>
      <c r="P1340">
        <f>sumif(Plan!B:B,"232-002300-000",Plan!p:p)</f>
        <v>0</v>
      </c>
      <c r="Q1340">
        <f>sumif(Plan!B:B,"232-002300-000",Plan!q:q)</f>
        <v>0</v>
      </c>
      <c r="R1340">
        <f>sumif(Plan!B:B,"232-002300-000",Plan!r:r)</f>
        <v>0</v>
      </c>
      <c r="S1340">
        <f>sumif(Plan!B:B,"232-002300-000",Plan!s:s)</f>
        <v>0</v>
      </c>
      <c r="T1340">
        <f>sumif(Plan!B:B,"232-002300-000",Plan!t:t)</f>
        <v>0</v>
      </c>
      <c r="U1340">
        <f>sumif(Plan!B:B,"232-002300-000",Plan!u:u)</f>
        <v>0</v>
      </c>
      <c r="V1340">
        <f>sumif(Plan!B:B,"232-002300-000",Plan!v:v)</f>
        <v>0</v>
      </c>
      <c r="W1340">
        <f>sumif(Plan!B:B,"232-002300-000",Plan!w:w)</f>
        <v>0</v>
      </c>
      <c r="X1340">
        <f>sumif(Plan!B:B,"232-002300-000",Plan!x:x)</f>
        <v>0</v>
      </c>
      <c r="Y1340">
        <f>sumif(Plan!B:B,"232-002300-000",Plan!y:y)</f>
        <v>0</v>
      </c>
      <c r="Z1340">
        <f>sumif(Plan!B:B,"232-002300-000",Plan!z:z)</f>
        <v>0</v>
      </c>
      <c r="AA1340">
        <f>sumif(Plan!B:B,"232-002300-000",Plan!aa:aa)</f>
        <v>0</v>
      </c>
      <c r="AB1340">
        <f>sumif(Plan!B:B,"232-002300-000",Plan!ab:ab)</f>
        <v>0</v>
      </c>
      <c r="AC1340">
        <f>sumif(Plan!B:B,"232-002300-000",Plan!ac:ac)</f>
        <v>0</v>
      </c>
      <c r="AD1340">
        <f>sumif(Plan!B:B,"232-002300-000",Plan!ad:ad)</f>
        <v>0</v>
      </c>
      <c r="AE1340">
        <f>sumif(Plan!B:B,"232-002300-000",Plan!ae:ae)</f>
        <v>0</v>
      </c>
      <c r="AF1340">
        <f>sumif(Plan!B:B,"232-002300-000",Plan!af:af)</f>
        <v>0</v>
      </c>
      <c r="AG1340">
        <f>sumif(Plan!B:B,"232-002300-000",Plan!ag:ag)</f>
        <v>0</v>
      </c>
      <c r="AH1340">
        <f>sumif(Plan!B:B,"232-002300-000",Plan!ah:ah)</f>
        <v>0</v>
      </c>
      <c r="AI1340">
        <f>sumif(Plan!B:B,"232-002300-000",Plan!ai:ai)</f>
        <v>0</v>
      </c>
      <c r="AJ1340">
        <f>sumif(Plan!B:B,"232-002300-000",Plan!aj:aj)</f>
        <v>0</v>
      </c>
      <c r="AK1340">
        <f>sumif(Plan!B:B,"232-002300-000",Plan!ak:ak)</f>
        <v>0</v>
      </c>
      <c r="AL1340">
        <f>sumif(Plan!B:B,"232-002300-000",Plan!al:al)</f>
        <v>0</v>
      </c>
      <c r="AM1340">
        <f>sumif(Plan!B:B,"232-002300-000",Plan!am:am)</f>
        <v>0</v>
      </c>
      <c r="AN1340">
        <f>sumif(Plan!B:B,"232-002300-000",Plan!an:an)</f>
        <v>0</v>
      </c>
      <c r="AO1340">
        <f>sumif(Plan!B:B,"232-002300-000",Plan!ao:ao)</f>
        <v>0</v>
      </c>
    </row>
    <row r="1341" spans="1:41">
      <c r="A1341" t="s">
        <v>22</v>
      </c>
      <c r="B1341" t="s">
        <v>876</v>
      </c>
      <c r="C1341" t="s">
        <v>883</v>
      </c>
      <c r="E1341">
        <v>6</v>
      </c>
      <c r="F1341" t="s">
        <v>13</v>
      </c>
      <c r="H1341" t="s">
        <v>16</v>
      </c>
      <c r="J1341">
        <f>indirect(address(1341,9))+indirect(address(1339,10))-indirect(address(1340,10))</f>
        <v>0</v>
      </c>
      <c r="K1341">
        <f>indirect(address(1341,10))+indirect(address(1339,11))-indirect(address(1340,11))</f>
        <v>0</v>
      </c>
      <c r="L1341">
        <f>indirect(address(1341,11))+indirect(address(1339,12))-indirect(address(1340,12))</f>
        <v>0</v>
      </c>
      <c r="M1341">
        <f>indirect(address(1341,12))+indirect(address(1339,13))-indirect(address(1340,13))</f>
        <v>0</v>
      </c>
      <c r="N1341">
        <f>indirect(address(1341,13))+indirect(address(1339,14))-indirect(address(1340,14))</f>
        <v>0</v>
      </c>
      <c r="O1341">
        <f>indirect(address(1341,14))+indirect(address(1339,15))-indirect(address(1340,15))</f>
        <v>0</v>
      </c>
      <c r="P1341">
        <f>indirect(address(1341,15))+indirect(address(1339,16))-indirect(address(1340,16))</f>
        <v>0</v>
      </c>
      <c r="Q1341">
        <f>indirect(address(1341,16))+indirect(address(1339,17))-indirect(address(1340,17))</f>
        <v>0</v>
      </c>
      <c r="R1341">
        <f>indirect(address(1341,17))+indirect(address(1339,18))-indirect(address(1340,18))</f>
        <v>0</v>
      </c>
      <c r="S1341">
        <f>indirect(address(1341,18))+indirect(address(1339,19))-indirect(address(1340,19))</f>
        <v>0</v>
      </c>
      <c r="T1341">
        <f>indirect(address(1341,19))+indirect(address(1339,20))-indirect(address(1340,20))</f>
        <v>0</v>
      </c>
      <c r="U1341">
        <f>indirect(address(1341,20))+indirect(address(1339,21))-indirect(address(1340,21))</f>
        <v>0</v>
      </c>
      <c r="V1341">
        <f>indirect(address(1341,21))+indirect(address(1339,22))-indirect(address(1340,22))</f>
        <v>0</v>
      </c>
      <c r="W1341">
        <f>indirect(address(1341,22))+indirect(address(1339,23))-indirect(address(1340,23))</f>
        <v>0</v>
      </c>
      <c r="X1341">
        <f>indirect(address(1341,23))+indirect(address(1339,24))-indirect(address(1340,24))</f>
        <v>0</v>
      </c>
      <c r="Y1341">
        <f>indirect(address(1341,24))+indirect(address(1339,25))-indirect(address(1340,25))</f>
        <v>0</v>
      </c>
      <c r="Z1341">
        <f>indirect(address(1341,25))+indirect(address(1339,26))-indirect(address(1340,26))</f>
        <v>0</v>
      </c>
      <c r="AA1341">
        <f>indirect(address(1341,26))+indirect(address(1339,27))-indirect(address(1340,27))</f>
        <v>0</v>
      </c>
      <c r="AB1341">
        <f>indirect(address(1341,27))+indirect(address(1339,28))-indirect(address(1340,28))</f>
        <v>0</v>
      </c>
      <c r="AC1341">
        <f>indirect(address(1341,28))+indirect(address(1339,29))-indirect(address(1340,29))</f>
        <v>0</v>
      </c>
      <c r="AD1341">
        <f>indirect(address(1341,29))+indirect(address(1339,30))-indirect(address(1340,30))</f>
        <v>0</v>
      </c>
      <c r="AE1341">
        <f>indirect(address(1341,30))+indirect(address(1339,31))-indirect(address(1340,31))</f>
        <v>0</v>
      </c>
      <c r="AF1341">
        <f>indirect(address(1341,31))+indirect(address(1339,32))-indirect(address(1340,32))</f>
        <v>0</v>
      </c>
      <c r="AG1341">
        <f>indirect(address(1341,32))+indirect(address(1339,33))-indirect(address(1340,33))</f>
        <v>0</v>
      </c>
      <c r="AH1341">
        <f>indirect(address(1341,33))+indirect(address(1339,34))-indirect(address(1340,34))</f>
        <v>0</v>
      </c>
      <c r="AI1341">
        <f>indirect(address(1341,34))+indirect(address(1339,35))-indirect(address(1340,35))</f>
        <v>0</v>
      </c>
      <c r="AJ1341">
        <f>indirect(address(1341,35))+indirect(address(1339,36))-indirect(address(1340,36))</f>
        <v>0</v>
      </c>
      <c r="AK1341">
        <f>indirect(address(1341,36))+indirect(address(1339,37))-indirect(address(1340,37))</f>
        <v>0</v>
      </c>
      <c r="AL1341">
        <f>indirect(address(1341,37))+indirect(address(1339,38))-indirect(address(1340,38))</f>
        <v>0</v>
      </c>
      <c r="AM1341">
        <f>indirect(address(1341,38))+indirect(address(1339,39))-indirect(address(1340,39))</f>
        <v>0</v>
      </c>
      <c r="AN1341">
        <f>indirect(address(1341,39))+indirect(address(1339,40))-indirect(address(1340,40))</f>
        <v>0</v>
      </c>
      <c r="AO1341">
        <f>indirect(address(1341,40))+indirect(address(1339,41))-indirect(address(1340,41))</f>
        <v>0</v>
      </c>
    </row>
    <row r="1342" spans="1:41">
      <c r="I1342" t="s">
        <v>14</v>
      </c>
      <c r="AO1342">
        <f>sum(j1342:an1342)</f>
        <v>0</v>
      </c>
    </row>
    <row r="1343" spans="1:41">
      <c r="I1343" t="s">
        <v>15</v>
      </c>
      <c r="J1343">
        <f>sumif(Plan!B:B,"221-027200-000",Plan!j:j)</f>
        <v>0</v>
      </c>
      <c r="K1343">
        <f>sumif(Plan!B:B,"221-027200-000",Plan!k:k)</f>
        <v>0</v>
      </c>
      <c r="L1343">
        <f>sumif(Plan!B:B,"221-027200-000",Plan!l:l)</f>
        <v>0</v>
      </c>
      <c r="M1343">
        <f>sumif(Plan!B:B,"221-027200-000",Plan!m:m)</f>
        <v>0</v>
      </c>
      <c r="N1343">
        <f>sumif(Plan!B:B,"221-027200-000",Plan!n:n)</f>
        <v>0</v>
      </c>
      <c r="O1343">
        <f>sumif(Plan!B:B,"221-027200-000",Plan!o:o)</f>
        <v>0</v>
      </c>
      <c r="P1343">
        <f>sumif(Plan!B:B,"221-027200-000",Plan!p:p)</f>
        <v>0</v>
      </c>
      <c r="Q1343">
        <f>sumif(Plan!B:B,"221-027200-000",Plan!q:q)</f>
        <v>0</v>
      </c>
      <c r="R1343">
        <f>sumif(Plan!B:B,"221-027200-000",Plan!r:r)</f>
        <v>0</v>
      </c>
      <c r="S1343">
        <f>sumif(Plan!B:B,"221-027200-000",Plan!s:s)</f>
        <v>0</v>
      </c>
      <c r="T1343">
        <f>sumif(Plan!B:B,"221-027200-000",Plan!t:t)</f>
        <v>0</v>
      </c>
      <c r="U1343">
        <f>sumif(Plan!B:B,"221-027200-000",Plan!u:u)</f>
        <v>0</v>
      </c>
      <c r="V1343">
        <f>sumif(Plan!B:B,"221-027200-000",Plan!v:v)</f>
        <v>0</v>
      </c>
      <c r="W1343">
        <f>sumif(Plan!B:B,"221-027200-000",Plan!w:w)</f>
        <v>0</v>
      </c>
      <c r="X1343">
        <f>sumif(Plan!B:B,"221-027200-000",Plan!x:x)</f>
        <v>0</v>
      </c>
      <c r="Y1343">
        <f>sumif(Plan!B:B,"221-027200-000",Plan!y:y)</f>
        <v>0</v>
      </c>
      <c r="Z1343">
        <f>sumif(Plan!B:B,"221-027200-000",Plan!z:z)</f>
        <v>0</v>
      </c>
      <c r="AA1343">
        <f>sumif(Plan!B:B,"221-027200-000",Plan!aa:aa)</f>
        <v>0</v>
      </c>
      <c r="AB1343">
        <f>sumif(Plan!B:B,"221-027200-000",Plan!ab:ab)</f>
        <v>0</v>
      </c>
      <c r="AC1343">
        <f>sumif(Plan!B:B,"221-027200-000",Plan!ac:ac)</f>
        <v>0</v>
      </c>
      <c r="AD1343">
        <f>sumif(Plan!B:B,"221-027200-000",Plan!ad:ad)</f>
        <v>0</v>
      </c>
      <c r="AE1343">
        <f>sumif(Plan!B:B,"221-027200-000",Plan!ae:ae)</f>
        <v>0</v>
      </c>
      <c r="AF1343">
        <f>sumif(Plan!B:B,"221-027200-000",Plan!af:af)</f>
        <v>0</v>
      </c>
      <c r="AG1343">
        <f>sumif(Plan!B:B,"221-027200-000",Plan!ag:ag)</f>
        <v>0</v>
      </c>
      <c r="AH1343">
        <f>sumif(Plan!B:B,"221-027200-000",Plan!ah:ah)</f>
        <v>0</v>
      </c>
      <c r="AI1343">
        <f>sumif(Plan!B:B,"221-027200-000",Plan!ai:ai)</f>
        <v>0</v>
      </c>
      <c r="AJ1343">
        <f>sumif(Plan!B:B,"221-027200-000",Plan!aj:aj)</f>
        <v>0</v>
      </c>
      <c r="AK1343">
        <f>sumif(Plan!B:B,"221-027200-000",Plan!ak:ak)</f>
        <v>0</v>
      </c>
      <c r="AL1343">
        <f>sumif(Plan!B:B,"221-027200-000",Plan!al:al)</f>
        <v>0</v>
      </c>
      <c r="AM1343">
        <f>sumif(Plan!B:B,"221-027200-000",Plan!am:am)</f>
        <v>0</v>
      </c>
      <c r="AN1343">
        <f>sumif(Plan!B:B,"221-027200-000",Plan!an:an)</f>
        <v>0</v>
      </c>
      <c r="AO1343">
        <f>sumif(Plan!B:B,"221-027200-000",Plan!ao:ao)</f>
        <v>0</v>
      </c>
    </row>
    <row r="1344" spans="1:41">
      <c r="A1344" t="s">
        <v>22</v>
      </c>
      <c r="B1344" t="s">
        <v>884</v>
      </c>
      <c r="C1344" t="s">
        <v>885</v>
      </c>
      <c r="E1344">
        <v>1</v>
      </c>
      <c r="F1344" t="s">
        <v>13</v>
      </c>
      <c r="H1344" t="s">
        <v>16</v>
      </c>
      <c r="J1344">
        <f>indirect(address(1344,9))+indirect(address(1342,10))-indirect(address(1343,10))</f>
        <v>0</v>
      </c>
      <c r="K1344">
        <f>indirect(address(1344,10))+indirect(address(1342,11))-indirect(address(1343,11))</f>
        <v>0</v>
      </c>
      <c r="L1344">
        <f>indirect(address(1344,11))+indirect(address(1342,12))-indirect(address(1343,12))</f>
        <v>0</v>
      </c>
      <c r="M1344">
        <f>indirect(address(1344,12))+indirect(address(1342,13))-indirect(address(1343,13))</f>
        <v>0</v>
      </c>
      <c r="N1344">
        <f>indirect(address(1344,13))+indirect(address(1342,14))-indirect(address(1343,14))</f>
        <v>0</v>
      </c>
      <c r="O1344">
        <f>indirect(address(1344,14))+indirect(address(1342,15))-indirect(address(1343,15))</f>
        <v>0</v>
      </c>
      <c r="P1344">
        <f>indirect(address(1344,15))+indirect(address(1342,16))-indirect(address(1343,16))</f>
        <v>0</v>
      </c>
      <c r="Q1344">
        <f>indirect(address(1344,16))+indirect(address(1342,17))-indirect(address(1343,17))</f>
        <v>0</v>
      </c>
      <c r="R1344">
        <f>indirect(address(1344,17))+indirect(address(1342,18))-indirect(address(1343,18))</f>
        <v>0</v>
      </c>
      <c r="S1344">
        <f>indirect(address(1344,18))+indirect(address(1342,19))-indirect(address(1343,19))</f>
        <v>0</v>
      </c>
      <c r="T1344">
        <f>indirect(address(1344,19))+indirect(address(1342,20))-indirect(address(1343,20))</f>
        <v>0</v>
      </c>
      <c r="U1344">
        <f>indirect(address(1344,20))+indirect(address(1342,21))-indirect(address(1343,21))</f>
        <v>0</v>
      </c>
      <c r="V1344">
        <f>indirect(address(1344,21))+indirect(address(1342,22))-indirect(address(1343,22))</f>
        <v>0</v>
      </c>
      <c r="W1344">
        <f>indirect(address(1344,22))+indirect(address(1342,23))-indirect(address(1343,23))</f>
        <v>0</v>
      </c>
      <c r="X1344">
        <f>indirect(address(1344,23))+indirect(address(1342,24))-indirect(address(1343,24))</f>
        <v>0</v>
      </c>
      <c r="Y1344">
        <f>indirect(address(1344,24))+indirect(address(1342,25))-indirect(address(1343,25))</f>
        <v>0</v>
      </c>
      <c r="Z1344">
        <f>indirect(address(1344,25))+indirect(address(1342,26))-indirect(address(1343,26))</f>
        <v>0</v>
      </c>
      <c r="AA1344">
        <f>indirect(address(1344,26))+indirect(address(1342,27))-indirect(address(1343,27))</f>
        <v>0</v>
      </c>
      <c r="AB1344">
        <f>indirect(address(1344,27))+indirect(address(1342,28))-indirect(address(1343,28))</f>
        <v>0</v>
      </c>
      <c r="AC1344">
        <f>indirect(address(1344,28))+indirect(address(1342,29))-indirect(address(1343,29))</f>
        <v>0</v>
      </c>
      <c r="AD1344">
        <f>indirect(address(1344,29))+indirect(address(1342,30))-indirect(address(1343,30))</f>
        <v>0</v>
      </c>
      <c r="AE1344">
        <f>indirect(address(1344,30))+indirect(address(1342,31))-indirect(address(1343,31))</f>
        <v>0</v>
      </c>
      <c r="AF1344">
        <f>indirect(address(1344,31))+indirect(address(1342,32))-indirect(address(1343,32))</f>
        <v>0</v>
      </c>
      <c r="AG1344">
        <f>indirect(address(1344,32))+indirect(address(1342,33))-indirect(address(1343,33))</f>
        <v>0</v>
      </c>
      <c r="AH1344">
        <f>indirect(address(1344,33))+indirect(address(1342,34))-indirect(address(1343,34))</f>
        <v>0</v>
      </c>
      <c r="AI1344">
        <f>indirect(address(1344,34))+indirect(address(1342,35))-indirect(address(1343,35))</f>
        <v>0</v>
      </c>
      <c r="AJ1344">
        <f>indirect(address(1344,35))+indirect(address(1342,36))-indirect(address(1343,36))</f>
        <v>0</v>
      </c>
      <c r="AK1344">
        <f>indirect(address(1344,36))+indirect(address(1342,37))-indirect(address(1343,37))</f>
        <v>0</v>
      </c>
      <c r="AL1344">
        <f>indirect(address(1344,37))+indirect(address(1342,38))-indirect(address(1343,38))</f>
        <v>0</v>
      </c>
      <c r="AM1344">
        <f>indirect(address(1344,38))+indirect(address(1342,39))-indirect(address(1343,39))</f>
        <v>0</v>
      </c>
      <c r="AN1344">
        <f>indirect(address(1344,39))+indirect(address(1342,40))-indirect(address(1343,40))</f>
        <v>0</v>
      </c>
      <c r="AO1344">
        <f>indirect(address(1344,40))+indirect(address(1342,41))-indirect(address(1343,41))</f>
        <v>0</v>
      </c>
    </row>
    <row r="1345" spans="1:41">
      <c r="I1345" t="s">
        <v>14</v>
      </c>
      <c r="AO1345">
        <f>sum(j1345:an1345)</f>
        <v>0</v>
      </c>
    </row>
    <row r="1346" spans="1:41">
      <c r="I1346" t="s">
        <v>15</v>
      </c>
      <c r="J1346">
        <f>sumif(Plan!B:B,"231-010100-000",Plan!j:j)</f>
        <v>0</v>
      </c>
      <c r="K1346">
        <f>sumif(Plan!B:B,"231-010100-000",Plan!k:k)</f>
        <v>0</v>
      </c>
      <c r="L1346">
        <f>sumif(Plan!B:B,"231-010100-000",Plan!l:l)</f>
        <v>0</v>
      </c>
      <c r="M1346">
        <f>sumif(Plan!B:B,"231-010100-000",Plan!m:m)</f>
        <v>0</v>
      </c>
      <c r="N1346">
        <f>sumif(Plan!B:B,"231-010100-000",Plan!n:n)</f>
        <v>0</v>
      </c>
      <c r="O1346">
        <f>sumif(Plan!B:B,"231-010100-000",Plan!o:o)</f>
        <v>0</v>
      </c>
      <c r="P1346">
        <f>sumif(Plan!B:B,"231-010100-000",Plan!p:p)</f>
        <v>0</v>
      </c>
      <c r="Q1346">
        <f>sumif(Plan!B:B,"231-010100-000",Plan!q:q)</f>
        <v>0</v>
      </c>
      <c r="R1346">
        <f>sumif(Plan!B:B,"231-010100-000",Plan!r:r)</f>
        <v>0</v>
      </c>
      <c r="S1346">
        <f>sumif(Plan!B:B,"231-010100-000",Plan!s:s)</f>
        <v>0</v>
      </c>
      <c r="T1346">
        <f>sumif(Plan!B:B,"231-010100-000",Plan!t:t)</f>
        <v>0</v>
      </c>
      <c r="U1346">
        <f>sumif(Plan!B:B,"231-010100-000",Plan!u:u)</f>
        <v>0</v>
      </c>
      <c r="V1346">
        <f>sumif(Plan!B:B,"231-010100-000",Plan!v:v)</f>
        <v>0</v>
      </c>
      <c r="W1346">
        <f>sumif(Plan!B:B,"231-010100-000",Plan!w:w)</f>
        <v>0</v>
      </c>
      <c r="X1346">
        <f>sumif(Plan!B:B,"231-010100-000",Plan!x:x)</f>
        <v>0</v>
      </c>
      <c r="Y1346">
        <f>sumif(Plan!B:B,"231-010100-000",Plan!y:y)</f>
        <v>0</v>
      </c>
      <c r="Z1346">
        <f>sumif(Plan!B:B,"231-010100-000",Plan!z:z)</f>
        <v>0</v>
      </c>
      <c r="AA1346">
        <f>sumif(Plan!B:B,"231-010100-000",Plan!aa:aa)</f>
        <v>0</v>
      </c>
      <c r="AB1346">
        <f>sumif(Plan!B:B,"231-010100-000",Plan!ab:ab)</f>
        <v>0</v>
      </c>
      <c r="AC1346">
        <f>sumif(Plan!B:B,"231-010100-000",Plan!ac:ac)</f>
        <v>0</v>
      </c>
      <c r="AD1346">
        <f>sumif(Plan!B:B,"231-010100-000",Plan!ad:ad)</f>
        <v>0</v>
      </c>
      <c r="AE1346">
        <f>sumif(Plan!B:B,"231-010100-000",Plan!ae:ae)</f>
        <v>0</v>
      </c>
      <c r="AF1346">
        <f>sumif(Plan!B:B,"231-010100-000",Plan!af:af)</f>
        <v>0</v>
      </c>
      <c r="AG1346">
        <f>sumif(Plan!B:B,"231-010100-000",Plan!ag:ag)</f>
        <v>0</v>
      </c>
      <c r="AH1346">
        <f>sumif(Plan!B:B,"231-010100-000",Plan!ah:ah)</f>
        <v>0</v>
      </c>
      <c r="AI1346">
        <f>sumif(Plan!B:B,"231-010100-000",Plan!ai:ai)</f>
        <v>0</v>
      </c>
      <c r="AJ1346">
        <f>sumif(Plan!B:B,"231-010100-000",Plan!aj:aj)</f>
        <v>0</v>
      </c>
      <c r="AK1346">
        <f>sumif(Plan!B:B,"231-010100-000",Plan!ak:ak)</f>
        <v>0</v>
      </c>
      <c r="AL1346">
        <f>sumif(Plan!B:B,"231-010100-000",Plan!al:al)</f>
        <v>0</v>
      </c>
      <c r="AM1346">
        <f>sumif(Plan!B:B,"231-010100-000",Plan!am:am)</f>
        <v>0</v>
      </c>
      <c r="AN1346">
        <f>sumif(Plan!B:B,"231-010100-000",Plan!an:an)</f>
        <v>0</v>
      </c>
      <c r="AO1346">
        <f>sumif(Plan!B:B,"231-010100-000",Plan!ao:ao)</f>
        <v>0</v>
      </c>
    </row>
    <row r="1347" spans="1:41">
      <c r="A1347" t="s">
        <v>22</v>
      </c>
      <c r="B1347" t="s">
        <v>872</v>
      </c>
      <c r="C1347" t="s">
        <v>886</v>
      </c>
      <c r="E1347">
        <v>1</v>
      </c>
      <c r="F1347" t="s">
        <v>13</v>
      </c>
      <c r="H1347" t="s">
        <v>16</v>
      </c>
      <c r="J1347">
        <f>indirect(address(1347,9))+indirect(address(1345,10))-indirect(address(1346,10))</f>
        <v>0</v>
      </c>
      <c r="K1347">
        <f>indirect(address(1347,10))+indirect(address(1345,11))-indirect(address(1346,11))</f>
        <v>0</v>
      </c>
      <c r="L1347">
        <f>indirect(address(1347,11))+indirect(address(1345,12))-indirect(address(1346,12))</f>
        <v>0</v>
      </c>
      <c r="M1347">
        <f>indirect(address(1347,12))+indirect(address(1345,13))-indirect(address(1346,13))</f>
        <v>0</v>
      </c>
      <c r="N1347">
        <f>indirect(address(1347,13))+indirect(address(1345,14))-indirect(address(1346,14))</f>
        <v>0</v>
      </c>
      <c r="O1347">
        <f>indirect(address(1347,14))+indirect(address(1345,15))-indirect(address(1346,15))</f>
        <v>0</v>
      </c>
      <c r="P1347">
        <f>indirect(address(1347,15))+indirect(address(1345,16))-indirect(address(1346,16))</f>
        <v>0</v>
      </c>
      <c r="Q1347">
        <f>indirect(address(1347,16))+indirect(address(1345,17))-indirect(address(1346,17))</f>
        <v>0</v>
      </c>
      <c r="R1347">
        <f>indirect(address(1347,17))+indirect(address(1345,18))-indirect(address(1346,18))</f>
        <v>0</v>
      </c>
      <c r="S1347">
        <f>indirect(address(1347,18))+indirect(address(1345,19))-indirect(address(1346,19))</f>
        <v>0</v>
      </c>
      <c r="T1347">
        <f>indirect(address(1347,19))+indirect(address(1345,20))-indirect(address(1346,20))</f>
        <v>0</v>
      </c>
      <c r="U1347">
        <f>indirect(address(1347,20))+indirect(address(1345,21))-indirect(address(1346,21))</f>
        <v>0</v>
      </c>
      <c r="V1347">
        <f>indirect(address(1347,21))+indirect(address(1345,22))-indirect(address(1346,22))</f>
        <v>0</v>
      </c>
      <c r="W1347">
        <f>indirect(address(1347,22))+indirect(address(1345,23))-indirect(address(1346,23))</f>
        <v>0</v>
      </c>
      <c r="X1347">
        <f>indirect(address(1347,23))+indirect(address(1345,24))-indirect(address(1346,24))</f>
        <v>0</v>
      </c>
      <c r="Y1347">
        <f>indirect(address(1347,24))+indirect(address(1345,25))-indirect(address(1346,25))</f>
        <v>0</v>
      </c>
      <c r="Z1347">
        <f>indirect(address(1347,25))+indirect(address(1345,26))-indirect(address(1346,26))</f>
        <v>0</v>
      </c>
      <c r="AA1347">
        <f>indirect(address(1347,26))+indirect(address(1345,27))-indirect(address(1346,27))</f>
        <v>0</v>
      </c>
      <c r="AB1347">
        <f>indirect(address(1347,27))+indirect(address(1345,28))-indirect(address(1346,28))</f>
        <v>0</v>
      </c>
      <c r="AC1347">
        <f>indirect(address(1347,28))+indirect(address(1345,29))-indirect(address(1346,29))</f>
        <v>0</v>
      </c>
      <c r="AD1347">
        <f>indirect(address(1347,29))+indirect(address(1345,30))-indirect(address(1346,30))</f>
        <v>0</v>
      </c>
      <c r="AE1347">
        <f>indirect(address(1347,30))+indirect(address(1345,31))-indirect(address(1346,31))</f>
        <v>0</v>
      </c>
      <c r="AF1347">
        <f>indirect(address(1347,31))+indirect(address(1345,32))-indirect(address(1346,32))</f>
        <v>0</v>
      </c>
      <c r="AG1347">
        <f>indirect(address(1347,32))+indirect(address(1345,33))-indirect(address(1346,33))</f>
        <v>0</v>
      </c>
      <c r="AH1347">
        <f>indirect(address(1347,33))+indirect(address(1345,34))-indirect(address(1346,34))</f>
        <v>0</v>
      </c>
      <c r="AI1347">
        <f>indirect(address(1347,34))+indirect(address(1345,35))-indirect(address(1346,35))</f>
        <v>0</v>
      </c>
      <c r="AJ1347">
        <f>indirect(address(1347,35))+indirect(address(1345,36))-indirect(address(1346,36))</f>
        <v>0</v>
      </c>
      <c r="AK1347">
        <f>indirect(address(1347,36))+indirect(address(1345,37))-indirect(address(1346,37))</f>
        <v>0</v>
      </c>
      <c r="AL1347">
        <f>indirect(address(1347,37))+indirect(address(1345,38))-indirect(address(1346,38))</f>
        <v>0</v>
      </c>
      <c r="AM1347">
        <f>indirect(address(1347,38))+indirect(address(1345,39))-indirect(address(1346,39))</f>
        <v>0</v>
      </c>
      <c r="AN1347">
        <f>indirect(address(1347,39))+indirect(address(1345,40))-indirect(address(1346,40))</f>
        <v>0</v>
      </c>
      <c r="AO1347">
        <f>indirect(address(1347,40))+indirect(address(1345,41))-indirect(address(1346,41))</f>
        <v>0</v>
      </c>
    </row>
    <row r="1348" spans="1:41">
      <c r="I1348" t="s">
        <v>14</v>
      </c>
      <c r="AO1348">
        <f>sum(j1348:an1348)</f>
        <v>0</v>
      </c>
    </row>
    <row r="1349" spans="1:41">
      <c r="I1349" t="s">
        <v>15</v>
      </c>
      <c r="J1349">
        <f>sumif(Plan!B:B,"231-010500-000",Plan!j:j)</f>
        <v>0</v>
      </c>
      <c r="K1349">
        <f>sumif(Plan!B:B,"231-010500-000",Plan!k:k)</f>
        <v>0</v>
      </c>
      <c r="L1349">
        <f>sumif(Plan!B:B,"231-010500-000",Plan!l:l)</f>
        <v>0</v>
      </c>
      <c r="M1349">
        <f>sumif(Plan!B:B,"231-010500-000",Plan!m:m)</f>
        <v>0</v>
      </c>
      <c r="N1349">
        <f>sumif(Plan!B:B,"231-010500-000",Plan!n:n)</f>
        <v>0</v>
      </c>
      <c r="O1349">
        <f>sumif(Plan!B:B,"231-010500-000",Plan!o:o)</f>
        <v>0</v>
      </c>
      <c r="P1349">
        <f>sumif(Plan!B:B,"231-010500-000",Plan!p:p)</f>
        <v>0</v>
      </c>
      <c r="Q1349">
        <f>sumif(Plan!B:B,"231-010500-000",Plan!q:q)</f>
        <v>0</v>
      </c>
      <c r="R1349">
        <f>sumif(Plan!B:B,"231-010500-000",Plan!r:r)</f>
        <v>0</v>
      </c>
      <c r="S1349">
        <f>sumif(Plan!B:B,"231-010500-000",Plan!s:s)</f>
        <v>0</v>
      </c>
      <c r="T1349">
        <f>sumif(Plan!B:B,"231-010500-000",Plan!t:t)</f>
        <v>0</v>
      </c>
      <c r="U1349">
        <f>sumif(Plan!B:B,"231-010500-000",Plan!u:u)</f>
        <v>0</v>
      </c>
      <c r="V1349">
        <f>sumif(Plan!B:B,"231-010500-000",Plan!v:v)</f>
        <v>0</v>
      </c>
      <c r="W1349">
        <f>sumif(Plan!B:B,"231-010500-000",Plan!w:w)</f>
        <v>0</v>
      </c>
      <c r="X1349">
        <f>sumif(Plan!B:B,"231-010500-000",Plan!x:x)</f>
        <v>0</v>
      </c>
      <c r="Y1349">
        <f>sumif(Plan!B:B,"231-010500-000",Plan!y:y)</f>
        <v>0</v>
      </c>
      <c r="Z1349">
        <f>sumif(Plan!B:B,"231-010500-000",Plan!z:z)</f>
        <v>0</v>
      </c>
      <c r="AA1349">
        <f>sumif(Plan!B:B,"231-010500-000",Plan!aa:aa)</f>
        <v>0</v>
      </c>
      <c r="AB1349">
        <f>sumif(Plan!B:B,"231-010500-000",Plan!ab:ab)</f>
        <v>0</v>
      </c>
      <c r="AC1349">
        <f>sumif(Plan!B:B,"231-010500-000",Plan!ac:ac)</f>
        <v>0</v>
      </c>
      <c r="AD1349">
        <f>sumif(Plan!B:B,"231-010500-000",Plan!ad:ad)</f>
        <v>0</v>
      </c>
      <c r="AE1349">
        <f>sumif(Plan!B:B,"231-010500-000",Plan!ae:ae)</f>
        <v>0</v>
      </c>
      <c r="AF1349">
        <f>sumif(Plan!B:B,"231-010500-000",Plan!af:af)</f>
        <v>0</v>
      </c>
      <c r="AG1349">
        <f>sumif(Plan!B:B,"231-010500-000",Plan!ag:ag)</f>
        <v>0</v>
      </c>
      <c r="AH1349">
        <f>sumif(Plan!B:B,"231-010500-000",Plan!ah:ah)</f>
        <v>0</v>
      </c>
      <c r="AI1349">
        <f>sumif(Plan!B:B,"231-010500-000",Plan!ai:ai)</f>
        <v>0</v>
      </c>
      <c r="AJ1349">
        <f>sumif(Plan!B:B,"231-010500-000",Plan!aj:aj)</f>
        <v>0</v>
      </c>
      <c r="AK1349">
        <f>sumif(Plan!B:B,"231-010500-000",Plan!ak:ak)</f>
        <v>0</v>
      </c>
      <c r="AL1349">
        <f>sumif(Plan!B:B,"231-010500-000",Plan!al:al)</f>
        <v>0</v>
      </c>
      <c r="AM1349">
        <f>sumif(Plan!B:B,"231-010500-000",Plan!am:am)</f>
        <v>0</v>
      </c>
      <c r="AN1349">
        <f>sumif(Plan!B:B,"231-010500-000",Plan!an:an)</f>
        <v>0</v>
      </c>
      <c r="AO1349">
        <f>sumif(Plan!B:B,"231-010500-000",Plan!ao:ao)</f>
        <v>0</v>
      </c>
    </row>
    <row r="1350" spans="1:41">
      <c r="A1350" t="s">
        <v>22</v>
      </c>
      <c r="B1350" t="s">
        <v>878</v>
      </c>
      <c r="C1350" t="s">
        <v>887</v>
      </c>
      <c r="E1350">
        <v>1</v>
      </c>
      <c r="F1350" t="s">
        <v>13</v>
      </c>
      <c r="H1350" t="s">
        <v>16</v>
      </c>
      <c r="J1350">
        <f>indirect(address(1350,9))+indirect(address(1348,10))-indirect(address(1349,10))</f>
        <v>0</v>
      </c>
      <c r="K1350">
        <f>indirect(address(1350,10))+indirect(address(1348,11))-indirect(address(1349,11))</f>
        <v>0</v>
      </c>
      <c r="L1350">
        <f>indirect(address(1350,11))+indirect(address(1348,12))-indirect(address(1349,12))</f>
        <v>0</v>
      </c>
      <c r="M1350">
        <f>indirect(address(1350,12))+indirect(address(1348,13))-indirect(address(1349,13))</f>
        <v>0</v>
      </c>
      <c r="N1350">
        <f>indirect(address(1350,13))+indirect(address(1348,14))-indirect(address(1349,14))</f>
        <v>0</v>
      </c>
      <c r="O1350">
        <f>indirect(address(1350,14))+indirect(address(1348,15))-indirect(address(1349,15))</f>
        <v>0</v>
      </c>
      <c r="P1350">
        <f>indirect(address(1350,15))+indirect(address(1348,16))-indirect(address(1349,16))</f>
        <v>0</v>
      </c>
      <c r="Q1350">
        <f>indirect(address(1350,16))+indirect(address(1348,17))-indirect(address(1349,17))</f>
        <v>0</v>
      </c>
      <c r="R1350">
        <f>indirect(address(1350,17))+indirect(address(1348,18))-indirect(address(1349,18))</f>
        <v>0</v>
      </c>
      <c r="S1350">
        <f>indirect(address(1350,18))+indirect(address(1348,19))-indirect(address(1349,19))</f>
        <v>0</v>
      </c>
      <c r="T1350">
        <f>indirect(address(1350,19))+indirect(address(1348,20))-indirect(address(1349,20))</f>
        <v>0</v>
      </c>
      <c r="U1350">
        <f>indirect(address(1350,20))+indirect(address(1348,21))-indirect(address(1349,21))</f>
        <v>0</v>
      </c>
      <c r="V1350">
        <f>indirect(address(1350,21))+indirect(address(1348,22))-indirect(address(1349,22))</f>
        <v>0</v>
      </c>
      <c r="W1350">
        <f>indirect(address(1350,22))+indirect(address(1348,23))-indirect(address(1349,23))</f>
        <v>0</v>
      </c>
      <c r="X1350">
        <f>indirect(address(1350,23))+indirect(address(1348,24))-indirect(address(1349,24))</f>
        <v>0</v>
      </c>
      <c r="Y1350">
        <f>indirect(address(1350,24))+indirect(address(1348,25))-indirect(address(1349,25))</f>
        <v>0</v>
      </c>
      <c r="Z1350">
        <f>indirect(address(1350,25))+indirect(address(1348,26))-indirect(address(1349,26))</f>
        <v>0</v>
      </c>
      <c r="AA1350">
        <f>indirect(address(1350,26))+indirect(address(1348,27))-indirect(address(1349,27))</f>
        <v>0</v>
      </c>
      <c r="AB1350">
        <f>indirect(address(1350,27))+indirect(address(1348,28))-indirect(address(1349,28))</f>
        <v>0</v>
      </c>
      <c r="AC1350">
        <f>indirect(address(1350,28))+indirect(address(1348,29))-indirect(address(1349,29))</f>
        <v>0</v>
      </c>
      <c r="AD1350">
        <f>indirect(address(1350,29))+indirect(address(1348,30))-indirect(address(1349,30))</f>
        <v>0</v>
      </c>
      <c r="AE1350">
        <f>indirect(address(1350,30))+indirect(address(1348,31))-indirect(address(1349,31))</f>
        <v>0</v>
      </c>
      <c r="AF1350">
        <f>indirect(address(1350,31))+indirect(address(1348,32))-indirect(address(1349,32))</f>
        <v>0</v>
      </c>
      <c r="AG1350">
        <f>indirect(address(1350,32))+indirect(address(1348,33))-indirect(address(1349,33))</f>
        <v>0</v>
      </c>
      <c r="AH1350">
        <f>indirect(address(1350,33))+indirect(address(1348,34))-indirect(address(1349,34))</f>
        <v>0</v>
      </c>
      <c r="AI1350">
        <f>indirect(address(1350,34))+indirect(address(1348,35))-indirect(address(1349,35))</f>
        <v>0</v>
      </c>
      <c r="AJ1350">
        <f>indirect(address(1350,35))+indirect(address(1348,36))-indirect(address(1349,36))</f>
        <v>0</v>
      </c>
      <c r="AK1350">
        <f>indirect(address(1350,36))+indirect(address(1348,37))-indirect(address(1349,37))</f>
        <v>0</v>
      </c>
      <c r="AL1350">
        <f>indirect(address(1350,37))+indirect(address(1348,38))-indirect(address(1349,38))</f>
        <v>0</v>
      </c>
      <c r="AM1350">
        <f>indirect(address(1350,38))+indirect(address(1348,39))-indirect(address(1349,39))</f>
        <v>0</v>
      </c>
      <c r="AN1350">
        <f>indirect(address(1350,39))+indirect(address(1348,40))-indirect(address(1349,40))</f>
        <v>0</v>
      </c>
      <c r="AO1350">
        <f>indirect(address(1350,40))+indirect(address(1348,41))-indirect(address(1349,41))</f>
        <v>0</v>
      </c>
    </row>
    <row r="1351" spans="1:41">
      <c r="I1351" t="s">
        <v>14</v>
      </c>
      <c r="AO1351">
        <f>sum(j1351:an1351)</f>
        <v>0</v>
      </c>
    </row>
    <row r="1352" spans="1:41">
      <c r="I1352" t="s">
        <v>15</v>
      </c>
      <c r="J1352">
        <f>sumif(Plan!B:B,"231-010000-000",Plan!j:j)</f>
        <v>0</v>
      </c>
      <c r="K1352">
        <f>sumif(Plan!B:B,"231-010000-000",Plan!k:k)</f>
        <v>0</v>
      </c>
      <c r="L1352">
        <f>sumif(Plan!B:B,"231-010000-000",Plan!l:l)</f>
        <v>0</v>
      </c>
      <c r="M1352">
        <f>sumif(Plan!B:B,"231-010000-000",Plan!m:m)</f>
        <v>0</v>
      </c>
      <c r="N1352">
        <f>sumif(Plan!B:B,"231-010000-000",Plan!n:n)</f>
        <v>0</v>
      </c>
      <c r="O1352">
        <f>sumif(Plan!B:B,"231-010000-000",Plan!o:o)</f>
        <v>0</v>
      </c>
      <c r="P1352">
        <f>sumif(Plan!B:B,"231-010000-000",Plan!p:p)</f>
        <v>0</v>
      </c>
      <c r="Q1352">
        <f>sumif(Plan!B:B,"231-010000-000",Plan!q:q)</f>
        <v>0</v>
      </c>
      <c r="R1352">
        <f>sumif(Plan!B:B,"231-010000-000",Plan!r:r)</f>
        <v>0</v>
      </c>
      <c r="S1352">
        <f>sumif(Plan!B:B,"231-010000-000",Plan!s:s)</f>
        <v>0</v>
      </c>
      <c r="T1352">
        <f>sumif(Plan!B:B,"231-010000-000",Plan!t:t)</f>
        <v>0</v>
      </c>
      <c r="U1352">
        <f>sumif(Plan!B:B,"231-010000-000",Plan!u:u)</f>
        <v>0</v>
      </c>
      <c r="V1352">
        <f>sumif(Plan!B:B,"231-010000-000",Plan!v:v)</f>
        <v>0</v>
      </c>
      <c r="W1352">
        <f>sumif(Plan!B:B,"231-010000-000",Plan!w:w)</f>
        <v>0</v>
      </c>
      <c r="X1352">
        <f>sumif(Plan!B:B,"231-010000-000",Plan!x:x)</f>
        <v>0</v>
      </c>
      <c r="Y1352">
        <f>sumif(Plan!B:B,"231-010000-000",Plan!y:y)</f>
        <v>0</v>
      </c>
      <c r="Z1352">
        <f>sumif(Plan!B:B,"231-010000-000",Plan!z:z)</f>
        <v>0</v>
      </c>
      <c r="AA1352">
        <f>sumif(Plan!B:B,"231-010000-000",Plan!aa:aa)</f>
        <v>0</v>
      </c>
      <c r="AB1352">
        <f>sumif(Plan!B:B,"231-010000-000",Plan!ab:ab)</f>
        <v>0</v>
      </c>
      <c r="AC1352">
        <f>sumif(Plan!B:B,"231-010000-000",Plan!ac:ac)</f>
        <v>0</v>
      </c>
      <c r="AD1352">
        <f>sumif(Plan!B:B,"231-010000-000",Plan!ad:ad)</f>
        <v>0</v>
      </c>
      <c r="AE1352">
        <f>sumif(Plan!B:B,"231-010000-000",Plan!ae:ae)</f>
        <v>0</v>
      </c>
      <c r="AF1352">
        <f>sumif(Plan!B:B,"231-010000-000",Plan!af:af)</f>
        <v>0</v>
      </c>
      <c r="AG1352">
        <f>sumif(Plan!B:B,"231-010000-000",Plan!ag:ag)</f>
        <v>0</v>
      </c>
      <c r="AH1352">
        <f>sumif(Plan!B:B,"231-010000-000",Plan!ah:ah)</f>
        <v>0</v>
      </c>
      <c r="AI1352">
        <f>sumif(Plan!B:B,"231-010000-000",Plan!ai:ai)</f>
        <v>0</v>
      </c>
      <c r="AJ1352">
        <f>sumif(Plan!B:B,"231-010000-000",Plan!aj:aj)</f>
        <v>0</v>
      </c>
      <c r="AK1352">
        <f>sumif(Plan!B:B,"231-010000-000",Plan!ak:ak)</f>
        <v>0</v>
      </c>
      <c r="AL1352">
        <f>sumif(Plan!B:B,"231-010000-000",Plan!al:al)</f>
        <v>0</v>
      </c>
      <c r="AM1352">
        <f>sumif(Plan!B:B,"231-010000-000",Plan!am:am)</f>
        <v>0</v>
      </c>
      <c r="AN1352">
        <f>sumif(Plan!B:B,"231-010000-000",Plan!an:an)</f>
        <v>0</v>
      </c>
      <c r="AO1352">
        <f>sumif(Plan!B:B,"231-010000-000",Plan!ao:ao)</f>
        <v>0</v>
      </c>
    </row>
    <row r="1353" spans="1:41">
      <c r="A1353" t="s">
        <v>22</v>
      </c>
      <c r="B1353" t="s">
        <v>870</v>
      </c>
      <c r="C1353" t="s">
        <v>888</v>
      </c>
      <c r="E1353">
        <v>1</v>
      </c>
      <c r="F1353" t="s">
        <v>13</v>
      </c>
      <c r="H1353" t="s">
        <v>16</v>
      </c>
      <c r="J1353">
        <f>indirect(address(1353,9))+indirect(address(1351,10))-indirect(address(1352,10))</f>
        <v>0</v>
      </c>
      <c r="K1353">
        <f>indirect(address(1353,10))+indirect(address(1351,11))-indirect(address(1352,11))</f>
        <v>0</v>
      </c>
      <c r="L1353">
        <f>indirect(address(1353,11))+indirect(address(1351,12))-indirect(address(1352,12))</f>
        <v>0</v>
      </c>
      <c r="M1353">
        <f>indirect(address(1353,12))+indirect(address(1351,13))-indirect(address(1352,13))</f>
        <v>0</v>
      </c>
      <c r="N1353">
        <f>indirect(address(1353,13))+indirect(address(1351,14))-indirect(address(1352,14))</f>
        <v>0</v>
      </c>
      <c r="O1353">
        <f>indirect(address(1353,14))+indirect(address(1351,15))-indirect(address(1352,15))</f>
        <v>0</v>
      </c>
      <c r="P1353">
        <f>indirect(address(1353,15))+indirect(address(1351,16))-indirect(address(1352,16))</f>
        <v>0</v>
      </c>
      <c r="Q1353">
        <f>indirect(address(1353,16))+indirect(address(1351,17))-indirect(address(1352,17))</f>
        <v>0</v>
      </c>
      <c r="R1353">
        <f>indirect(address(1353,17))+indirect(address(1351,18))-indirect(address(1352,18))</f>
        <v>0</v>
      </c>
      <c r="S1353">
        <f>indirect(address(1353,18))+indirect(address(1351,19))-indirect(address(1352,19))</f>
        <v>0</v>
      </c>
      <c r="T1353">
        <f>indirect(address(1353,19))+indirect(address(1351,20))-indirect(address(1352,20))</f>
        <v>0</v>
      </c>
      <c r="U1353">
        <f>indirect(address(1353,20))+indirect(address(1351,21))-indirect(address(1352,21))</f>
        <v>0</v>
      </c>
      <c r="V1353">
        <f>indirect(address(1353,21))+indirect(address(1351,22))-indirect(address(1352,22))</f>
        <v>0</v>
      </c>
      <c r="W1353">
        <f>indirect(address(1353,22))+indirect(address(1351,23))-indirect(address(1352,23))</f>
        <v>0</v>
      </c>
      <c r="X1353">
        <f>indirect(address(1353,23))+indirect(address(1351,24))-indirect(address(1352,24))</f>
        <v>0</v>
      </c>
      <c r="Y1353">
        <f>indirect(address(1353,24))+indirect(address(1351,25))-indirect(address(1352,25))</f>
        <v>0</v>
      </c>
      <c r="Z1353">
        <f>indirect(address(1353,25))+indirect(address(1351,26))-indirect(address(1352,26))</f>
        <v>0</v>
      </c>
      <c r="AA1353">
        <f>indirect(address(1353,26))+indirect(address(1351,27))-indirect(address(1352,27))</f>
        <v>0</v>
      </c>
      <c r="AB1353">
        <f>indirect(address(1353,27))+indirect(address(1351,28))-indirect(address(1352,28))</f>
        <v>0</v>
      </c>
      <c r="AC1353">
        <f>indirect(address(1353,28))+indirect(address(1351,29))-indirect(address(1352,29))</f>
        <v>0</v>
      </c>
      <c r="AD1353">
        <f>indirect(address(1353,29))+indirect(address(1351,30))-indirect(address(1352,30))</f>
        <v>0</v>
      </c>
      <c r="AE1353">
        <f>indirect(address(1353,30))+indirect(address(1351,31))-indirect(address(1352,31))</f>
        <v>0</v>
      </c>
      <c r="AF1353">
        <f>indirect(address(1353,31))+indirect(address(1351,32))-indirect(address(1352,32))</f>
        <v>0</v>
      </c>
      <c r="AG1353">
        <f>indirect(address(1353,32))+indirect(address(1351,33))-indirect(address(1352,33))</f>
        <v>0</v>
      </c>
      <c r="AH1353">
        <f>indirect(address(1353,33))+indirect(address(1351,34))-indirect(address(1352,34))</f>
        <v>0</v>
      </c>
      <c r="AI1353">
        <f>indirect(address(1353,34))+indirect(address(1351,35))-indirect(address(1352,35))</f>
        <v>0</v>
      </c>
      <c r="AJ1353">
        <f>indirect(address(1353,35))+indirect(address(1351,36))-indirect(address(1352,36))</f>
        <v>0</v>
      </c>
      <c r="AK1353">
        <f>indirect(address(1353,36))+indirect(address(1351,37))-indirect(address(1352,37))</f>
        <v>0</v>
      </c>
      <c r="AL1353">
        <f>indirect(address(1353,37))+indirect(address(1351,38))-indirect(address(1352,38))</f>
        <v>0</v>
      </c>
      <c r="AM1353">
        <f>indirect(address(1353,38))+indirect(address(1351,39))-indirect(address(1352,39))</f>
        <v>0</v>
      </c>
      <c r="AN1353">
        <f>indirect(address(1353,39))+indirect(address(1351,40))-indirect(address(1352,40))</f>
        <v>0</v>
      </c>
      <c r="AO1353">
        <f>indirect(address(1353,40))+indirect(address(1351,41))-indirect(address(1352,41))</f>
        <v>0</v>
      </c>
    </row>
    <row r="1354" spans="1:41">
      <c r="I1354" t="s">
        <v>14</v>
      </c>
      <c r="AO1354">
        <f>sum(j1354:an1354)</f>
        <v>0</v>
      </c>
    </row>
    <row r="1355" spans="1:41">
      <c r="I1355" t="s">
        <v>15</v>
      </c>
      <c r="J1355">
        <f>sumif(Plan!B:B,"211-027100-000",Plan!j:j)</f>
        <v>0</v>
      </c>
      <c r="K1355">
        <f>sumif(Plan!B:B,"211-027100-000",Plan!k:k)</f>
        <v>0</v>
      </c>
      <c r="L1355">
        <f>sumif(Plan!B:B,"211-027100-000",Plan!l:l)</f>
        <v>0</v>
      </c>
      <c r="M1355">
        <f>sumif(Plan!B:B,"211-027100-000",Plan!m:m)</f>
        <v>0</v>
      </c>
      <c r="N1355">
        <f>sumif(Plan!B:B,"211-027100-000",Plan!n:n)</f>
        <v>0</v>
      </c>
      <c r="O1355">
        <f>sumif(Plan!B:B,"211-027100-000",Plan!o:o)</f>
        <v>0</v>
      </c>
      <c r="P1355">
        <f>sumif(Plan!B:B,"211-027100-000",Plan!p:p)</f>
        <v>0</v>
      </c>
      <c r="Q1355">
        <f>sumif(Plan!B:B,"211-027100-000",Plan!q:q)</f>
        <v>0</v>
      </c>
      <c r="R1355">
        <f>sumif(Plan!B:B,"211-027100-000",Plan!r:r)</f>
        <v>0</v>
      </c>
      <c r="S1355">
        <f>sumif(Plan!B:B,"211-027100-000",Plan!s:s)</f>
        <v>0</v>
      </c>
      <c r="T1355">
        <f>sumif(Plan!B:B,"211-027100-000",Plan!t:t)</f>
        <v>0</v>
      </c>
      <c r="U1355">
        <f>sumif(Plan!B:B,"211-027100-000",Plan!u:u)</f>
        <v>0</v>
      </c>
      <c r="V1355">
        <f>sumif(Plan!B:B,"211-027100-000",Plan!v:v)</f>
        <v>0</v>
      </c>
      <c r="W1355">
        <f>sumif(Plan!B:B,"211-027100-000",Plan!w:w)</f>
        <v>0</v>
      </c>
      <c r="X1355">
        <f>sumif(Plan!B:B,"211-027100-000",Plan!x:x)</f>
        <v>0</v>
      </c>
      <c r="Y1355">
        <f>sumif(Plan!B:B,"211-027100-000",Plan!y:y)</f>
        <v>0</v>
      </c>
      <c r="Z1355">
        <f>sumif(Plan!B:B,"211-027100-000",Plan!z:z)</f>
        <v>0</v>
      </c>
      <c r="AA1355">
        <f>sumif(Plan!B:B,"211-027100-000",Plan!aa:aa)</f>
        <v>0</v>
      </c>
      <c r="AB1355">
        <f>sumif(Plan!B:B,"211-027100-000",Plan!ab:ab)</f>
        <v>0</v>
      </c>
      <c r="AC1355">
        <f>sumif(Plan!B:B,"211-027100-000",Plan!ac:ac)</f>
        <v>0</v>
      </c>
      <c r="AD1355">
        <f>sumif(Plan!B:B,"211-027100-000",Plan!ad:ad)</f>
        <v>0</v>
      </c>
      <c r="AE1355">
        <f>sumif(Plan!B:B,"211-027100-000",Plan!ae:ae)</f>
        <v>0</v>
      </c>
      <c r="AF1355">
        <f>sumif(Plan!B:B,"211-027100-000",Plan!af:af)</f>
        <v>0</v>
      </c>
      <c r="AG1355">
        <f>sumif(Plan!B:B,"211-027100-000",Plan!ag:ag)</f>
        <v>0</v>
      </c>
      <c r="AH1355">
        <f>sumif(Plan!B:B,"211-027100-000",Plan!ah:ah)</f>
        <v>0</v>
      </c>
      <c r="AI1355">
        <f>sumif(Plan!B:B,"211-027100-000",Plan!ai:ai)</f>
        <v>0</v>
      </c>
      <c r="AJ1355">
        <f>sumif(Plan!B:B,"211-027100-000",Plan!aj:aj)</f>
        <v>0</v>
      </c>
      <c r="AK1355">
        <f>sumif(Plan!B:B,"211-027100-000",Plan!ak:ak)</f>
        <v>0</v>
      </c>
      <c r="AL1355">
        <f>sumif(Plan!B:B,"211-027100-000",Plan!al:al)</f>
        <v>0</v>
      </c>
      <c r="AM1355">
        <f>sumif(Plan!B:B,"211-027100-000",Plan!am:am)</f>
        <v>0</v>
      </c>
      <c r="AN1355">
        <f>sumif(Plan!B:B,"211-027100-000",Plan!an:an)</f>
        <v>0</v>
      </c>
      <c r="AO1355">
        <f>sumif(Plan!B:B,"211-027100-000",Plan!ao:ao)</f>
        <v>0</v>
      </c>
    </row>
    <row r="1356" spans="1:41">
      <c r="A1356" t="s">
        <v>22</v>
      </c>
      <c r="B1356" t="s">
        <v>889</v>
      </c>
      <c r="C1356" t="s">
        <v>890</v>
      </c>
      <c r="E1356">
        <v>2</v>
      </c>
      <c r="F1356" t="s">
        <v>13</v>
      </c>
      <c r="H1356" t="s">
        <v>16</v>
      </c>
      <c r="J1356">
        <f>indirect(address(1356,9))+indirect(address(1354,10))-indirect(address(1355,10))</f>
        <v>0</v>
      </c>
      <c r="K1356">
        <f>indirect(address(1356,10))+indirect(address(1354,11))-indirect(address(1355,11))</f>
        <v>0</v>
      </c>
      <c r="L1356">
        <f>indirect(address(1356,11))+indirect(address(1354,12))-indirect(address(1355,12))</f>
        <v>0</v>
      </c>
      <c r="M1356">
        <f>indirect(address(1356,12))+indirect(address(1354,13))-indirect(address(1355,13))</f>
        <v>0</v>
      </c>
      <c r="N1356">
        <f>indirect(address(1356,13))+indirect(address(1354,14))-indirect(address(1355,14))</f>
        <v>0</v>
      </c>
      <c r="O1356">
        <f>indirect(address(1356,14))+indirect(address(1354,15))-indirect(address(1355,15))</f>
        <v>0</v>
      </c>
      <c r="P1356">
        <f>indirect(address(1356,15))+indirect(address(1354,16))-indirect(address(1355,16))</f>
        <v>0</v>
      </c>
      <c r="Q1356">
        <f>indirect(address(1356,16))+indirect(address(1354,17))-indirect(address(1355,17))</f>
        <v>0</v>
      </c>
      <c r="R1356">
        <f>indirect(address(1356,17))+indirect(address(1354,18))-indirect(address(1355,18))</f>
        <v>0</v>
      </c>
      <c r="S1356">
        <f>indirect(address(1356,18))+indirect(address(1354,19))-indirect(address(1355,19))</f>
        <v>0</v>
      </c>
      <c r="T1356">
        <f>indirect(address(1356,19))+indirect(address(1354,20))-indirect(address(1355,20))</f>
        <v>0</v>
      </c>
      <c r="U1356">
        <f>indirect(address(1356,20))+indirect(address(1354,21))-indirect(address(1355,21))</f>
        <v>0</v>
      </c>
      <c r="V1356">
        <f>indirect(address(1356,21))+indirect(address(1354,22))-indirect(address(1355,22))</f>
        <v>0</v>
      </c>
      <c r="W1356">
        <f>indirect(address(1356,22))+indirect(address(1354,23))-indirect(address(1355,23))</f>
        <v>0</v>
      </c>
      <c r="X1356">
        <f>indirect(address(1356,23))+indirect(address(1354,24))-indirect(address(1355,24))</f>
        <v>0</v>
      </c>
      <c r="Y1356">
        <f>indirect(address(1356,24))+indirect(address(1354,25))-indirect(address(1355,25))</f>
        <v>0</v>
      </c>
      <c r="Z1356">
        <f>indirect(address(1356,25))+indirect(address(1354,26))-indirect(address(1355,26))</f>
        <v>0</v>
      </c>
      <c r="AA1356">
        <f>indirect(address(1356,26))+indirect(address(1354,27))-indirect(address(1355,27))</f>
        <v>0</v>
      </c>
      <c r="AB1356">
        <f>indirect(address(1356,27))+indirect(address(1354,28))-indirect(address(1355,28))</f>
        <v>0</v>
      </c>
      <c r="AC1356">
        <f>indirect(address(1356,28))+indirect(address(1354,29))-indirect(address(1355,29))</f>
        <v>0</v>
      </c>
      <c r="AD1356">
        <f>indirect(address(1356,29))+indirect(address(1354,30))-indirect(address(1355,30))</f>
        <v>0</v>
      </c>
      <c r="AE1356">
        <f>indirect(address(1356,30))+indirect(address(1354,31))-indirect(address(1355,31))</f>
        <v>0</v>
      </c>
      <c r="AF1356">
        <f>indirect(address(1356,31))+indirect(address(1354,32))-indirect(address(1355,32))</f>
        <v>0</v>
      </c>
      <c r="AG1356">
        <f>indirect(address(1356,32))+indirect(address(1354,33))-indirect(address(1355,33))</f>
        <v>0</v>
      </c>
      <c r="AH1356">
        <f>indirect(address(1356,33))+indirect(address(1354,34))-indirect(address(1355,34))</f>
        <v>0</v>
      </c>
      <c r="AI1356">
        <f>indirect(address(1356,34))+indirect(address(1354,35))-indirect(address(1355,35))</f>
        <v>0</v>
      </c>
      <c r="AJ1356">
        <f>indirect(address(1356,35))+indirect(address(1354,36))-indirect(address(1355,36))</f>
        <v>0</v>
      </c>
      <c r="AK1356">
        <f>indirect(address(1356,36))+indirect(address(1354,37))-indirect(address(1355,37))</f>
        <v>0</v>
      </c>
      <c r="AL1356">
        <f>indirect(address(1356,37))+indirect(address(1354,38))-indirect(address(1355,38))</f>
        <v>0</v>
      </c>
      <c r="AM1356">
        <f>indirect(address(1356,38))+indirect(address(1354,39))-indirect(address(1355,39))</f>
        <v>0</v>
      </c>
      <c r="AN1356">
        <f>indirect(address(1356,39))+indirect(address(1354,40))-indirect(address(1355,40))</f>
        <v>0</v>
      </c>
      <c r="AO1356">
        <f>indirect(address(1356,40))+indirect(address(1354,41))-indirect(address(1355,41))</f>
        <v>0</v>
      </c>
    </row>
    <row r="1357" spans="1:41">
      <c r="I1357" t="s">
        <v>14</v>
      </c>
      <c r="AO1357">
        <f>sum(j1357:an1357)</f>
        <v>0</v>
      </c>
    </row>
    <row r="1358" spans="1:41">
      <c r="I1358" t="s">
        <v>15</v>
      </c>
      <c r="J1358">
        <f>sumif(Plan!B:B,"231-010200-000",Plan!j:j)</f>
        <v>0</v>
      </c>
      <c r="K1358">
        <f>sumif(Plan!B:B,"231-010200-000",Plan!k:k)</f>
        <v>0</v>
      </c>
      <c r="L1358">
        <f>sumif(Plan!B:B,"231-010200-000",Plan!l:l)</f>
        <v>0</v>
      </c>
      <c r="M1358">
        <f>sumif(Plan!B:B,"231-010200-000",Plan!m:m)</f>
        <v>0</v>
      </c>
      <c r="N1358">
        <f>sumif(Plan!B:B,"231-010200-000",Plan!n:n)</f>
        <v>0</v>
      </c>
      <c r="O1358">
        <f>sumif(Plan!B:B,"231-010200-000",Plan!o:o)</f>
        <v>0</v>
      </c>
      <c r="P1358">
        <f>sumif(Plan!B:B,"231-010200-000",Plan!p:p)</f>
        <v>0</v>
      </c>
      <c r="Q1358">
        <f>sumif(Plan!B:B,"231-010200-000",Plan!q:q)</f>
        <v>0</v>
      </c>
      <c r="R1358">
        <f>sumif(Plan!B:B,"231-010200-000",Plan!r:r)</f>
        <v>0</v>
      </c>
      <c r="S1358">
        <f>sumif(Plan!B:B,"231-010200-000",Plan!s:s)</f>
        <v>0</v>
      </c>
      <c r="T1358">
        <f>sumif(Plan!B:B,"231-010200-000",Plan!t:t)</f>
        <v>0</v>
      </c>
      <c r="U1358">
        <f>sumif(Plan!B:B,"231-010200-000",Plan!u:u)</f>
        <v>0</v>
      </c>
      <c r="V1358">
        <f>sumif(Plan!B:B,"231-010200-000",Plan!v:v)</f>
        <v>0</v>
      </c>
      <c r="W1358">
        <f>sumif(Plan!B:B,"231-010200-000",Plan!w:w)</f>
        <v>0</v>
      </c>
      <c r="X1358">
        <f>sumif(Plan!B:B,"231-010200-000",Plan!x:x)</f>
        <v>0</v>
      </c>
      <c r="Y1358">
        <f>sumif(Plan!B:B,"231-010200-000",Plan!y:y)</f>
        <v>0</v>
      </c>
      <c r="Z1358">
        <f>sumif(Plan!B:B,"231-010200-000",Plan!z:z)</f>
        <v>0</v>
      </c>
      <c r="AA1358">
        <f>sumif(Plan!B:B,"231-010200-000",Plan!aa:aa)</f>
        <v>0</v>
      </c>
      <c r="AB1358">
        <f>sumif(Plan!B:B,"231-010200-000",Plan!ab:ab)</f>
        <v>0</v>
      </c>
      <c r="AC1358">
        <f>sumif(Plan!B:B,"231-010200-000",Plan!ac:ac)</f>
        <v>0</v>
      </c>
      <c r="AD1358">
        <f>sumif(Plan!B:B,"231-010200-000",Plan!ad:ad)</f>
        <v>0</v>
      </c>
      <c r="AE1358">
        <f>sumif(Plan!B:B,"231-010200-000",Plan!ae:ae)</f>
        <v>0</v>
      </c>
      <c r="AF1358">
        <f>sumif(Plan!B:B,"231-010200-000",Plan!af:af)</f>
        <v>0</v>
      </c>
      <c r="AG1358">
        <f>sumif(Plan!B:B,"231-010200-000",Plan!ag:ag)</f>
        <v>0</v>
      </c>
      <c r="AH1358">
        <f>sumif(Plan!B:B,"231-010200-000",Plan!ah:ah)</f>
        <v>0</v>
      </c>
      <c r="AI1358">
        <f>sumif(Plan!B:B,"231-010200-000",Plan!ai:ai)</f>
        <v>0</v>
      </c>
      <c r="AJ1358">
        <f>sumif(Plan!B:B,"231-010200-000",Plan!aj:aj)</f>
        <v>0</v>
      </c>
      <c r="AK1358">
        <f>sumif(Plan!B:B,"231-010200-000",Plan!ak:ak)</f>
        <v>0</v>
      </c>
      <c r="AL1358">
        <f>sumif(Plan!B:B,"231-010200-000",Plan!al:al)</f>
        <v>0</v>
      </c>
      <c r="AM1358">
        <f>sumif(Plan!B:B,"231-010200-000",Plan!am:am)</f>
        <v>0</v>
      </c>
      <c r="AN1358">
        <f>sumif(Plan!B:B,"231-010200-000",Plan!an:an)</f>
        <v>0</v>
      </c>
      <c r="AO1358">
        <f>sumif(Plan!B:B,"231-010200-000",Plan!ao:ao)</f>
        <v>0</v>
      </c>
    </row>
    <row r="1359" spans="1:41">
      <c r="A1359" t="s">
        <v>22</v>
      </c>
      <c r="B1359" t="s">
        <v>874</v>
      </c>
      <c r="C1359" t="s">
        <v>891</v>
      </c>
      <c r="E1359">
        <v>2</v>
      </c>
      <c r="F1359" t="s">
        <v>13</v>
      </c>
      <c r="H1359" t="s">
        <v>16</v>
      </c>
      <c r="J1359">
        <f>indirect(address(1359,9))+indirect(address(1357,10))-indirect(address(1358,10))</f>
        <v>0</v>
      </c>
      <c r="K1359">
        <f>indirect(address(1359,10))+indirect(address(1357,11))-indirect(address(1358,11))</f>
        <v>0</v>
      </c>
      <c r="L1359">
        <f>indirect(address(1359,11))+indirect(address(1357,12))-indirect(address(1358,12))</f>
        <v>0</v>
      </c>
      <c r="M1359">
        <f>indirect(address(1359,12))+indirect(address(1357,13))-indirect(address(1358,13))</f>
        <v>0</v>
      </c>
      <c r="N1359">
        <f>indirect(address(1359,13))+indirect(address(1357,14))-indirect(address(1358,14))</f>
        <v>0</v>
      </c>
      <c r="O1359">
        <f>indirect(address(1359,14))+indirect(address(1357,15))-indirect(address(1358,15))</f>
        <v>0</v>
      </c>
      <c r="P1359">
        <f>indirect(address(1359,15))+indirect(address(1357,16))-indirect(address(1358,16))</f>
        <v>0</v>
      </c>
      <c r="Q1359">
        <f>indirect(address(1359,16))+indirect(address(1357,17))-indirect(address(1358,17))</f>
        <v>0</v>
      </c>
      <c r="R1359">
        <f>indirect(address(1359,17))+indirect(address(1357,18))-indirect(address(1358,18))</f>
        <v>0</v>
      </c>
      <c r="S1359">
        <f>indirect(address(1359,18))+indirect(address(1357,19))-indirect(address(1358,19))</f>
        <v>0</v>
      </c>
      <c r="T1359">
        <f>indirect(address(1359,19))+indirect(address(1357,20))-indirect(address(1358,20))</f>
        <v>0</v>
      </c>
      <c r="U1359">
        <f>indirect(address(1359,20))+indirect(address(1357,21))-indirect(address(1358,21))</f>
        <v>0</v>
      </c>
      <c r="V1359">
        <f>indirect(address(1359,21))+indirect(address(1357,22))-indirect(address(1358,22))</f>
        <v>0</v>
      </c>
      <c r="W1359">
        <f>indirect(address(1359,22))+indirect(address(1357,23))-indirect(address(1358,23))</f>
        <v>0</v>
      </c>
      <c r="X1359">
        <f>indirect(address(1359,23))+indirect(address(1357,24))-indirect(address(1358,24))</f>
        <v>0</v>
      </c>
      <c r="Y1359">
        <f>indirect(address(1359,24))+indirect(address(1357,25))-indirect(address(1358,25))</f>
        <v>0</v>
      </c>
      <c r="Z1359">
        <f>indirect(address(1359,25))+indirect(address(1357,26))-indirect(address(1358,26))</f>
        <v>0</v>
      </c>
      <c r="AA1359">
        <f>indirect(address(1359,26))+indirect(address(1357,27))-indirect(address(1358,27))</f>
        <v>0</v>
      </c>
      <c r="AB1359">
        <f>indirect(address(1359,27))+indirect(address(1357,28))-indirect(address(1358,28))</f>
        <v>0</v>
      </c>
      <c r="AC1359">
        <f>indirect(address(1359,28))+indirect(address(1357,29))-indirect(address(1358,29))</f>
        <v>0</v>
      </c>
      <c r="AD1359">
        <f>indirect(address(1359,29))+indirect(address(1357,30))-indirect(address(1358,30))</f>
        <v>0</v>
      </c>
      <c r="AE1359">
        <f>indirect(address(1359,30))+indirect(address(1357,31))-indirect(address(1358,31))</f>
        <v>0</v>
      </c>
      <c r="AF1359">
        <f>indirect(address(1359,31))+indirect(address(1357,32))-indirect(address(1358,32))</f>
        <v>0</v>
      </c>
      <c r="AG1359">
        <f>indirect(address(1359,32))+indirect(address(1357,33))-indirect(address(1358,33))</f>
        <v>0</v>
      </c>
      <c r="AH1359">
        <f>indirect(address(1359,33))+indirect(address(1357,34))-indirect(address(1358,34))</f>
        <v>0</v>
      </c>
      <c r="AI1359">
        <f>indirect(address(1359,34))+indirect(address(1357,35))-indirect(address(1358,35))</f>
        <v>0</v>
      </c>
      <c r="AJ1359">
        <f>indirect(address(1359,35))+indirect(address(1357,36))-indirect(address(1358,36))</f>
        <v>0</v>
      </c>
      <c r="AK1359">
        <f>indirect(address(1359,36))+indirect(address(1357,37))-indirect(address(1358,37))</f>
        <v>0</v>
      </c>
      <c r="AL1359">
        <f>indirect(address(1359,37))+indirect(address(1357,38))-indirect(address(1358,38))</f>
        <v>0</v>
      </c>
      <c r="AM1359">
        <f>indirect(address(1359,38))+indirect(address(1357,39))-indirect(address(1358,39))</f>
        <v>0</v>
      </c>
      <c r="AN1359">
        <f>indirect(address(1359,39))+indirect(address(1357,40))-indirect(address(1358,40))</f>
        <v>0</v>
      </c>
      <c r="AO1359">
        <f>indirect(address(1359,40))+indirect(address(1357,41))-indirect(address(1358,41))</f>
        <v>0</v>
      </c>
    </row>
    <row r="1360" spans="1:41">
      <c r="I1360" t="s">
        <v>14</v>
      </c>
      <c r="AO1360">
        <f>sum(j1360:an1360)</f>
        <v>0</v>
      </c>
    </row>
    <row r="1361" spans="1:41">
      <c r="I1361" t="s">
        <v>15</v>
      </c>
      <c r="J1361">
        <f>sumif(Plan!B:B,"221-027300-000",Plan!j:j)</f>
        <v>0</v>
      </c>
      <c r="K1361">
        <f>sumif(Plan!B:B,"221-027300-000",Plan!k:k)</f>
        <v>0</v>
      </c>
      <c r="L1361">
        <f>sumif(Plan!B:B,"221-027300-000",Plan!l:l)</f>
        <v>0</v>
      </c>
      <c r="M1361">
        <f>sumif(Plan!B:B,"221-027300-000",Plan!m:m)</f>
        <v>0</v>
      </c>
      <c r="N1361">
        <f>sumif(Plan!B:B,"221-027300-000",Plan!n:n)</f>
        <v>0</v>
      </c>
      <c r="O1361">
        <f>sumif(Plan!B:B,"221-027300-000",Plan!o:o)</f>
        <v>0</v>
      </c>
      <c r="P1361">
        <f>sumif(Plan!B:B,"221-027300-000",Plan!p:p)</f>
        <v>0</v>
      </c>
      <c r="Q1361">
        <f>sumif(Plan!B:B,"221-027300-000",Plan!q:q)</f>
        <v>0</v>
      </c>
      <c r="R1361">
        <f>sumif(Plan!B:B,"221-027300-000",Plan!r:r)</f>
        <v>0</v>
      </c>
      <c r="S1361">
        <f>sumif(Plan!B:B,"221-027300-000",Plan!s:s)</f>
        <v>0</v>
      </c>
      <c r="T1361">
        <f>sumif(Plan!B:B,"221-027300-000",Plan!t:t)</f>
        <v>0</v>
      </c>
      <c r="U1361">
        <f>sumif(Plan!B:B,"221-027300-000",Plan!u:u)</f>
        <v>0</v>
      </c>
      <c r="V1361">
        <f>sumif(Plan!B:B,"221-027300-000",Plan!v:v)</f>
        <v>0</v>
      </c>
      <c r="W1361">
        <f>sumif(Plan!B:B,"221-027300-000",Plan!w:w)</f>
        <v>0</v>
      </c>
      <c r="X1361">
        <f>sumif(Plan!B:B,"221-027300-000",Plan!x:x)</f>
        <v>0</v>
      </c>
      <c r="Y1361">
        <f>sumif(Plan!B:B,"221-027300-000",Plan!y:y)</f>
        <v>0</v>
      </c>
      <c r="Z1361">
        <f>sumif(Plan!B:B,"221-027300-000",Plan!z:z)</f>
        <v>0</v>
      </c>
      <c r="AA1361">
        <f>sumif(Plan!B:B,"221-027300-000",Plan!aa:aa)</f>
        <v>0</v>
      </c>
      <c r="AB1361">
        <f>sumif(Plan!B:B,"221-027300-000",Plan!ab:ab)</f>
        <v>0</v>
      </c>
      <c r="AC1361">
        <f>sumif(Plan!B:B,"221-027300-000",Plan!ac:ac)</f>
        <v>0</v>
      </c>
      <c r="AD1361">
        <f>sumif(Plan!B:B,"221-027300-000",Plan!ad:ad)</f>
        <v>0</v>
      </c>
      <c r="AE1361">
        <f>sumif(Plan!B:B,"221-027300-000",Plan!ae:ae)</f>
        <v>0</v>
      </c>
      <c r="AF1361">
        <f>sumif(Plan!B:B,"221-027300-000",Plan!af:af)</f>
        <v>0</v>
      </c>
      <c r="AG1361">
        <f>sumif(Plan!B:B,"221-027300-000",Plan!ag:ag)</f>
        <v>0</v>
      </c>
      <c r="AH1361">
        <f>sumif(Plan!B:B,"221-027300-000",Plan!ah:ah)</f>
        <v>0</v>
      </c>
      <c r="AI1361">
        <f>sumif(Plan!B:B,"221-027300-000",Plan!ai:ai)</f>
        <v>0</v>
      </c>
      <c r="AJ1361">
        <f>sumif(Plan!B:B,"221-027300-000",Plan!aj:aj)</f>
        <v>0</v>
      </c>
      <c r="AK1361">
        <f>sumif(Plan!B:B,"221-027300-000",Plan!ak:ak)</f>
        <v>0</v>
      </c>
      <c r="AL1361">
        <f>sumif(Plan!B:B,"221-027300-000",Plan!al:al)</f>
        <v>0</v>
      </c>
      <c r="AM1361">
        <f>sumif(Plan!B:B,"221-027300-000",Plan!am:am)</f>
        <v>0</v>
      </c>
      <c r="AN1361">
        <f>sumif(Plan!B:B,"221-027300-000",Plan!an:an)</f>
        <v>0</v>
      </c>
      <c r="AO1361">
        <f>sumif(Plan!B:B,"221-027300-000",Plan!ao:ao)</f>
        <v>0</v>
      </c>
    </row>
    <row r="1362" spans="1:41">
      <c r="A1362" t="s">
        <v>22</v>
      </c>
      <c r="B1362" t="s">
        <v>892</v>
      </c>
      <c r="C1362" t="s">
        <v>893</v>
      </c>
      <c r="E1362">
        <v>1</v>
      </c>
      <c r="F1362" t="s">
        <v>13</v>
      </c>
      <c r="H1362" t="s">
        <v>16</v>
      </c>
      <c r="J1362">
        <f>indirect(address(1362,9))+indirect(address(1360,10))-indirect(address(1361,10))</f>
        <v>0</v>
      </c>
      <c r="K1362">
        <f>indirect(address(1362,10))+indirect(address(1360,11))-indirect(address(1361,11))</f>
        <v>0</v>
      </c>
      <c r="L1362">
        <f>indirect(address(1362,11))+indirect(address(1360,12))-indirect(address(1361,12))</f>
        <v>0</v>
      </c>
      <c r="M1362">
        <f>indirect(address(1362,12))+indirect(address(1360,13))-indirect(address(1361,13))</f>
        <v>0</v>
      </c>
      <c r="N1362">
        <f>indirect(address(1362,13))+indirect(address(1360,14))-indirect(address(1361,14))</f>
        <v>0</v>
      </c>
      <c r="O1362">
        <f>indirect(address(1362,14))+indirect(address(1360,15))-indirect(address(1361,15))</f>
        <v>0</v>
      </c>
      <c r="P1362">
        <f>indirect(address(1362,15))+indirect(address(1360,16))-indirect(address(1361,16))</f>
        <v>0</v>
      </c>
      <c r="Q1362">
        <f>indirect(address(1362,16))+indirect(address(1360,17))-indirect(address(1361,17))</f>
        <v>0</v>
      </c>
      <c r="R1362">
        <f>indirect(address(1362,17))+indirect(address(1360,18))-indirect(address(1361,18))</f>
        <v>0</v>
      </c>
      <c r="S1362">
        <f>indirect(address(1362,18))+indirect(address(1360,19))-indirect(address(1361,19))</f>
        <v>0</v>
      </c>
      <c r="T1362">
        <f>indirect(address(1362,19))+indirect(address(1360,20))-indirect(address(1361,20))</f>
        <v>0</v>
      </c>
      <c r="U1362">
        <f>indirect(address(1362,20))+indirect(address(1360,21))-indirect(address(1361,21))</f>
        <v>0</v>
      </c>
      <c r="V1362">
        <f>indirect(address(1362,21))+indirect(address(1360,22))-indirect(address(1361,22))</f>
        <v>0</v>
      </c>
      <c r="W1362">
        <f>indirect(address(1362,22))+indirect(address(1360,23))-indirect(address(1361,23))</f>
        <v>0</v>
      </c>
      <c r="X1362">
        <f>indirect(address(1362,23))+indirect(address(1360,24))-indirect(address(1361,24))</f>
        <v>0</v>
      </c>
      <c r="Y1362">
        <f>indirect(address(1362,24))+indirect(address(1360,25))-indirect(address(1361,25))</f>
        <v>0</v>
      </c>
      <c r="Z1362">
        <f>indirect(address(1362,25))+indirect(address(1360,26))-indirect(address(1361,26))</f>
        <v>0</v>
      </c>
      <c r="AA1362">
        <f>indirect(address(1362,26))+indirect(address(1360,27))-indirect(address(1361,27))</f>
        <v>0</v>
      </c>
      <c r="AB1362">
        <f>indirect(address(1362,27))+indirect(address(1360,28))-indirect(address(1361,28))</f>
        <v>0</v>
      </c>
      <c r="AC1362">
        <f>indirect(address(1362,28))+indirect(address(1360,29))-indirect(address(1361,29))</f>
        <v>0</v>
      </c>
      <c r="AD1362">
        <f>indirect(address(1362,29))+indirect(address(1360,30))-indirect(address(1361,30))</f>
        <v>0</v>
      </c>
      <c r="AE1362">
        <f>indirect(address(1362,30))+indirect(address(1360,31))-indirect(address(1361,31))</f>
        <v>0</v>
      </c>
      <c r="AF1362">
        <f>indirect(address(1362,31))+indirect(address(1360,32))-indirect(address(1361,32))</f>
        <v>0</v>
      </c>
      <c r="AG1362">
        <f>indirect(address(1362,32))+indirect(address(1360,33))-indirect(address(1361,33))</f>
        <v>0</v>
      </c>
      <c r="AH1362">
        <f>indirect(address(1362,33))+indirect(address(1360,34))-indirect(address(1361,34))</f>
        <v>0</v>
      </c>
      <c r="AI1362">
        <f>indirect(address(1362,34))+indirect(address(1360,35))-indirect(address(1361,35))</f>
        <v>0</v>
      </c>
      <c r="AJ1362">
        <f>indirect(address(1362,35))+indirect(address(1360,36))-indirect(address(1361,36))</f>
        <v>0</v>
      </c>
      <c r="AK1362">
        <f>indirect(address(1362,36))+indirect(address(1360,37))-indirect(address(1361,37))</f>
        <v>0</v>
      </c>
      <c r="AL1362">
        <f>indirect(address(1362,37))+indirect(address(1360,38))-indirect(address(1361,38))</f>
        <v>0</v>
      </c>
      <c r="AM1362">
        <f>indirect(address(1362,38))+indirect(address(1360,39))-indirect(address(1361,39))</f>
        <v>0</v>
      </c>
      <c r="AN1362">
        <f>indirect(address(1362,39))+indirect(address(1360,40))-indirect(address(1361,40))</f>
        <v>0</v>
      </c>
      <c r="AO1362">
        <f>indirect(address(1362,40))+indirect(address(1360,41))-indirect(address(1361,41))</f>
        <v>0</v>
      </c>
    </row>
    <row r="1363" spans="1:41">
      <c r="I1363" t="s">
        <v>14</v>
      </c>
      <c r="AO1363">
        <f>sum(j1363:an1363)</f>
        <v>0</v>
      </c>
    </row>
    <row r="1364" spans="1:41">
      <c r="I1364" t="s">
        <v>15</v>
      </c>
      <c r="J1364">
        <f>sumif(Plan!B:B,"906-484000-000",Plan!j:j)</f>
        <v>0</v>
      </c>
      <c r="K1364">
        <f>sumif(Plan!B:B,"906-484000-000",Plan!k:k)</f>
        <v>0</v>
      </c>
      <c r="L1364">
        <f>sumif(Plan!B:B,"906-484000-000",Plan!l:l)</f>
        <v>0</v>
      </c>
      <c r="M1364">
        <f>sumif(Plan!B:B,"906-484000-000",Plan!m:m)</f>
        <v>0</v>
      </c>
      <c r="N1364">
        <f>sumif(Plan!B:B,"906-484000-000",Plan!n:n)</f>
        <v>0</v>
      </c>
      <c r="O1364">
        <f>sumif(Plan!B:B,"906-484000-000",Plan!o:o)</f>
        <v>0</v>
      </c>
      <c r="P1364">
        <f>sumif(Plan!B:B,"906-484000-000",Plan!p:p)</f>
        <v>0</v>
      </c>
      <c r="Q1364">
        <f>sumif(Plan!B:B,"906-484000-000",Plan!q:q)</f>
        <v>0</v>
      </c>
      <c r="R1364">
        <f>sumif(Plan!B:B,"906-484000-000",Plan!r:r)</f>
        <v>0</v>
      </c>
      <c r="S1364">
        <f>sumif(Plan!B:B,"906-484000-000",Plan!s:s)</f>
        <v>0</v>
      </c>
      <c r="T1364">
        <f>sumif(Plan!B:B,"906-484000-000",Plan!t:t)</f>
        <v>0</v>
      </c>
      <c r="U1364">
        <f>sumif(Plan!B:B,"906-484000-000",Plan!u:u)</f>
        <v>0</v>
      </c>
      <c r="V1364">
        <f>sumif(Plan!B:B,"906-484000-000",Plan!v:v)</f>
        <v>0</v>
      </c>
      <c r="W1364">
        <f>sumif(Plan!B:B,"906-484000-000",Plan!w:w)</f>
        <v>0</v>
      </c>
      <c r="X1364">
        <f>sumif(Plan!B:B,"906-484000-000",Plan!x:x)</f>
        <v>0</v>
      </c>
      <c r="Y1364">
        <f>sumif(Plan!B:B,"906-484000-000",Plan!y:y)</f>
        <v>0</v>
      </c>
      <c r="Z1364">
        <f>sumif(Plan!B:B,"906-484000-000",Plan!z:z)</f>
        <v>0</v>
      </c>
      <c r="AA1364">
        <f>sumif(Plan!B:B,"906-484000-000",Plan!aa:aa)</f>
        <v>0</v>
      </c>
      <c r="AB1364">
        <f>sumif(Plan!B:B,"906-484000-000",Plan!ab:ab)</f>
        <v>0</v>
      </c>
      <c r="AC1364">
        <f>sumif(Plan!B:B,"906-484000-000",Plan!ac:ac)</f>
        <v>0</v>
      </c>
      <c r="AD1364">
        <f>sumif(Plan!B:B,"906-484000-000",Plan!ad:ad)</f>
        <v>0</v>
      </c>
      <c r="AE1364">
        <f>sumif(Plan!B:B,"906-484000-000",Plan!ae:ae)</f>
        <v>0</v>
      </c>
      <c r="AF1364">
        <f>sumif(Plan!B:B,"906-484000-000",Plan!af:af)</f>
        <v>0</v>
      </c>
      <c r="AG1364">
        <f>sumif(Plan!B:B,"906-484000-000",Plan!ag:ag)</f>
        <v>0</v>
      </c>
      <c r="AH1364">
        <f>sumif(Plan!B:B,"906-484000-000",Plan!ah:ah)</f>
        <v>0</v>
      </c>
      <c r="AI1364">
        <f>sumif(Plan!B:B,"906-484000-000",Plan!ai:ai)</f>
        <v>0</v>
      </c>
      <c r="AJ1364">
        <f>sumif(Plan!B:B,"906-484000-000",Plan!aj:aj)</f>
        <v>0</v>
      </c>
      <c r="AK1364">
        <f>sumif(Plan!B:B,"906-484000-000",Plan!ak:ak)</f>
        <v>0</v>
      </c>
      <c r="AL1364">
        <f>sumif(Plan!B:B,"906-484000-000",Plan!al:al)</f>
        <v>0</v>
      </c>
      <c r="AM1364">
        <f>sumif(Plan!B:B,"906-484000-000",Plan!am:am)</f>
        <v>0</v>
      </c>
      <c r="AN1364">
        <f>sumif(Plan!B:B,"906-484000-000",Plan!an:an)</f>
        <v>0</v>
      </c>
      <c r="AO1364">
        <f>sumif(Plan!B:B,"906-484000-000",Plan!ao:ao)</f>
        <v>0</v>
      </c>
    </row>
    <row r="1365" spans="1:41">
      <c r="A1365" t="s">
        <v>17</v>
      </c>
      <c r="B1365" t="s">
        <v>895</v>
      </c>
      <c r="C1365" t="s">
        <v>896</v>
      </c>
      <c r="E1365">
        <v>1</v>
      </c>
      <c r="F1365" t="s">
        <v>13</v>
      </c>
      <c r="H1365" t="s">
        <v>16</v>
      </c>
      <c r="J1365">
        <f>indirect(address(1365,9))+indirect(address(1363,10))-indirect(address(1364,10))</f>
        <v>0</v>
      </c>
      <c r="K1365">
        <f>indirect(address(1365,10))+indirect(address(1363,11))-indirect(address(1364,11))</f>
        <v>0</v>
      </c>
      <c r="L1365">
        <f>indirect(address(1365,11))+indirect(address(1363,12))-indirect(address(1364,12))</f>
        <v>0</v>
      </c>
      <c r="M1365">
        <f>indirect(address(1365,12))+indirect(address(1363,13))-indirect(address(1364,13))</f>
        <v>0</v>
      </c>
      <c r="N1365">
        <f>indirect(address(1365,13))+indirect(address(1363,14))-indirect(address(1364,14))</f>
        <v>0</v>
      </c>
      <c r="O1365">
        <f>indirect(address(1365,14))+indirect(address(1363,15))-indirect(address(1364,15))</f>
        <v>0</v>
      </c>
      <c r="P1365">
        <f>indirect(address(1365,15))+indirect(address(1363,16))-indirect(address(1364,16))</f>
        <v>0</v>
      </c>
      <c r="Q1365">
        <f>indirect(address(1365,16))+indirect(address(1363,17))-indirect(address(1364,17))</f>
        <v>0</v>
      </c>
      <c r="R1365">
        <f>indirect(address(1365,17))+indirect(address(1363,18))-indirect(address(1364,18))</f>
        <v>0</v>
      </c>
      <c r="S1365">
        <f>indirect(address(1365,18))+indirect(address(1363,19))-indirect(address(1364,19))</f>
        <v>0</v>
      </c>
      <c r="T1365">
        <f>indirect(address(1365,19))+indirect(address(1363,20))-indirect(address(1364,20))</f>
        <v>0</v>
      </c>
      <c r="U1365">
        <f>indirect(address(1365,20))+indirect(address(1363,21))-indirect(address(1364,21))</f>
        <v>0</v>
      </c>
      <c r="V1365">
        <f>indirect(address(1365,21))+indirect(address(1363,22))-indirect(address(1364,22))</f>
        <v>0</v>
      </c>
      <c r="W1365">
        <f>indirect(address(1365,22))+indirect(address(1363,23))-indirect(address(1364,23))</f>
        <v>0</v>
      </c>
      <c r="X1365">
        <f>indirect(address(1365,23))+indirect(address(1363,24))-indirect(address(1364,24))</f>
        <v>0</v>
      </c>
      <c r="Y1365">
        <f>indirect(address(1365,24))+indirect(address(1363,25))-indirect(address(1364,25))</f>
        <v>0</v>
      </c>
      <c r="Z1365">
        <f>indirect(address(1365,25))+indirect(address(1363,26))-indirect(address(1364,26))</f>
        <v>0</v>
      </c>
      <c r="AA1365">
        <f>indirect(address(1365,26))+indirect(address(1363,27))-indirect(address(1364,27))</f>
        <v>0</v>
      </c>
      <c r="AB1365">
        <f>indirect(address(1365,27))+indirect(address(1363,28))-indirect(address(1364,28))</f>
        <v>0</v>
      </c>
      <c r="AC1365">
        <f>indirect(address(1365,28))+indirect(address(1363,29))-indirect(address(1364,29))</f>
        <v>0</v>
      </c>
      <c r="AD1365">
        <f>indirect(address(1365,29))+indirect(address(1363,30))-indirect(address(1364,30))</f>
        <v>0</v>
      </c>
      <c r="AE1365">
        <f>indirect(address(1365,30))+indirect(address(1363,31))-indirect(address(1364,31))</f>
        <v>0</v>
      </c>
      <c r="AF1365">
        <f>indirect(address(1365,31))+indirect(address(1363,32))-indirect(address(1364,32))</f>
        <v>0</v>
      </c>
      <c r="AG1365">
        <f>indirect(address(1365,32))+indirect(address(1363,33))-indirect(address(1364,33))</f>
        <v>0</v>
      </c>
      <c r="AH1365">
        <f>indirect(address(1365,33))+indirect(address(1363,34))-indirect(address(1364,34))</f>
        <v>0</v>
      </c>
      <c r="AI1365">
        <f>indirect(address(1365,34))+indirect(address(1363,35))-indirect(address(1364,35))</f>
        <v>0</v>
      </c>
      <c r="AJ1365">
        <f>indirect(address(1365,35))+indirect(address(1363,36))-indirect(address(1364,36))</f>
        <v>0</v>
      </c>
      <c r="AK1365">
        <f>indirect(address(1365,36))+indirect(address(1363,37))-indirect(address(1364,37))</f>
        <v>0</v>
      </c>
      <c r="AL1365">
        <f>indirect(address(1365,37))+indirect(address(1363,38))-indirect(address(1364,38))</f>
        <v>0</v>
      </c>
      <c r="AM1365">
        <f>indirect(address(1365,38))+indirect(address(1363,39))-indirect(address(1364,39))</f>
        <v>0</v>
      </c>
      <c r="AN1365">
        <f>indirect(address(1365,39))+indirect(address(1363,40))-indirect(address(1364,40))</f>
        <v>0</v>
      </c>
      <c r="AO1365">
        <f>indirect(address(1365,40))+indirect(address(1363,41))-indirect(address(1364,41))</f>
        <v>0</v>
      </c>
    </row>
    <row r="1366" spans="1:41">
      <c r="I1366" t="s">
        <v>14</v>
      </c>
      <c r="AO1366">
        <f>sum(j1366:an1366)</f>
        <v>0</v>
      </c>
    </row>
    <row r="1367" spans="1:41">
      <c r="I1367" t="s">
        <v>15</v>
      </c>
      <c r="J1367">
        <f>sumif(Plan!B:B,"211-027400-000",Plan!j:j)</f>
        <v>0</v>
      </c>
      <c r="K1367">
        <f>sumif(Plan!B:B,"211-027400-000",Plan!k:k)</f>
        <v>0</v>
      </c>
      <c r="L1367">
        <f>sumif(Plan!B:B,"211-027400-000",Plan!l:l)</f>
        <v>0</v>
      </c>
      <c r="M1367">
        <f>sumif(Plan!B:B,"211-027400-000",Plan!m:m)</f>
        <v>0</v>
      </c>
      <c r="N1367">
        <f>sumif(Plan!B:B,"211-027400-000",Plan!n:n)</f>
        <v>0</v>
      </c>
      <c r="O1367">
        <f>sumif(Plan!B:B,"211-027400-000",Plan!o:o)</f>
        <v>0</v>
      </c>
      <c r="P1367">
        <f>sumif(Plan!B:B,"211-027400-000",Plan!p:p)</f>
        <v>0</v>
      </c>
      <c r="Q1367">
        <f>sumif(Plan!B:B,"211-027400-000",Plan!q:q)</f>
        <v>0</v>
      </c>
      <c r="R1367">
        <f>sumif(Plan!B:B,"211-027400-000",Plan!r:r)</f>
        <v>0</v>
      </c>
      <c r="S1367">
        <f>sumif(Plan!B:B,"211-027400-000",Plan!s:s)</f>
        <v>0</v>
      </c>
      <c r="T1367">
        <f>sumif(Plan!B:B,"211-027400-000",Plan!t:t)</f>
        <v>0</v>
      </c>
      <c r="U1367">
        <f>sumif(Plan!B:B,"211-027400-000",Plan!u:u)</f>
        <v>0</v>
      </c>
      <c r="V1367">
        <f>sumif(Plan!B:B,"211-027400-000",Plan!v:v)</f>
        <v>0</v>
      </c>
      <c r="W1367">
        <f>sumif(Plan!B:B,"211-027400-000",Plan!w:w)</f>
        <v>0</v>
      </c>
      <c r="X1367">
        <f>sumif(Plan!B:B,"211-027400-000",Plan!x:x)</f>
        <v>0</v>
      </c>
      <c r="Y1367">
        <f>sumif(Plan!B:B,"211-027400-000",Plan!y:y)</f>
        <v>0</v>
      </c>
      <c r="Z1367">
        <f>sumif(Plan!B:B,"211-027400-000",Plan!z:z)</f>
        <v>0</v>
      </c>
      <c r="AA1367">
        <f>sumif(Plan!B:B,"211-027400-000",Plan!aa:aa)</f>
        <v>0</v>
      </c>
      <c r="AB1367">
        <f>sumif(Plan!B:B,"211-027400-000",Plan!ab:ab)</f>
        <v>0</v>
      </c>
      <c r="AC1367">
        <f>sumif(Plan!B:B,"211-027400-000",Plan!ac:ac)</f>
        <v>0</v>
      </c>
      <c r="AD1367">
        <f>sumif(Plan!B:B,"211-027400-000",Plan!ad:ad)</f>
        <v>0</v>
      </c>
      <c r="AE1367">
        <f>sumif(Plan!B:B,"211-027400-000",Plan!ae:ae)</f>
        <v>0</v>
      </c>
      <c r="AF1367">
        <f>sumif(Plan!B:B,"211-027400-000",Plan!af:af)</f>
        <v>0</v>
      </c>
      <c r="AG1367">
        <f>sumif(Plan!B:B,"211-027400-000",Plan!ag:ag)</f>
        <v>0</v>
      </c>
      <c r="AH1367">
        <f>sumif(Plan!B:B,"211-027400-000",Plan!ah:ah)</f>
        <v>0</v>
      </c>
      <c r="AI1367">
        <f>sumif(Plan!B:B,"211-027400-000",Plan!ai:ai)</f>
        <v>0</v>
      </c>
      <c r="AJ1367">
        <f>sumif(Plan!B:B,"211-027400-000",Plan!aj:aj)</f>
        <v>0</v>
      </c>
      <c r="AK1367">
        <f>sumif(Plan!B:B,"211-027400-000",Plan!ak:ak)</f>
        <v>0</v>
      </c>
      <c r="AL1367">
        <f>sumif(Plan!B:B,"211-027400-000",Plan!al:al)</f>
        <v>0</v>
      </c>
      <c r="AM1367">
        <f>sumif(Plan!B:B,"211-027400-000",Plan!am:am)</f>
        <v>0</v>
      </c>
      <c r="AN1367">
        <f>sumif(Plan!B:B,"211-027400-000",Plan!an:an)</f>
        <v>0</v>
      </c>
      <c r="AO1367">
        <f>sumif(Plan!B:B,"211-027400-000",Plan!ao:ao)</f>
        <v>0</v>
      </c>
    </row>
    <row r="1368" spans="1:41">
      <c r="A1368" t="s">
        <v>22</v>
      </c>
      <c r="B1368" t="s">
        <v>897</v>
      </c>
      <c r="C1368" t="s">
        <v>651</v>
      </c>
      <c r="E1368">
        <v>1</v>
      </c>
      <c r="F1368" t="s">
        <v>13</v>
      </c>
      <c r="H1368" t="s">
        <v>16</v>
      </c>
      <c r="J1368">
        <f>indirect(address(1368,9))+indirect(address(1366,10))-indirect(address(1367,10))</f>
        <v>0</v>
      </c>
      <c r="K1368">
        <f>indirect(address(1368,10))+indirect(address(1366,11))-indirect(address(1367,11))</f>
        <v>0</v>
      </c>
      <c r="L1368">
        <f>indirect(address(1368,11))+indirect(address(1366,12))-indirect(address(1367,12))</f>
        <v>0</v>
      </c>
      <c r="M1368">
        <f>indirect(address(1368,12))+indirect(address(1366,13))-indirect(address(1367,13))</f>
        <v>0</v>
      </c>
      <c r="N1368">
        <f>indirect(address(1368,13))+indirect(address(1366,14))-indirect(address(1367,14))</f>
        <v>0</v>
      </c>
      <c r="O1368">
        <f>indirect(address(1368,14))+indirect(address(1366,15))-indirect(address(1367,15))</f>
        <v>0</v>
      </c>
      <c r="P1368">
        <f>indirect(address(1368,15))+indirect(address(1366,16))-indirect(address(1367,16))</f>
        <v>0</v>
      </c>
      <c r="Q1368">
        <f>indirect(address(1368,16))+indirect(address(1366,17))-indirect(address(1367,17))</f>
        <v>0</v>
      </c>
      <c r="R1368">
        <f>indirect(address(1368,17))+indirect(address(1366,18))-indirect(address(1367,18))</f>
        <v>0</v>
      </c>
      <c r="S1368">
        <f>indirect(address(1368,18))+indirect(address(1366,19))-indirect(address(1367,19))</f>
        <v>0</v>
      </c>
      <c r="T1368">
        <f>indirect(address(1368,19))+indirect(address(1366,20))-indirect(address(1367,20))</f>
        <v>0</v>
      </c>
      <c r="U1368">
        <f>indirect(address(1368,20))+indirect(address(1366,21))-indirect(address(1367,21))</f>
        <v>0</v>
      </c>
      <c r="V1368">
        <f>indirect(address(1368,21))+indirect(address(1366,22))-indirect(address(1367,22))</f>
        <v>0</v>
      </c>
      <c r="W1368">
        <f>indirect(address(1368,22))+indirect(address(1366,23))-indirect(address(1367,23))</f>
        <v>0</v>
      </c>
      <c r="X1368">
        <f>indirect(address(1368,23))+indirect(address(1366,24))-indirect(address(1367,24))</f>
        <v>0</v>
      </c>
      <c r="Y1368">
        <f>indirect(address(1368,24))+indirect(address(1366,25))-indirect(address(1367,25))</f>
        <v>0</v>
      </c>
      <c r="Z1368">
        <f>indirect(address(1368,25))+indirect(address(1366,26))-indirect(address(1367,26))</f>
        <v>0</v>
      </c>
      <c r="AA1368">
        <f>indirect(address(1368,26))+indirect(address(1366,27))-indirect(address(1367,27))</f>
        <v>0</v>
      </c>
      <c r="AB1368">
        <f>indirect(address(1368,27))+indirect(address(1366,28))-indirect(address(1367,28))</f>
        <v>0</v>
      </c>
      <c r="AC1368">
        <f>indirect(address(1368,28))+indirect(address(1366,29))-indirect(address(1367,29))</f>
        <v>0</v>
      </c>
      <c r="AD1368">
        <f>indirect(address(1368,29))+indirect(address(1366,30))-indirect(address(1367,30))</f>
        <v>0</v>
      </c>
      <c r="AE1368">
        <f>indirect(address(1368,30))+indirect(address(1366,31))-indirect(address(1367,31))</f>
        <v>0</v>
      </c>
      <c r="AF1368">
        <f>indirect(address(1368,31))+indirect(address(1366,32))-indirect(address(1367,32))</f>
        <v>0</v>
      </c>
      <c r="AG1368">
        <f>indirect(address(1368,32))+indirect(address(1366,33))-indirect(address(1367,33))</f>
        <v>0</v>
      </c>
      <c r="AH1368">
        <f>indirect(address(1368,33))+indirect(address(1366,34))-indirect(address(1367,34))</f>
        <v>0</v>
      </c>
      <c r="AI1368">
        <f>indirect(address(1368,34))+indirect(address(1366,35))-indirect(address(1367,35))</f>
        <v>0</v>
      </c>
      <c r="AJ1368">
        <f>indirect(address(1368,35))+indirect(address(1366,36))-indirect(address(1367,36))</f>
        <v>0</v>
      </c>
      <c r="AK1368">
        <f>indirect(address(1368,36))+indirect(address(1366,37))-indirect(address(1367,37))</f>
        <v>0</v>
      </c>
      <c r="AL1368">
        <f>indirect(address(1368,37))+indirect(address(1366,38))-indirect(address(1367,38))</f>
        <v>0</v>
      </c>
      <c r="AM1368">
        <f>indirect(address(1368,38))+indirect(address(1366,39))-indirect(address(1367,39))</f>
        <v>0</v>
      </c>
      <c r="AN1368">
        <f>indirect(address(1368,39))+indirect(address(1366,40))-indirect(address(1367,40))</f>
        <v>0</v>
      </c>
      <c r="AO1368">
        <f>indirect(address(1368,40))+indirect(address(1366,41))-indirect(address(1367,41))</f>
        <v>0</v>
      </c>
    </row>
    <row r="1369" spans="1:41">
      <c r="I1369" t="s">
        <v>14</v>
      </c>
      <c r="AO1369">
        <f>sum(j1369:an1369)</f>
        <v>0</v>
      </c>
    </row>
    <row r="1370" spans="1:41">
      <c r="I1370" t="s">
        <v>15</v>
      </c>
      <c r="J1370">
        <f>sumif(Plan!B:B,"211-078000-105",Plan!j:j)</f>
        <v>0</v>
      </c>
      <c r="K1370">
        <f>sumif(Plan!B:B,"211-078000-105",Plan!k:k)</f>
        <v>0</v>
      </c>
      <c r="L1370">
        <f>sumif(Plan!B:B,"211-078000-105",Plan!l:l)</f>
        <v>0</v>
      </c>
      <c r="M1370">
        <f>sumif(Plan!B:B,"211-078000-105",Plan!m:m)</f>
        <v>0</v>
      </c>
      <c r="N1370">
        <f>sumif(Plan!B:B,"211-078000-105",Plan!n:n)</f>
        <v>0</v>
      </c>
      <c r="O1370">
        <f>sumif(Plan!B:B,"211-078000-105",Plan!o:o)</f>
        <v>0</v>
      </c>
      <c r="P1370">
        <f>sumif(Plan!B:B,"211-078000-105",Plan!p:p)</f>
        <v>0</v>
      </c>
      <c r="Q1370">
        <f>sumif(Plan!B:B,"211-078000-105",Plan!q:q)</f>
        <v>0</v>
      </c>
      <c r="R1370">
        <f>sumif(Plan!B:B,"211-078000-105",Plan!r:r)</f>
        <v>0</v>
      </c>
      <c r="S1370">
        <f>sumif(Plan!B:B,"211-078000-105",Plan!s:s)</f>
        <v>0</v>
      </c>
      <c r="T1370">
        <f>sumif(Plan!B:B,"211-078000-105",Plan!t:t)</f>
        <v>0</v>
      </c>
      <c r="U1370">
        <f>sumif(Plan!B:B,"211-078000-105",Plan!u:u)</f>
        <v>0</v>
      </c>
      <c r="V1370">
        <f>sumif(Plan!B:B,"211-078000-105",Plan!v:v)</f>
        <v>0</v>
      </c>
      <c r="W1370">
        <f>sumif(Plan!B:B,"211-078000-105",Plan!w:w)</f>
        <v>0</v>
      </c>
      <c r="X1370">
        <f>sumif(Plan!B:B,"211-078000-105",Plan!x:x)</f>
        <v>0</v>
      </c>
      <c r="Y1370">
        <f>sumif(Plan!B:B,"211-078000-105",Plan!y:y)</f>
        <v>0</v>
      </c>
      <c r="Z1370">
        <f>sumif(Plan!B:B,"211-078000-105",Plan!z:z)</f>
        <v>0</v>
      </c>
      <c r="AA1370">
        <f>sumif(Plan!B:B,"211-078000-105",Plan!aa:aa)</f>
        <v>0</v>
      </c>
      <c r="AB1370">
        <f>sumif(Plan!B:B,"211-078000-105",Plan!ab:ab)</f>
        <v>0</v>
      </c>
      <c r="AC1370">
        <f>sumif(Plan!B:B,"211-078000-105",Plan!ac:ac)</f>
        <v>0</v>
      </c>
      <c r="AD1370">
        <f>sumif(Plan!B:B,"211-078000-105",Plan!ad:ad)</f>
        <v>0</v>
      </c>
      <c r="AE1370">
        <f>sumif(Plan!B:B,"211-078000-105",Plan!ae:ae)</f>
        <v>0</v>
      </c>
      <c r="AF1370">
        <f>sumif(Plan!B:B,"211-078000-105",Plan!af:af)</f>
        <v>0</v>
      </c>
      <c r="AG1370">
        <f>sumif(Plan!B:B,"211-078000-105",Plan!ag:ag)</f>
        <v>0</v>
      </c>
      <c r="AH1370">
        <f>sumif(Plan!B:B,"211-078000-105",Plan!ah:ah)</f>
        <v>0</v>
      </c>
      <c r="AI1370">
        <f>sumif(Plan!B:B,"211-078000-105",Plan!ai:ai)</f>
        <v>0</v>
      </c>
      <c r="AJ1370">
        <f>sumif(Plan!B:B,"211-078000-105",Plan!aj:aj)</f>
        <v>0</v>
      </c>
      <c r="AK1370">
        <f>sumif(Plan!B:B,"211-078000-105",Plan!ak:ak)</f>
        <v>0</v>
      </c>
      <c r="AL1370">
        <f>sumif(Plan!B:B,"211-078000-105",Plan!al:al)</f>
        <v>0</v>
      </c>
      <c r="AM1370">
        <f>sumif(Plan!B:B,"211-078000-105",Plan!am:am)</f>
        <v>0</v>
      </c>
      <c r="AN1370">
        <f>sumif(Plan!B:B,"211-078000-105",Plan!an:an)</f>
        <v>0</v>
      </c>
      <c r="AO1370">
        <f>sumif(Plan!B:B,"211-078000-105",Plan!ao:ao)</f>
        <v>0</v>
      </c>
    </row>
    <row r="1371" spans="1:41">
      <c r="A1371" t="s">
        <v>22</v>
      </c>
      <c r="B1371" t="s">
        <v>898</v>
      </c>
      <c r="C1371" t="s">
        <v>651</v>
      </c>
      <c r="E1371">
        <v>1</v>
      </c>
      <c r="F1371" t="s">
        <v>13</v>
      </c>
      <c r="H1371" t="s">
        <v>16</v>
      </c>
      <c r="J1371">
        <f>indirect(address(1371,9))+indirect(address(1369,10))-indirect(address(1370,10))</f>
        <v>0</v>
      </c>
      <c r="K1371">
        <f>indirect(address(1371,10))+indirect(address(1369,11))-indirect(address(1370,11))</f>
        <v>0</v>
      </c>
      <c r="L1371">
        <f>indirect(address(1371,11))+indirect(address(1369,12))-indirect(address(1370,12))</f>
        <v>0</v>
      </c>
      <c r="M1371">
        <f>indirect(address(1371,12))+indirect(address(1369,13))-indirect(address(1370,13))</f>
        <v>0</v>
      </c>
      <c r="N1371">
        <f>indirect(address(1371,13))+indirect(address(1369,14))-indirect(address(1370,14))</f>
        <v>0</v>
      </c>
      <c r="O1371">
        <f>indirect(address(1371,14))+indirect(address(1369,15))-indirect(address(1370,15))</f>
        <v>0</v>
      </c>
      <c r="P1371">
        <f>indirect(address(1371,15))+indirect(address(1369,16))-indirect(address(1370,16))</f>
        <v>0</v>
      </c>
      <c r="Q1371">
        <f>indirect(address(1371,16))+indirect(address(1369,17))-indirect(address(1370,17))</f>
        <v>0</v>
      </c>
      <c r="R1371">
        <f>indirect(address(1371,17))+indirect(address(1369,18))-indirect(address(1370,18))</f>
        <v>0</v>
      </c>
      <c r="S1371">
        <f>indirect(address(1371,18))+indirect(address(1369,19))-indirect(address(1370,19))</f>
        <v>0</v>
      </c>
      <c r="T1371">
        <f>indirect(address(1371,19))+indirect(address(1369,20))-indirect(address(1370,20))</f>
        <v>0</v>
      </c>
      <c r="U1371">
        <f>indirect(address(1371,20))+indirect(address(1369,21))-indirect(address(1370,21))</f>
        <v>0</v>
      </c>
      <c r="V1371">
        <f>indirect(address(1371,21))+indirect(address(1369,22))-indirect(address(1370,22))</f>
        <v>0</v>
      </c>
      <c r="W1371">
        <f>indirect(address(1371,22))+indirect(address(1369,23))-indirect(address(1370,23))</f>
        <v>0</v>
      </c>
      <c r="X1371">
        <f>indirect(address(1371,23))+indirect(address(1369,24))-indirect(address(1370,24))</f>
        <v>0</v>
      </c>
      <c r="Y1371">
        <f>indirect(address(1371,24))+indirect(address(1369,25))-indirect(address(1370,25))</f>
        <v>0</v>
      </c>
      <c r="Z1371">
        <f>indirect(address(1371,25))+indirect(address(1369,26))-indirect(address(1370,26))</f>
        <v>0</v>
      </c>
      <c r="AA1371">
        <f>indirect(address(1371,26))+indirect(address(1369,27))-indirect(address(1370,27))</f>
        <v>0</v>
      </c>
      <c r="AB1371">
        <f>indirect(address(1371,27))+indirect(address(1369,28))-indirect(address(1370,28))</f>
        <v>0</v>
      </c>
      <c r="AC1371">
        <f>indirect(address(1371,28))+indirect(address(1369,29))-indirect(address(1370,29))</f>
        <v>0</v>
      </c>
      <c r="AD1371">
        <f>indirect(address(1371,29))+indirect(address(1369,30))-indirect(address(1370,30))</f>
        <v>0</v>
      </c>
      <c r="AE1371">
        <f>indirect(address(1371,30))+indirect(address(1369,31))-indirect(address(1370,31))</f>
        <v>0</v>
      </c>
      <c r="AF1371">
        <f>indirect(address(1371,31))+indirect(address(1369,32))-indirect(address(1370,32))</f>
        <v>0</v>
      </c>
      <c r="AG1371">
        <f>indirect(address(1371,32))+indirect(address(1369,33))-indirect(address(1370,33))</f>
        <v>0</v>
      </c>
      <c r="AH1371">
        <f>indirect(address(1371,33))+indirect(address(1369,34))-indirect(address(1370,34))</f>
        <v>0</v>
      </c>
      <c r="AI1371">
        <f>indirect(address(1371,34))+indirect(address(1369,35))-indirect(address(1370,35))</f>
        <v>0</v>
      </c>
      <c r="AJ1371">
        <f>indirect(address(1371,35))+indirect(address(1369,36))-indirect(address(1370,36))</f>
        <v>0</v>
      </c>
      <c r="AK1371">
        <f>indirect(address(1371,36))+indirect(address(1369,37))-indirect(address(1370,37))</f>
        <v>0</v>
      </c>
      <c r="AL1371">
        <f>indirect(address(1371,37))+indirect(address(1369,38))-indirect(address(1370,38))</f>
        <v>0</v>
      </c>
      <c r="AM1371">
        <f>indirect(address(1371,38))+indirect(address(1369,39))-indirect(address(1370,39))</f>
        <v>0</v>
      </c>
      <c r="AN1371">
        <f>indirect(address(1371,39))+indirect(address(1369,40))-indirect(address(1370,40))</f>
        <v>0</v>
      </c>
      <c r="AO1371">
        <f>indirect(address(1371,40))+indirect(address(1369,41))-indirect(address(1370,41))</f>
        <v>0</v>
      </c>
    </row>
    <row r="1372" spans="1:41">
      <c r="I1372" t="s">
        <v>14</v>
      </c>
      <c r="AO1372">
        <f>sum(j1372:an1372)</f>
        <v>0</v>
      </c>
    </row>
    <row r="1373" spans="1:41">
      <c r="I1373" t="s">
        <v>15</v>
      </c>
      <c r="J1373">
        <f>sumif(Plan!B:B,"211-027500-000",Plan!j:j)</f>
        <v>0</v>
      </c>
      <c r="K1373">
        <f>sumif(Plan!B:B,"211-027500-000",Plan!k:k)</f>
        <v>0</v>
      </c>
      <c r="L1373">
        <f>sumif(Plan!B:B,"211-027500-000",Plan!l:l)</f>
        <v>0</v>
      </c>
      <c r="M1373">
        <f>sumif(Plan!B:B,"211-027500-000",Plan!m:m)</f>
        <v>0</v>
      </c>
      <c r="N1373">
        <f>sumif(Plan!B:B,"211-027500-000",Plan!n:n)</f>
        <v>0</v>
      </c>
      <c r="O1373">
        <f>sumif(Plan!B:B,"211-027500-000",Plan!o:o)</f>
        <v>0</v>
      </c>
      <c r="P1373">
        <f>sumif(Plan!B:B,"211-027500-000",Plan!p:p)</f>
        <v>0</v>
      </c>
      <c r="Q1373">
        <f>sumif(Plan!B:B,"211-027500-000",Plan!q:q)</f>
        <v>0</v>
      </c>
      <c r="R1373">
        <f>sumif(Plan!B:B,"211-027500-000",Plan!r:r)</f>
        <v>0</v>
      </c>
      <c r="S1373">
        <f>sumif(Plan!B:B,"211-027500-000",Plan!s:s)</f>
        <v>0</v>
      </c>
      <c r="T1373">
        <f>sumif(Plan!B:B,"211-027500-000",Plan!t:t)</f>
        <v>0</v>
      </c>
      <c r="U1373">
        <f>sumif(Plan!B:B,"211-027500-000",Plan!u:u)</f>
        <v>0</v>
      </c>
      <c r="V1373">
        <f>sumif(Plan!B:B,"211-027500-000",Plan!v:v)</f>
        <v>0</v>
      </c>
      <c r="W1373">
        <f>sumif(Plan!B:B,"211-027500-000",Plan!w:w)</f>
        <v>0</v>
      </c>
      <c r="X1373">
        <f>sumif(Plan!B:B,"211-027500-000",Plan!x:x)</f>
        <v>0</v>
      </c>
      <c r="Y1373">
        <f>sumif(Plan!B:B,"211-027500-000",Plan!y:y)</f>
        <v>0</v>
      </c>
      <c r="Z1373">
        <f>sumif(Plan!B:B,"211-027500-000",Plan!z:z)</f>
        <v>0</v>
      </c>
      <c r="AA1373">
        <f>sumif(Plan!B:B,"211-027500-000",Plan!aa:aa)</f>
        <v>0</v>
      </c>
      <c r="AB1373">
        <f>sumif(Plan!B:B,"211-027500-000",Plan!ab:ab)</f>
        <v>0</v>
      </c>
      <c r="AC1373">
        <f>sumif(Plan!B:B,"211-027500-000",Plan!ac:ac)</f>
        <v>0</v>
      </c>
      <c r="AD1373">
        <f>sumif(Plan!B:B,"211-027500-000",Plan!ad:ad)</f>
        <v>0</v>
      </c>
      <c r="AE1373">
        <f>sumif(Plan!B:B,"211-027500-000",Plan!ae:ae)</f>
        <v>0</v>
      </c>
      <c r="AF1373">
        <f>sumif(Plan!B:B,"211-027500-000",Plan!af:af)</f>
        <v>0</v>
      </c>
      <c r="AG1373">
        <f>sumif(Plan!B:B,"211-027500-000",Plan!ag:ag)</f>
        <v>0</v>
      </c>
      <c r="AH1373">
        <f>sumif(Plan!B:B,"211-027500-000",Plan!ah:ah)</f>
        <v>0</v>
      </c>
      <c r="AI1373">
        <f>sumif(Plan!B:B,"211-027500-000",Plan!ai:ai)</f>
        <v>0</v>
      </c>
      <c r="AJ1373">
        <f>sumif(Plan!B:B,"211-027500-000",Plan!aj:aj)</f>
        <v>0</v>
      </c>
      <c r="AK1373">
        <f>sumif(Plan!B:B,"211-027500-000",Plan!ak:ak)</f>
        <v>0</v>
      </c>
      <c r="AL1373">
        <f>sumif(Plan!B:B,"211-027500-000",Plan!al:al)</f>
        <v>0</v>
      </c>
      <c r="AM1373">
        <f>sumif(Plan!B:B,"211-027500-000",Plan!am:am)</f>
        <v>0</v>
      </c>
      <c r="AN1373">
        <f>sumif(Plan!B:B,"211-027500-000",Plan!an:an)</f>
        <v>0</v>
      </c>
      <c r="AO1373">
        <f>sumif(Plan!B:B,"211-027500-000",Plan!ao:ao)</f>
        <v>0</v>
      </c>
    </row>
    <row r="1374" spans="1:41">
      <c r="A1374" t="s">
        <v>22</v>
      </c>
      <c r="B1374" t="s">
        <v>899</v>
      </c>
      <c r="C1374" t="s">
        <v>651</v>
      </c>
      <c r="E1374">
        <v>1</v>
      </c>
      <c r="F1374" t="s">
        <v>13</v>
      </c>
      <c r="H1374" t="s">
        <v>16</v>
      </c>
      <c r="J1374">
        <f>indirect(address(1374,9))+indirect(address(1372,10))-indirect(address(1373,10))</f>
        <v>0</v>
      </c>
      <c r="K1374">
        <f>indirect(address(1374,10))+indirect(address(1372,11))-indirect(address(1373,11))</f>
        <v>0</v>
      </c>
      <c r="L1374">
        <f>indirect(address(1374,11))+indirect(address(1372,12))-indirect(address(1373,12))</f>
        <v>0</v>
      </c>
      <c r="M1374">
        <f>indirect(address(1374,12))+indirect(address(1372,13))-indirect(address(1373,13))</f>
        <v>0</v>
      </c>
      <c r="N1374">
        <f>indirect(address(1374,13))+indirect(address(1372,14))-indirect(address(1373,14))</f>
        <v>0</v>
      </c>
      <c r="O1374">
        <f>indirect(address(1374,14))+indirect(address(1372,15))-indirect(address(1373,15))</f>
        <v>0</v>
      </c>
      <c r="P1374">
        <f>indirect(address(1374,15))+indirect(address(1372,16))-indirect(address(1373,16))</f>
        <v>0</v>
      </c>
      <c r="Q1374">
        <f>indirect(address(1374,16))+indirect(address(1372,17))-indirect(address(1373,17))</f>
        <v>0</v>
      </c>
      <c r="R1374">
        <f>indirect(address(1374,17))+indirect(address(1372,18))-indirect(address(1373,18))</f>
        <v>0</v>
      </c>
      <c r="S1374">
        <f>indirect(address(1374,18))+indirect(address(1372,19))-indirect(address(1373,19))</f>
        <v>0</v>
      </c>
      <c r="T1374">
        <f>indirect(address(1374,19))+indirect(address(1372,20))-indirect(address(1373,20))</f>
        <v>0</v>
      </c>
      <c r="U1374">
        <f>indirect(address(1374,20))+indirect(address(1372,21))-indirect(address(1373,21))</f>
        <v>0</v>
      </c>
      <c r="V1374">
        <f>indirect(address(1374,21))+indirect(address(1372,22))-indirect(address(1373,22))</f>
        <v>0</v>
      </c>
      <c r="W1374">
        <f>indirect(address(1374,22))+indirect(address(1372,23))-indirect(address(1373,23))</f>
        <v>0</v>
      </c>
      <c r="X1374">
        <f>indirect(address(1374,23))+indirect(address(1372,24))-indirect(address(1373,24))</f>
        <v>0</v>
      </c>
      <c r="Y1374">
        <f>indirect(address(1374,24))+indirect(address(1372,25))-indirect(address(1373,25))</f>
        <v>0</v>
      </c>
      <c r="Z1374">
        <f>indirect(address(1374,25))+indirect(address(1372,26))-indirect(address(1373,26))</f>
        <v>0</v>
      </c>
      <c r="AA1374">
        <f>indirect(address(1374,26))+indirect(address(1372,27))-indirect(address(1373,27))</f>
        <v>0</v>
      </c>
      <c r="AB1374">
        <f>indirect(address(1374,27))+indirect(address(1372,28))-indirect(address(1373,28))</f>
        <v>0</v>
      </c>
      <c r="AC1374">
        <f>indirect(address(1374,28))+indirect(address(1372,29))-indirect(address(1373,29))</f>
        <v>0</v>
      </c>
      <c r="AD1374">
        <f>indirect(address(1374,29))+indirect(address(1372,30))-indirect(address(1373,30))</f>
        <v>0</v>
      </c>
      <c r="AE1374">
        <f>indirect(address(1374,30))+indirect(address(1372,31))-indirect(address(1373,31))</f>
        <v>0</v>
      </c>
      <c r="AF1374">
        <f>indirect(address(1374,31))+indirect(address(1372,32))-indirect(address(1373,32))</f>
        <v>0</v>
      </c>
      <c r="AG1374">
        <f>indirect(address(1374,32))+indirect(address(1372,33))-indirect(address(1373,33))</f>
        <v>0</v>
      </c>
      <c r="AH1374">
        <f>indirect(address(1374,33))+indirect(address(1372,34))-indirect(address(1373,34))</f>
        <v>0</v>
      </c>
      <c r="AI1374">
        <f>indirect(address(1374,34))+indirect(address(1372,35))-indirect(address(1373,35))</f>
        <v>0</v>
      </c>
      <c r="AJ1374">
        <f>indirect(address(1374,35))+indirect(address(1372,36))-indirect(address(1373,36))</f>
        <v>0</v>
      </c>
      <c r="AK1374">
        <f>indirect(address(1374,36))+indirect(address(1372,37))-indirect(address(1373,37))</f>
        <v>0</v>
      </c>
      <c r="AL1374">
        <f>indirect(address(1374,37))+indirect(address(1372,38))-indirect(address(1373,38))</f>
        <v>0</v>
      </c>
      <c r="AM1374">
        <f>indirect(address(1374,38))+indirect(address(1372,39))-indirect(address(1373,39))</f>
        <v>0</v>
      </c>
      <c r="AN1374">
        <f>indirect(address(1374,39))+indirect(address(1372,40))-indirect(address(1373,40))</f>
        <v>0</v>
      </c>
      <c r="AO1374">
        <f>indirect(address(1374,40))+indirect(address(1372,41))-indirect(address(1373,41))</f>
        <v>0</v>
      </c>
    </row>
    <row r="1375" spans="1:41">
      <c r="I1375" t="s">
        <v>14</v>
      </c>
      <c r="AO1375">
        <f>sum(j1375:an1375)</f>
        <v>0</v>
      </c>
    </row>
    <row r="1376" spans="1:41">
      <c r="I1376" t="s">
        <v>15</v>
      </c>
      <c r="J1376">
        <f>sumif(Plan!B:B,"211-002500-155",Plan!j:j)</f>
        <v>0</v>
      </c>
      <c r="K1376">
        <f>sumif(Plan!B:B,"211-002500-155",Plan!k:k)</f>
        <v>0</v>
      </c>
      <c r="L1376">
        <f>sumif(Plan!B:B,"211-002500-155",Plan!l:l)</f>
        <v>0</v>
      </c>
      <c r="M1376">
        <f>sumif(Plan!B:B,"211-002500-155",Plan!m:m)</f>
        <v>0</v>
      </c>
      <c r="N1376">
        <f>sumif(Plan!B:B,"211-002500-155",Plan!n:n)</f>
        <v>0</v>
      </c>
      <c r="O1376">
        <f>sumif(Plan!B:B,"211-002500-155",Plan!o:o)</f>
        <v>0</v>
      </c>
      <c r="P1376">
        <f>sumif(Plan!B:B,"211-002500-155",Plan!p:p)</f>
        <v>0</v>
      </c>
      <c r="Q1376">
        <f>sumif(Plan!B:B,"211-002500-155",Plan!q:q)</f>
        <v>0</v>
      </c>
      <c r="R1376">
        <f>sumif(Plan!B:B,"211-002500-155",Plan!r:r)</f>
        <v>0</v>
      </c>
      <c r="S1376">
        <f>sumif(Plan!B:B,"211-002500-155",Plan!s:s)</f>
        <v>0</v>
      </c>
      <c r="T1376">
        <f>sumif(Plan!B:B,"211-002500-155",Plan!t:t)</f>
        <v>0</v>
      </c>
      <c r="U1376">
        <f>sumif(Plan!B:B,"211-002500-155",Plan!u:u)</f>
        <v>0</v>
      </c>
      <c r="V1376">
        <f>sumif(Plan!B:B,"211-002500-155",Plan!v:v)</f>
        <v>0</v>
      </c>
      <c r="W1376">
        <f>sumif(Plan!B:B,"211-002500-155",Plan!w:w)</f>
        <v>0</v>
      </c>
      <c r="X1376">
        <f>sumif(Plan!B:B,"211-002500-155",Plan!x:x)</f>
        <v>0</v>
      </c>
      <c r="Y1376">
        <f>sumif(Plan!B:B,"211-002500-155",Plan!y:y)</f>
        <v>0</v>
      </c>
      <c r="Z1376">
        <f>sumif(Plan!B:B,"211-002500-155",Plan!z:z)</f>
        <v>0</v>
      </c>
      <c r="AA1376">
        <f>sumif(Plan!B:B,"211-002500-155",Plan!aa:aa)</f>
        <v>0</v>
      </c>
      <c r="AB1376">
        <f>sumif(Plan!B:B,"211-002500-155",Plan!ab:ab)</f>
        <v>0</v>
      </c>
      <c r="AC1376">
        <f>sumif(Plan!B:B,"211-002500-155",Plan!ac:ac)</f>
        <v>0</v>
      </c>
      <c r="AD1376">
        <f>sumif(Plan!B:B,"211-002500-155",Plan!ad:ad)</f>
        <v>0</v>
      </c>
      <c r="AE1376">
        <f>sumif(Plan!B:B,"211-002500-155",Plan!ae:ae)</f>
        <v>0</v>
      </c>
      <c r="AF1376">
        <f>sumif(Plan!B:B,"211-002500-155",Plan!af:af)</f>
        <v>0</v>
      </c>
      <c r="AG1376">
        <f>sumif(Plan!B:B,"211-002500-155",Plan!ag:ag)</f>
        <v>0</v>
      </c>
      <c r="AH1376">
        <f>sumif(Plan!B:B,"211-002500-155",Plan!ah:ah)</f>
        <v>0</v>
      </c>
      <c r="AI1376">
        <f>sumif(Plan!B:B,"211-002500-155",Plan!ai:ai)</f>
        <v>0</v>
      </c>
      <c r="AJ1376">
        <f>sumif(Plan!B:B,"211-002500-155",Plan!aj:aj)</f>
        <v>0</v>
      </c>
      <c r="AK1376">
        <f>sumif(Plan!B:B,"211-002500-155",Plan!ak:ak)</f>
        <v>0</v>
      </c>
      <c r="AL1376">
        <f>sumif(Plan!B:B,"211-002500-155",Plan!al:al)</f>
        <v>0</v>
      </c>
      <c r="AM1376">
        <f>sumif(Plan!B:B,"211-002500-155",Plan!am:am)</f>
        <v>0</v>
      </c>
      <c r="AN1376">
        <f>sumif(Plan!B:B,"211-002500-155",Plan!an:an)</f>
        <v>0</v>
      </c>
      <c r="AO1376">
        <f>sumif(Plan!B:B,"211-002500-155",Plan!ao:ao)</f>
        <v>0</v>
      </c>
    </row>
    <row r="1377" spans="1:41">
      <c r="A1377" t="s">
        <v>22</v>
      </c>
      <c r="B1377" t="s">
        <v>900</v>
      </c>
      <c r="C1377" t="s">
        <v>651</v>
      </c>
      <c r="E1377">
        <v>1</v>
      </c>
      <c r="F1377" t="s">
        <v>13</v>
      </c>
      <c r="H1377" t="s">
        <v>16</v>
      </c>
      <c r="J1377">
        <f>indirect(address(1377,9))+indirect(address(1375,10))-indirect(address(1376,10))</f>
        <v>0</v>
      </c>
      <c r="K1377">
        <f>indirect(address(1377,10))+indirect(address(1375,11))-indirect(address(1376,11))</f>
        <v>0</v>
      </c>
      <c r="L1377">
        <f>indirect(address(1377,11))+indirect(address(1375,12))-indirect(address(1376,12))</f>
        <v>0</v>
      </c>
      <c r="M1377">
        <f>indirect(address(1377,12))+indirect(address(1375,13))-indirect(address(1376,13))</f>
        <v>0</v>
      </c>
      <c r="N1377">
        <f>indirect(address(1377,13))+indirect(address(1375,14))-indirect(address(1376,14))</f>
        <v>0</v>
      </c>
      <c r="O1377">
        <f>indirect(address(1377,14))+indirect(address(1375,15))-indirect(address(1376,15))</f>
        <v>0</v>
      </c>
      <c r="P1377">
        <f>indirect(address(1377,15))+indirect(address(1375,16))-indirect(address(1376,16))</f>
        <v>0</v>
      </c>
      <c r="Q1377">
        <f>indirect(address(1377,16))+indirect(address(1375,17))-indirect(address(1376,17))</f>
        <v>0</v>
      </c>
      <c r="R1377">
        <f>indirect(address(1377,17))+indirect(address(1375,18))-indirect(address(1376,18))</f>
        <v>0</v>
      </c>
      <c r="S1377">
        <f>indirect(address(1377,18))+indirect(address(1375,19))-indirect(address(1376,19))</f>
        <v>0</v>
      </c>
      <c r="T1377">
        <f>indirect(address(1377,19))+indirect(address(1375,20))-indirect(address(1376,20))</f>
        <v>0</v>
      </c>
      <c r="U1377">
        <f>indirect(address(1377,20))+indirect(address(1375,21))-indirect(address(1376,21))</f>
        <v>0</v>
      </c>
      <c r="V1377">
        <f>indirect(address(1377,21))+indirect(address(1375,22))-indirect(address(1376,22))</f>
        <v>0</v>
      </c>
      <c r="W1377">
        <f>indirect(address(1377,22))+indirect(address(1375,23))-indirect(address(1376,23))</f>
        <v>0</v>
      </c>
      <c r="X1377">
        <f>indirect(address(1377,23))+indirect(address(1375,24))-indirect(address(1376,24))</f>
        <v>0</v>
      </c>
      <c r="Y1377">
        <f>indirect(address(1377,24))+indirect(address(1375,25))-indirect(address(1376,25))</f>
        <v>0</v>
      </c>
      <c r="Z1377">
        <f>indirect(address(1377,25))+indirect(address(1375,26))-indirect(address(1376,26))</f>
        <v>0</v>
      </c>
      <c r="AA1377">
        <f>indirect(address(1377,26))+indirect(address(1375,27))-indirect(address(1376,27))</f>
        <v>0</v>
      </c>
      <c r="AB1377">
        <f>indirect(address(1377,27))+indirect(address(1375,28))-indirect(address(1376,28))</f>
        <v>0</v>
      </c>
      <c r="AC1377">
        <f>indirect(address(1377,28))+indirect(address(1375,29))-indirect(address(1376,29))</f>
        <v>0</v>
      </c>
      <c r="AD1377">
        <f>indirect(address(1377,29))+indirect(address(1375,30))-indirect(address(1376,30))</f>
        <v>0</v>
      </c>
      <c r="AE1377">
        <f>indirect(address(1377,30))+indirect(address(1375,31))-indirect(address(1376,31))</f>
        <v>0</v>
      </c>
      <c r="AF1377">
        <f>indirect(address(1377,31))+indirect(address(1375,32))-indirect(address(1376,32))</f>
        <v>0</v>
      </c>
      <c r="AG1377">
        <f>indirect(address(1377,32))+indirect(address(1375,33))-indirect(address(1376,33))</f>
        <v>0</v>
      </c>
      <c r="AH1377">
        <f>indirect(address(1377,33))+indirect(address(1375,34))-indirect(address(1376,34))</f>
        <v>0</v>
      </c>
      <c r="AI1377">
        <f>indirect(address(1377,34))+indirect(address(1375,35))-indirect(address(1376,35))</f>
        <v>0</v>
      </c>
      <c r="AJ1377">
        <f>indirect(address(1377,35))+indirect(address(1375,36))-indirect(address(1376,36))</f>
        <v>0</v>
      </c>
      <c r="AK1377">
        <f>indirect(address(1377,36))+indirect(address(1375,37))-indirect(address(1376,37))</f>
        <v>0</v>
      </c>
      <c r="AL1377">
        <f>indirect(address(1377,37))+indirect(address(1375,38))-indirect(address(1376,38))</f>
        <v>0</v>
      </c>
      <c r="AM1377">
        <f>indirect(address(1377,38))+indirect(address(1375,39))-indirect(address(1376,39))</f>
        <v>0</v>
      </c>
      <c r="AN1377">
        <f>indirect(address(1377,39))+indirect(address(1375,40))-indirect(address(1376,40))</f>
        <v>0</v>
      </c>
      <c r="AO1377">
        <f>indirect(address(1377,40))+indirect(address(1375,41))-indirect(address(1376,41))</f>
        <v>0</v>
      </c>
    </row>
    <row r="1378" spans="1:41">
      <c r="I1378" t="s">
        <v>14</v>
      </c>
      <c r="AO1378">
        <f>sum(j1378:an1378)</f>
        <v>0</v>
      </c>
    </row>
    <row r="1379" spans="1:41">
      <c r="I1379" t="s">
        <v>15</v>
      </c>
      <c r="J1379">
        <f>sumif(Plan!B:B,"241-007900-000",Plan!j:j)</f>
        <v>0</v>
      </c>
      <c r="K1379">
        <f>sumif(Plan!B:B,"241-007900-000",Plan!k:k)</f>
        <v>0</v>
      </c>
      <c r="L1379">
        <f>sumif(Plan!B:B,"241-007900-000",Plan!l:l)</f>
        <v>0</v>
      </c>
      <c r="M1379">
        <f>sumif(Plan!B:B,"241-007900-000",Plan!m:m)</f>
        <v>0</v>
      </c>
      <c r="N1379">
        <f>sumif(Plan!B:B,"241-007900-000",Plan!n:n)</f>
        <v>0</v>
      </c>
      <c r="O1379">
        <f>sumif(Plan!B:B,"241-007900-000",Plan!o:o)</f>
        <v>0</v>
      </c>
      <c r="P1379">
        <f>sumif(Plan!B:B,"241-007900-000",Plan!p:p)</f>
        <v>0</v>
      </c>
      <c r="Q1379">
        <f>sumif(Plan!B:B,"241-007900-000",Plan!q:q)</f>
        <v>0</v>
      </c>
      <c r="R1379">
        <f>sumif(Plan!B:B,"241-007900-000",Plan!r:r)</f>
        <v>0</v>
      </c>
      <c r="S1379">
        <f>sumif(Plan!B:B,"241-007900-000",Plan!s:s)</f>
        <v>0</v>
      </c>
      <c r="T1379">
        <f>sumif(Plan!B:B,"241-007900-000",Plan!t:t)</f>
        <v>0</v>
      </c>
      <c r="U1379">
        <f>sumif(Plan!B:B,"241-007900-000",Plan!u:u)</f>
        <v>0</v>
      </c>
      <c r="V1379">
        <f>sumif(Plan!B:B,"241-007900-000",Plan!v:v)</f>
        <v>0</v>
      </c>
      <c r="W1379">
        <f>sumif(Plan!B:B,"241-007900-000",Plan!w:w)</f>
        <v>0</v>
      </c>
      <c r="X1379">
        <f>sumif(Plan!B:B,"241-007900-000",Plan!x:x)</f>
        <v>0</v>
      </c>
      <c r="Y1379">
        <f>sumif(Plan!B:B,"241-007900-000",Plan!y:y)</f>
        <v>0</v>
      </c>
      <c r="Z1379">
        <f>sumif(Plan!B:B,"241-007900-000",Plan!z:z)</f>
        <v>0</v>
      </c>
      <c r="AA1379">
        <f>sumif(Plan!B:B,"241-007900-000",Plan!aa:aa)</f>
        <v>0</v>
      </c>
      <c r="AB1379">
        <f>sumif(Plan!B:B,"241-007900-000",Plan!ab:ab)</f>
        <v>0</v>
      </c>
      <c r="AC1379">
        <f>sumif(Plan!B:B,"241-007900-000",Plan!ac:ac)</f>
        <v>0</v>
      </c>
      <c r="AD1379">
        <f>sumif(Plan!B:B,"241-007900-000",Plan!ad:ad)</f>
        <v>0</v>
      </c>
      <c r="AE1379">
        <f>sumif(Plan!B:B,"241-007900-000",Plan!ae:ae)</f>
        <v>0</v>
      </c>
      <c r="AF1379">
        <f>sumif(Plan!B:B,"241-007900-000",Plan!af:af)</f>
        <v>0</v>
      </c>
      <c r="AG1379">
        <f>sumif(Plan!B:B,"241-007900-000",Plan!ag:ag)</f>
        <v>0</v>
      </c>
      <c r="AH1379">
        <f>sumif(Plan!B:B,"241-007900-000",Plan!ah:ah)</f>
        <v>0</v>
      </c>
      <c r="AI1379">
        <f>sumif(Plan!B:B,"241-007900-000",Plan!ai:ai)</f>
        <v>0</v>
      </c>
      <c r="AJ1379">
        <f>sumif(Plan!B:B,"241-007900-000",Plan!aj:aj)</f>
        <v>0</v>
      </c>
      <c r="AK1379">
        <f>sumif(Plan!B:B,"241-007900-000",Plan!ak:ak)</f>
        <v>0</v>
      </c>
      <c r="AL1379">
        <f>sumif(Plan!B:B,"241-007900-000",Plan!al:al)</f>
        <v>0</v>
      </c>
      <c r="AM1379">
        <f>sumif(Plan!B:B,"241-007900-000",Plan!am:am)</f>
        <v>0</v>
      </c>
      <c r="AN1379">
        <f>sumif(Plan!B:B,"241-007900-000",Plan!an:an)</f>
        <v>0</v>
      </c>
      <c r="AO1379">
        <f>sumif(Plan!B:B,"241-007900-000",Plan!ao:ao)</f>
        <v>0</v>
      </c>
    </row>
    <row r="1380" spans="1:41">
      <c r="A1380" t="s">
        <v>22</v>
      </c>
      <c r="B1380" t="s">
        <v>901</v>
      </c>
      <c r="C1380" t="s">
        <v>902</v>
      </c>
      <c r="E1380">
        <v>0.001</v>
      </c>
      <c r="F1380" t="s">
        <v>13</v>
      </c>
      <c r="H1380" t="s">
        <v>16</v>
      </c>
      <c r="J1380">
        <f>indirect(address(1380,9))+indirect(address(1378,10))-indirect(address(1379,10))</f>
        <v>0</v>
      </c>
      <c r="K1380">
        <f>indirect(address(1380,10))+indirect(address(1378,11))-indirect(address(1379,11))</f>
        <v>0</v>
      </c>
      <c r="L1380">
        <f>indirect(address(1380,11))+indirect(address(1378,12))-indirect(address(1379,12))</f>
        <v>0</v>
      </c>
      <c r="M1380">
        <f>indirect(address(1380,12))+indirect(address(1378,13))-indirect(address(1379,13))</f>
        <v>0</v>
      </c>
      <c r="N1380">
        <f>indirect(address(1380,13))+indirect(address(1378,14))-indirect(address(1379,14))</f>
        <v>0</v>
      </c>
      <c r="O1380">
        <f>indirect(address(1380,14))+indirect(address(1378,15))-indirect(address(1379,15))</f>
        <v>0</v>
      </c>
      <c r="P1380">
        <f>indirect(address(1380,15))+indirect(address(1378,16))-indirect(address(1379,16))</f>
        <v>0</v>
      </c>
      <c r="Q1380">
        <f>indirect(address(1380,16))+indirect(address(1378,17))-indirect(address(1379,17))</f>
        <v>0</v>
      </c>
      <c r="R1380">
        <f>indirect(address(1380,17))+indirect(address(1378,18))-indirect(address(1379,18))</f>
        <v>0</v>
      </c>
      <c r="S1380">
        <f>indirect(address(1380,18))+indirect(address(1378,19))-indirect(address(1379,19))</f>
        <v>0</v>
      </c>
      <c r="T1380">
        <f>indirect(address(1380,19))+indirect(address(1378,20))-indirect(address(1379,20))</f>
        <v>0</v>
      </c>
      <c r="U1380">
        <f>indirect(address(1380,20))+indirect(address(1378,21))-indirect(address(1379,21))</f>
        <v>0</v>
      </c>
      <c r="V1380">
        <f>indirect(address(1380,21))+indirect(address(1378,22))-indirect(address(1379,22))</f>
        <v>0</v>
      </c>
      <c r="W1380">
        <f>indirect(address(1380,22))+indirect(address(1378,23))-indirect(address(1379,23))</f>
        <v>0</v>
      </c>
      <c r="X1380">
        <f>indirect(address(1380,23))+indirect(address(1378,24))-indirect(address(1379,24))</f>
        <v>0</v>
      </c>
      <c r="Y1380">
        <f>indirect(address(1380,24))+indirect(address(1378,25))-indirect(address(1379,25))</f>
        <v>0</v>
      </c>
      <c r="Z1380">
        <f>indirect(address(1380,25))+indirect(address(1378,26))-indirect(address(1379,26))</f>
        <v>0</v>
      </c>
      <c r="AA1380">
        <f>indirect(address(1380,26))+indirect(address(1378,27))-indirect(address(1379,27))</f>
        <v>0</v>
      </c>
      <c r="AB1380">
        <f>indirect(address(1380,27))+indirect(address(1378,28))-indirect(address(1379,28))</f>
        <v>0</v>
      </c>
      <c r="AC1380">
        <f>indirect(address(1380,28))+indirect(address(1378,29))-indirect(address(1379,29))</f>
        <v>0</v>
      </c>
      <c r="AD1380">
        <f>indirect(address(1380,29))+indirect(address(1378,30))-indirect(address(1379,30))</f>
        <v>0</v>
      </c>
      <c r="AE1380">
        <f>indirect(address(1380,30))+indirect(address(1378,31))-indirect(address(1379,31))</f>
        <v>0</v>
      </c>
      <c r="AF1380">
        <f>indirect(address(1380,31))+indirect(address(1378,32))-indirect(address(1379,32))</f>
        <v>0</v>
      </c>
      <c r="AG1380">
        <f>indirect(address(1380,32))+indirect(address(1378,33))-indirect(address(1379,33))</f>
        <v>0</v>
      </c>
      <c r="AH1380">
        <f>indirect(address(1380,33))+indirect(address(1378,34))-indirect(address(1379,34))</f>
        <v>0</v>
      </c>
      <c r="AI1380">
        <f>indirect(address(1380,34))+indirect(address(1378,35))-indirect(address(1379,35))</f>
        <v>0</v>
      </c>
      <c r="AJ1380">
        <f>indirect(address(1380,35))+indirect(address(1378,36))-indirect(address(1379,36))</f>
        <v>0</v>
      </c>
      <c r="AK1380">
        <f>indirect(address(1380,36))+indirect(address(1378,37))-indirect(address(1379,37))</f>
        <v>0</v>
      </c>
      <c r="AL1380">
        <f>indirect(address(1380,37))+indirect(address(1378,38))-indirect(address(1379,38))</f>
        <v>0</v>
      </c>
      <c r="AM1380">
        <f>indirect(address(1380,38))+indirect(address(1378,39))-indirect(address(1379,39))</f>
        <v>0</v>
      </c>
      <c r="AN1380">
        <f>indirect(address(1380,39))+indirect(address(1378,40))-indirect(address(1379,40))</f>
        <v>0</v>
      </c>
      <c r="AO1380">
        <f>indirect(address(1380,40))+indirect(address(1378,41))-indirect(address(1379,41))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Out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2018-10-19T05:06:49Z</dcterms:created>
  <dcterms:modified xsi:type="dcterms:W3CDTF">2018-10-19T05:06:49Z</dcterms:modified>
</cp:coreProperties>
</file>