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生产发行表" sheetId="2" r:id="rId2"/>
    <sheet name="生产物料推移表" sheetId="3" r:id="rId3"/>
  </sheets>
  <calcPr calcId="124519" fullCalcOnLoad="1"/>
</workbook>
</file>

<file path=xl/sharedStrings.xml><?xml version="1.0" encoding="utf-8"?>
<sst xmlns="http://schemas.openxmlformats.org/spreadsheetml/2006/main" count="285" uniqueCount="55">
  <si>
    <t>生产物料BOM&amp;需求明细</t>
  </si>
  <si>
    <t>层级</t>
  </si>
  <si>
    <t>ERP编码</t>
  </si>
  <si>
    <t>名称</t>
  </si>
  <si>
    <t>模号</t>
  </si>
  <si>
    <t>BOM用量</t>
  </si>
  <si>
    <t>单位</t>
  </si>
  <si>
    <t>初期</t>
  </si>
  <si>
    <t>包装样式</t>
  </si>
  <si>
    <t>包装数量</t>
  </si>
  <si>
    <t>模穴类型</t>
  </si>
  <si>
    <t>模穴数量</t>
  </si>
  <si>
    <t>合计</t>
  </si>
  <si>
    <t>总成</t>
  </si>
  <si>
    <t>927-050000-200</t>
  </si>
  <si>
    <t>储物盒本体总成</t>
  </si>
  <si>
    <t>PC</t>
  </si>
  <si>
    <t>6#</t>
  </si>
  <si>
    <t>需求</t>
  </si>
  <si>
    <t>半成品</t>
  </si>
  <si>
    <t>827-050000-201</t>
  </si>
  <si>
    <t>4940-D2-6501扶手储物盒(植绒后)</t>
  </si>
  <si>
    <t>计划生产</t>
  </si>
  <si>
    <t>927-068000-100</t>
  </si>
  <si>
    <t>4940-1D1-6504置杯盒总成</t>
  </si>
  <si>
    <t>辅材</t>
  </si>
  <si>
    <t>827-051000-201</t>
  </si>
  <si>
    <t>置杯盒外盖/木纹4940-1D2-6502</t>
  </si>
  <si>
    <t>827-069000-101</t>
  </si>
  <si>
    <t>4940-1D1-6507按钮(电镀后)</t>
  </si>
  <si>
    <t>827-070000-100</t>
  </si>
  <si>
    <t>4940-1D1-6508置杯盒内盖M10</t>
  </si>
  <si>
    <t>263-000000-065</t>
  </si>
  <si>
    <t>4940-1D0-6114-C扭转弹簧A</t>
  </si>
  <si>
    <t>827-071000-100</t>
  </si>
  <si>
    <t>4940-1D1-6016垫圈A</t>
  </si>
  <si>
    <t>263-000000-013</t>
  </si>
  <si>
    <t>GB_T 818.4十字槽盘头螺钉3*8</t>
  </si>
  <si>
    <t>263-000000-029</t>
  </si>
  <si>
    <t>4940-1D1-6018弹簧片</t>
  </si>
  <si>
    <t>262-000000-086</t>
  </si>
  <si>
    <t>CA3F095-R0阻尼齿轮</t>
  </si>
  <si>
    <t>262-000000-087</t>
  </si>
  <si>
    <t>A-005锁止机构</t>
  </si>
  <si>
    <t>包材</t>
  </si>
  <si>
    <t>瓶</t>
  </si>
  <si>
    <t>现品票</t>
  </si>
  <si>
    <t>生产发行表</t>
  </si>
  <si>
    <t>本工作表只能对“需求”项进行操作</t>
  </si>
  <si>
    <t>生产推移表</t>
  </si>
  <si>
    <t>本工作表只能对“计划生产”项进行操作</t>
  </si>
  <si>
    <t>实际生产</t>
  </si>
  <si>
    <t>扫描入库</t>
  </si>
  <si>
    <t>不良</t>
  </si>
  <si>
    <t>结存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</si>
</sst>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6"/>
  <sheetViews>
    <sheetView tabSelected="1" workbookViewId="0"/>
  </sheetViews>
  <sheetFormatPr defaultRowHeight="15"/>
  <sheetData>
    <row r="1" spans="1:44">
      <c r="A1" t="s">
        <v>0</v>
      </c>
    </row>
    <row r="2" spans="1:4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  <c r="AH2">
        <v>22</v>
      </c>
      <c r="AI2">
        <v>23</v>
      </c>
      <c r="AJ2">
        <v>24</v>
      </c>
      <c r="AK2">
        <v>25</v>
      </c>
      <c r="AL2">
        <v>26</v>
      </c>
      <c r="AM2">
        <v>27</v>
      </c>
      <c r="AN2">
        <v>28</v>
      </c>
      <c r="AO2">
        <v>29</v>
      </c>
      <c r="AP2">
        <v>30</v>
      </c>
      <c r="AQ2">
        <v>31</v>
      </c>
      <c r="AR2" t="s">
        <v>12</v>
      </c>
    </row>
    <row r="3" spans="1:44">
      <c r="A3" t="s">
        <v>13</v>
      </c>
      <c r="B3" t="s">
        <v>14</v>
      </c>
      <c r="C3" t="s">
        <v>15</v>
      </c>
      <c r="E3">
        <v>1</v>
      </c>
      <c r="F3" t="s">
        <v>16</v>
      </c>
      <c r="H3" t="s">
        <v>17</v>
      </c>
      <c r="I3">
        <v>6</v>
      </c>
      <c r="J3">
        <v>1</v>
      </c>
      <c r="K3">
        <v>1</v>
      </c>
      <c r="L3" t="s">
        <v>18</v>
      </c>
      <c r="M3">
        <f>vlookup("927-050000-200",生产发行表!B:AZ,column(l1),0)</f>
        <v>0</v>
      </c>
      <c r="N3">
        <f>vlookup("927-050000-200",生产发行表!B:AZ,column(m1),0)</f>
        <v>0</v>
      </c>
      <c r="O3">
        <f>vlookup("927-050000-200",生产发行表!B:AZ,column(n1),0)</f>
        <v>0</v>
      </c>
      <c r="P3">
        <f>vlookup("927-050000-200",生产发行表!B:AZ,column(o1),0)</f>
        <v>0</v>
      </c>
      <c r="Q3">
        <f>vlookup("927-050000-200",生产发行表!B:AZ,column(p1),0)</f>
        <v>0</v>
      </c>
      <c r="R3">
        <f>vlookup("927-050000-200",生产发行表!B:AZ,column(q1),0)</f>
        <v>0</v>
      </c>
      <c r="S3">
        <f>vlookup("927-050000-200",生产发行表!B:AZ,column(r1),0)</f>
        <v>0</v>
      </c>
      <c r="T3">
        <f>vlookup("927-050000-200",生产发行表!B:AZ,column(s1),0)</f>
        <v>0</v>
      </c>
      <c r="U3">
        <f>vlookup("927-050000-200",生产发行表!B:AZ,column(t1),0)</f>
        <v>0</v>
      </c>
      <c r="V3">
        <f>vlookup("927-050000-200",生产发行表!B:AZ,column(u1),0)</f>
        <v>0</v>
      </c>
      <c r="W3">
        <f>vlookup("927-050000-200",生产发行表!B:AZ,column(v1),0)</f>
        <v>0</v>
      </c>
      <c r="X3">
        <f>vlookup("927-050000-200",生产发行表!B:AZ,column(w1),0)</f>
        <v>0</v>
      </c>
      <c r="Y3">
        <f>vlookup("927-050000-200",生产发行表!B:AZ,column(x1),0)</f>
        <v>0</v>
      </c>
      <c r="Z3">
        <f>vlookup("927-050000-200",生产发行表!B:AZ,column(y1),0)</f>
        <v>0</v>
      </c>
      <c r="AA3">
        <f>vlookup("927-050000-200",生产发行表!B:AZ,column(z1),0)</f>
        <v>0</v>
      </c>
      <c r="AB3">
        <f>vlookup("927-050000-200",生产发行表!B:AZ,column(aa1),0)</f>
        <v>0</v>
      </c>
      <c r="AC3">
        <f>vlookup("927-050000-200",生产发行表!B:AZ,column(ab1),0)</f>
        <v>0</v>
      </c>
      <c r="AD3">
        <f>vlookup("927-050000-200",生产发行表!B:AZ,column(ac1),0)</f>
        <v>0</v>
      </c>
      <c r="AE3">
        <f>vlookup("927-050000-200",生产发行表!B:AZ,column(ad1),0)</f>
        <v>0</v>
      </c>
      <c r="AF3">
        <f>vlookup("927-050000-200",生产发行表!B:AZ,column(ae1),0)</f>
        <v>0</v>
      </c>
      <c r="AG3">
        <f>vlookup("927-050000-200",生产发行表!B:AZ,column(af1),0)</f>
        <v>0</v>
      </c>
      <c r="AH3">
        <f>vlookup("927-050000-200",生产发行表!B:AZ,column(ag1),0)</f>
        <v>0</v>
      </c>
      <c r="AI3">
        <f>vlookup("927-050000-200",生产发行表!B:AZ,column(ah1),0)</f>
        <v>0</v>
      </c>
      <c r="AJ3">
        <f>vlookup("927-050000-200",生产发行表!B:AZ,column(ai1),0)</f>
        <v>0</v>
      </c>
      <c r="AK3">
        <f>vlookup("927-050000-200",生产发行表!B:AZ,column(aj1),0)</f>
        <v>0</v>
      </c>
      <c r="AL3">
        <f>vlookup("927-050000-200",生产发行表!B:AZ,column(ak1),0)</f>
        <v>0</v>
      </c>
      <c r="AM3">
        <f>vlookup("927-050000-200",生产发行表!B:AZ,column(al1),0)</f>
        <v>0</v>
      </c>
      <c r="AN3">
        <f>vlookup("927-050000-200",生产发行表!B:AZ,column(am1),0)</f>
        <v>0</v>
      </c>
      <c r="AO3">
        <f>vlookup("927-050000-200",生产发行表!B:AZ,column(an1),0)</f>
        <v>0</v>
      </c>
      <c r="AP3">
        <f>vlookup("927-050000-200",生产发行表!B:AZ,column(ao1),0)</f>
        <v>0</v>
      </c>
      <c r="AQ3">
        <f>vlookup("927-050000-200",生产发行表!B:AZ,column(ap1),0)</f>
        <v>0</v>
      </c>
      <c r="AR3">
        <f>vlookup("927-050000-200",生产发行表!B:AZ,column(aq1),0)</f>
        <v>0</v>
      </c>
    </row>
    <row r="4" spans="1:44">
      <c r="A4" t="s">
        <v>19</v>
      </c>
      <c r="B4" t="s">
        <v>20</v>
      </c>
      <c r="C4" t="s">
        <v>21</v>
      </c>
      <c r="E4">
        <v>1</v>
      </c>
      <c r="F4" t="s">
        <v>16</v>
      </c>
      <c r="H4" t="s">
        <v>17</v>
      </c>
      <c r="I4">
        <v>6</v>
      </c>
      <c r="J4">
        <v>1</v>
      </c>
      <c r="K4">
        <v>1</v>
      </c>
      <c r="L4" t="s">
        <v>22</v>
      </c>
      <c r="M4">
        <f>sumifs(m:m,A:A,"总成",B:B,"927-050000-200")*INDIRECT(ADDRESS(3,5))</f>
        <v>0</v>
      </c>
      <c r="N4">
        <f>sumifs(n:n,A:A,"总成",B:B,"927-050000-200")*INDIRECT(ADDRESS(3,5))</f>
        <v>0</v>
      </c>
      <c r="O4">
        <f>sumifs(o:o,A:A,"总成",B:B,"927-050000-200")*INDIRECT(ADDRESS(3,5))</f>
        <v>0</v>
      </c>
      <c r="P4">
        <f>sumifs(p:p,A:A,"总成",B:B,"927-050000-200")*INDIRECT(ADDRESS(3,5))</f>
        <v>0</v>
      </c>
      <c r="Q4">
        <f>sumifs(q:q,A:A,"总成",B:B,"927-050000-200")*INDIRECT(ADDRESS(3,5))</f>
        <v>0</v>
      </c>
      <c r="R4">
        <f>sumifs(r:r,A:A,"总成",B:B,"927-050000-200")*INDIRECT(ADDRESS(3,5))</f>
        <v>0</v>
      </c>
      <c r="S4">
        <f>sumifs(s:s,A:A,"总成",B:B,"927-050000-200")*INDIRECT(ADDRESS(3,5))</f>
        <v>0</v>
      </c>
      <c r="T4">
        <f>sumifs(t:t,A:A,"总成",B:B,"927-050000-200")*INDIRECT(ADDRESS(3,5))</f>
        <v>0</v>
      </c>
      <c r="U4">
        <f>sumifs(u:u,A:A,"总成",B:B,"927-050000-200")*INDIRECT(ADDRESS(3,5))</f>
        <v>0</v>
      </c>
      <c r="V4">
        <f>sumifs(v:v,A:A,"总成",B:B,"927-050000-200")*INDIRECT(ADDRESS(3,5))</f>
        <v>0</v>
      </c>
      <c r="W4">
        <f>sumifs(w:w,A:A,"总成",B:B,"927-050000-200")*INDIRECT(ADDRESS(3,5))</f>
        <v>0</v>
      </c>
      <c r="X4">
        <f>sumifs(x:x,A:A,"总成",B:B,"927-050000-200")*INDIRECT(ADDRESS(3,5))</f>
        <v>0</v>
      </c>
      <c r="Y4">
        <f>sumifs(y:y,A:A,"总成",B:B,"927-050000-200")*INDIRECT(ADDRESS(3,5))</f>
        <v>0</v>
      </c>
      <c r="Z4">
        <f>sumifs(z:z,A:A,"总成",B:B,"927-050000-200")*INDIRECT(ADDRESS(3,5))</f>
        <v>0</v>
      </c>
      <c r="AA4">
        <f>sumifs(aa:aa,A:A,"总成",B:B,"927-050000-200")*INDIRECT(ADDRESS(3,5))</f>
        <v>0</v>
      </c>
      <c r="AB4">
        <f>sumifs(ab:ab,A:A,"总成",B:B,"927-050000-200")*INDIRECT(ADDRESS(3,5))</f>
        <v>0</v>
      </c>
      <c r="AC4">
        <f>sumifs(ac:ac,A:A,"总成",B:B,"927-050000-200")*INDIRECT(ADDRESS(3,5))</f>
        <v>0</v>
      </c>
      <c r="AD4">
        <f>sumifs(ad:ad,A:A,"总成",B:B,"927-050000-200")*INDIRECT(ADDRESS(3,5))</f>
        <v>0</v>
      </c>
      <c r="AE4">
        <f>sumifs(ae:ae,A:A,"总成",B:B,"927-050000-200")*INDIRECT(ADDRESS(3,5))</f>
        <v>0</v>
      </c>
      <c r="AF4">
        <f>sumifs(af:af,A:A,"总成",B:B,"927-050000-200")*INDIRECT(ADDRESS(3,5))</f>
        <v>0</v>
      </c>
      <c r="AG4">
        <f>sumifs(ag:ag,A:A,"总成",B:B,"927-050000-200")*INDIRECT(ADDRESS(3,5))</f>
        <v>0</v>
      </c>
      <c r="AH4">
        <f>sumifs(ah:ah,A:A,"总成",B:B,"927-050000-200")*INDIRECT(ADDRESS(3,5))</f>
        <v>0</v>
      </c>
      <c r="AI4">
        <f>sumifs(ai:ai,A:A,"总成",B:B,"927-050000-200")*INDIRECT(ADDRESS(3,5))</f>
        <v>0</v>
      </c>
      <c r="AJ4">
        <f>sumifs(aj:aj,A:A,"总成",B:B,"927-050000-200")*INDIRECT(ADDRESS(3,5))</f>
        <v>0</v>
      </c>
      <c r="AK4">
        <f>sumifs(ak:ak,A:A,"总成",B:B,"927-050000-200")*INDIRECT(ADDRESS(3,5))</f>
        <v>0</v>
      </c>
      <c r="AL4">
        <f>sumifs(al:al,A:A,"总成",B:B,"927-050000-200")*INDIRECT(ADDRESS(3,5))</f>
        <v>0</v>
      </c>
      <c r="AM4">
        <f>sumifs(am:am,A:A,"总成",B:B,"927-050000-200")*INDIRECT(ADDRESS(3,5))</f>
        <v>0</v>
      </c>
      <c r="AN4">
        <f>sumifs(an:an,A:A,"总成",B:B,"927-050000-200")*INDIRECT(ADDRESS(3,5))</f>
        <v>0</v>
      </c>
      <c r="AO4">
        <f>sumifs(ao:ao,A:A,"总成",B:B,"927-050000-200")*INDIRECT(ADDRESS(3,5))</f>
        <v>0</v>
      </c>
      <c r="AP4">
        <f>sumifs(ap:ap,A:A,"总成",B:B,"927-050000-200")*INDIRECT(ADDRESS(3,5))</f>
        <v>0</v>
      </c>
      <c r="AQ4">
        <f>sumifs(aq:aq,A:A,"总成",B:B,"927-050000-200")*INDIRECT(ADDRESS(3,5))</f>
        <v>0</v>
      </c>
      <c r="AR4">
        <f>sumifs(ar:ar,A:A,"总成",B:B,"927-050000-200")*INDIRECT(ADDRESS(3,5))</f>
        <v>0</v>
      </c>
    </row>
    <row r="5" spans="1:44">
      <c r="A5" t="s">
        <v>19</v>
      </c>
      <c r="B5" t="s">
        <v>23</v>
      </c>
      <c r="C5" t="s">
        <v>24</v>
      </c>
      <c r="E5">
        <v>1</v>
      </c>
      <c r="F5" t="s">
        <v>16</v>
      </c>
      <c r="H5" t="s">
        <v>17</v>
      </c>
      <c r="I5">
        <v>6</v>
      </c>
      <c r="J5">
        <v>1</v>
      </c>
      <c r="K5">
        <v>1</v>
      </c>
      <c r="L5" t="s">
        <v>22</v>
      </c>
      <c r="M5">
        <f>sumifs(m:m,A:A,"总成",B:B,"927-050000-200")*INDIRECT(ADDRESS(4,5))</f>
        <v>0</v>
      </c>
      <c r="N5">
        <f>sumifs(n:n,A:A,"总成",B:B,"927-050000-200")*INDIRECT(ADDRESS(4,5))</f>
        <v>0</v>
      </c>
      <c r="O5">
        <f>sumifs(o:o,A:A,"总成",B:B,"927-050000-200")*INDIRECT(ADDRESS(4,5))</f>
        <v>0</v>
      </c>
      <c r="P5">
        <f>sumifs(p:p,A:A,"总成",B:B,"927-050000-200")*INDIRECT(ADDRESS(4,5))</f>
        <v>0</v>
      </c>
      <c r="Q5">
        <f>sumifs(q:q,A:A,"总成",B:B,"927-050000-200")*INDIRECT(ADDRESS(4,5))</f>
        <v>0</v>
      </c>
      <c r="R5">
        <f>sumifs(r:r,A:A,"总成",B:B,"927-050000-200")*INDIRECT(ADDRESS(4,5))</f>
        <v>0</v>
      </c>
      <c r="S5">
        <f>sumifs(s:s,A:A,"总成",B:B,"927-050000-200")*INDIRECT(ADDRESS(4,5))</f>
        <v>0</v>
      </c>
      <c r="T5">
        <f>sumifs(t:t,A:A,"总成",B:B,"927-050000-200")*INDIRECT(ADDRESS(4,5))</f>
        <v>0</v>
      </c>
      <c r="U5">
        <f>sumifs(u:u,A:A,"总成",B:B,"927-050000-200")*INDIRECT(ADDRESS(4,5))</f>
        <v>0</v>
      </c>
      <c r="V5">
        <f>sumifs(v:v,A:A,"总成",B:B,"927-050000-200")*INDIRECT(ADDRESS(4,5))</f>
        <v>0</v>
      </c>
      <c r="W5">
        <f>sumifs(w:w,A:A,"总成",B:B,"927-050000-200")*INDIRECT(ADDRESS(4,5))</f>
        <v>0</v>
      </c>
      <c r="X5">
        <f>sumifs(x:x,A:A,"总成",B:B,"927-050000-200")*INDIRECT(ADDRESS(4,5))</f>
        <v>0</v>
      </c>
      <c r="Y5">
        <f>sumifs(y:y,A:A,"总成",B:B,"927-050000-200")*INDIRECT(ADDRESS(4,5))</f>
        <v>0</v>
      </c>
      <c r="Z5">
        <f>sumifs(z:z,A:A,"总成",B:B,"927-050000-200")*INDIRECT(ADDRESS(4,5))</f>
        <v>0</v>
      </c>
      <c r="AA5">
        <f>sumifs(aa:aa,A:A,"总成",B:B,"927-050000-200")*INDIRECT(ADDRESS(4,5))</f>
        <v>0</v>
      </c>
      <c r="AB5">
        <f>sumifs(ab:ab,A:A,"总成",B:B,"927-050000-200")*INDIRECT(ADDRESS(4,5))</f>
        <v>0</v>
      </c>
      <c r="AC5">
        <f>sumifs(ac:ac,A:A,"总成",B:B,"927-050000-200")*INDIRECT(ADDRESS(4,5))</f>
        <v>0</v>
      </c>
      <c r="AD5">
        <f>sumifs(ad:ad,A:A,"总成",B:B,"927-050000-200")*INDIRECT(ADDRESS(4,5))</f>
        <v>0</v>
      </c>
      <c r="AE5">
        <f>sumifs(ae:ae,A:A,"总成",B:B,"927-050000-200")*INDIRECT(ADDRESS(4,5))</f>
        <v>0</v>
      </c>
      <c r="AF5">
        <f>sumifs(af:af,A:A,"总成",B:B,"927-050000-200")*INDIRECT(ADDRESS(4,5))</f>
        <v>0</v>
      </c>
      <c r="AG5">
        <f>sumifs(ag:ag,A:A,"总成",B:B,"927-050000-200")*INDIRECT(ADDRESS(4,5))</f>
        <v>0</v>
      </c>
      <c r="AH5">
        <f>sumifs(ah:ah,A:A,"总成",B:B,"927-050000-200")*INDIRECT(ADDRESS(4,5))</f>
        <v>0</v>
      </c>
      <c r="AI5">
        <f>sumifs(ai:ai,A:A,"总成",B:B,"927-050000-200")*INDIRECT(ADDRESS(4,5))</f>
        <v>0</v>
      </c>
      <c r="AJ5">
        <f>sumifs(aj:aj,A:A,"总成",B:B,"927-050000-200")*INDIRECT(ADDRESS(4,5))</f>
        <v>0</v>
      </c>
      <c r="AK5">
        <f>sumifs(ak:ak,A:A,"总成",B:B,"927-050000-200")*INDIRECT(ADDRESS(4,5))</f>
        <v>0</v>
      </c>
      <c r="AL5">
        <f>sumifs(al:al,A:A,"总成",B:B,"927-050000-200")*INDIRECT(ADDRESS(4,5))</f>
        <v>0</v>
      </c>
      <c r="AM5">
        <f>sumifs(am:am,A:A,"总成",B:B,"927-050000-200")*INDIRECT(ADDRESS(4,5))</f>
        <v>0</v>
      </c>
      <c r="AN5">
        <f>sumifs(an:an,A:A,"总成",B:B,"927-050000-200")*INDIRECT(ADDRESS(4,5))</f>
        <v>0</v>
      </c>
      <c r="AO5">
        <f>sumifs(ao:ao,A:A,"总成",B:B,"927-050000-200")*INDIRECT(ADDRESS(4,5))</f>
        <v>0</v>
      </c>
      <c r="AP5">
        <f>sumifs(ap:ap,A:A,"总成",B:B,"927-050000-200")*INDIRECT(ADDRESS(4,5))</f>
        <v>0</v>
      </c>
      <c r="AQ5">
        <f>sumifs(aq:aq,A:A,"总成",B:B,"927-050000-200")*INDIRECT(ADDRESS(4,5))</f>
        <v>0</v>
      </c>
      <c r="AR5">
        <f>sumifs(ar:ar,A:A,"总成",B:B,"927-050000-200")*INDIRECT(ADDRESS(4,5))</f>
        <v>0</v>
      </c>
    </row>
    <row r="6" spans="1:44">
      <c r="A6" t="s">
        <v>25</v>
      </c>
      <c r="B6" t="s">
        <v>26</v>
      </c>
      <c r="C6" t="s">
        <v>27</v>
      </c>
      <c r="E6">
        <v>1</v>
      </c>
      <c r="F6" t="s">
        <v>16</v>
      </c>
      <c r="H6" t="s">
        <v>17</v>
      </c>
      <c r="I6">
        <v>6</v>
      </c>
      <c r="J6">
        <v>1</v>
      </c>
      <c r="K6">
        <v>1</v>
      </c>
      <c r="L6" t="s">
        <v>22</v>
      </c>
      <c r="M6">
        <f>sumifs(m:m,A:A,"总成",B:B,"927-050000-200")*INDIRECT(ADDRESS(5,5))</f>
        <v>0</v>
      </c>
      <c r="N6">
        <f>sumifs(n:n,A:A,"总成",B:B,"927-050000-200")*INDIRECT(ADDRESS(5,5))</f>
        <v>0</v>
      </c>
      <c r="O6">
        <f>sumifs(o:o,A:A,"总成",B:B,"927-050000-200")*INDIRECT(ADDRESS(5,5))</f>
        <v>0</v>
      </c>
      <c r="P6">
        <f>sumifs(p:p,A:A,"总成",B:B,"927-050000-200")*INDIRECT(ADDRESS(5,5))</f>
        <v>0</v>
      </c>
      <c r="Q6">
        <f>sumifs(q:q,A:A,"总成",B:B,"927-050000-200")*INDIRECT(ADDRESS(5,5))</f>
        <v>0</v>
      </c>
      <c r="R6">
        <f>sumifs(r:r,A:A,"总成",B:B,"927-050000-200")*INDIRECT(ADDRESS(5,5))</f>
        <v>0</v>
      </c>
      <c r="S6">
        <f>sumifs(s:s,A:A,"总成",B:B,"927-050000-200")*INDIRECT(ADDRESS(5,5))</f>
        <v>0</v>
      </c>
      <c r="T6">
        <f>sumifs(t:t,A:A,"总成",B:B,"927-050000-200")*INDIRECT(ADDRESS(5,5))</f>
        <v>0</v>
      </c>
      <c r="U6">
        <f>sumifs(u:u,A:A,"总成",B:B,"927-050000-200")*INDIRECT(ADDRESS(5,5))</f>
        <v>0</v>
      </c>
      <c r="V6">
        <f>sumifs(v:v,A:A,"总成",B:B,"927-050000-200")*INDIRECT(ADDRESS(5,5))</f>
        <v>0</v>
      </c>
      <c r="W6">
        <f>sumifs(w:w,A:A,"总成",B:B,"927-050000-200")*INDIRECT(ADDRESS(5,5))</f>
        <v>0</v>
      </c>
      <c r="X6">
        <f>sumifs(x:x,A:A,"总成",B:B,"927-050000-200")*INDIRECT(ADDRESS(5,5))</f>
        <v>0</v>
      </c>
      <c r="Y6">
        <f>sumifs(y:y,A:A,"总成",B:B,"927-050000-200")*INDIRECT(ADDRESS(5,5))</f>
        <v>0</v>
      </c>
      <c r="Z6">
        <f>sumifs(z:z,A:A,"总成",B:B,"927-050000-200")*INDIRECT(ADDRESS(5,5))</f>
        <v>0</v>
      </c>
      <c r="AA6">
        <f>sumifs(aa:aa,A:A,"总成",B:B,"927-050000-200")*INDIRECT(ADDRESS(5,5))</f>
        <v>0</v>
      </c>
      <c r="AB6">
        <f>sumifs(ab:ab,A:A,"总成",B:B,"927-050000-200")*INDIRECT(ADDRESS(5,5))</f>
        <v>0</v>
      </c>
      <c r="AC6">
        <f>sumifs(ac:ac,A:A,"总成",B:B,"927-050000-200")*INDIRECT(ADDRESS(5,5))</f>
        <v>0</v>
      </c>
      <c r="AD6">
        <f>sumifs(ad:ad,A:A,"总成",B:B,"927-050000-200")*INDIRECT(ADDRESS(5,5))</f>
        <v>0</v>
      </c>
      <c r="AE6">
        <f>sumifs(ae:ae,A:A,"总成",B:B,"927-050000-200")*INDIRECT(ADDRESS(5,5))</f>
        <v>0</v>
      </c>
      <c r="AF6">
        <f>sumifs(af:af,A:A,"总成",B:B,"927-050000-200")*INDIRECT(ADDRESS(5,5))</f>
        <v>0</v>
      </c>
      <c r="AG6">
        <f>sumifs(ag:ag,A:A,"总成",B:B,"927-050000-200")*INDIRECT(ADDRESS(5,5))</f>
        <v>0</v>
      </c>
      <c r="AH6">
        <f>sumifs(ah:ah,A:A,"总成",B:B,"927-050000-200")*INDIRECT(ADDRESS(5,5))</f>
        <v>0</v>
      </c>
      <c r="AI6">
        <f>sumifs(ai:ai,A:A,"总成",B:B,"927-050000-200")*INDIRECT(ADDRESS(5,5))</f>
        <v>0</v>
      </c>
      <c r="AJ6">
        <f>sumifs(aj:aj,A:A,"总成",B:B,"927-050000-200")*INDIRECT(ADDRESS(5,5))</f>
        <v>0</v>
      </c>
      <c r="AK6">
        <f>sumifs(ak:ak,A:A,"总成",B:B,"927-050000-200")*INDIRECT(ADDRESS(5,5))</f>
        <v>0</v>
      </c>
      <c r="AL6">
        <f>sumifs(al:al,A:A,"总成",B:B,"927-050000-200")*INDIRECT(ADDRESS(5,5))</f>
        <v>0</v>
      </c>
      <c r="AM6">
        <f>sumifs(am:am,A:A,"总成",B:B,"927-050000-200")*INDIRECT(ADDRESS(5,5))</f>
        <v>0</v>
      </c>
      <c r="AN6">
        <f>sumifs(an:an,A:A,"总成",B:B,"927-050000-200")*INDIRECT(ADDRESS(5,5))</f>
        <v>0</v>
      </c>
      <c r="AO6">
        <f>sumifs(ao:ao,A:A,"总成",B:B,"927-050000-200")*INDIRECT(ADDRESS(5,5))</f>
        <v>0</v>
      </c>
      <c r="AP6">
        <f>sumifs(ap:ap,A:A,"总成",B:B,"927-050000-200")*INDIRECT(ADDRESS(5,5))</f>
        <v>0</v>
      </c>
      <c r="AQ6">
        <f>sumifs(aq:aq,A:A,"总成",B:B,"927-050000-200")*INDIRECT(ADDRESS(5,5))</f>
        <v>0</v>
      </c>
      <c r="AR6">
        <f>sumifs(ar:ar,A:A,"总成",B:B,"927-050000-200")*INDIRECT(ADDRESS(5,5))</f>
        <v>0</v>
      </c>
    </row>
    <row r="7" spans="1:44">
      <c r="A7" t="s">
        <v>19</v>
      </c>
      <c r="B7" t="s">
        <v>28</v>
      </c>
      <c r="C7" t="s">
        <v>29</v>
      </c>
      <c r="E7">
        <v>1</v>
      </c>
      <c r="F7" t="s">
        <v>16</v>
      </c>
      <c r="H7" t="s">
        <v>17</v>
      </c>
      <c r="I7">
        <v>6</v>
      </c>
      <c r="J7">
        <v>1</v>
      </c>
      <c r="K7">
        <v>1</v>
      </c>
      <c r="L7" t="s">
        <v>22</v>
      </c>
      <c r="M7">
        <f>sumifs(m:m,A:A,"总成",B:B,"927-050000-200")*INDIRECT(ADDRESS(6,5))</f>
        <v>0</v>
      </c>
      <c r="N7">
        <f>sumifs(n:n,A:A,"总成",B:B,"927-050000-200")*INDIRECT(ADDRESS(6,5))</f>
        <v>0</v>
      </c>
      <c r="O7">
        <f>sumifs(o:o,A:A,"总成",B:B,"927-050000-200")*INDIRECT(ADDRESS(6,5))</f>
        <v>0</v>
      </c>
      <c r="P7">
        <f>sumifs(p:p,A:A,"总成",B:B,"927-050000-200")*INDIRECT(ADDRESS(6,5))</f>
        <v>0</v>
      </c>
      <c r="Q7">
        <f>sumifs(q:q,A:A,"总成",B:B,"927-050000-200")*INDIRECT(ADDRESS(6,5))</f>
        <v>0</v>
      </c>
      <c r="R7">
        <f>sumifs(r:r,A:A,"总成",B:B,"927-050000-200")*INDIRECT(ADDRESS(6,5))</f>
        <v>0</v>
      </c>
      <c r="S7">
        <f>sumifs(s:s,A:A,"总成",B:B,"927-050000-200")*INDIRECT(ADDRESS(6,5))</f>
        <v>0</v>
      </c>
      <c r="T7">
        <f>sumifs(t:t,A:A,"总成",B:B,"927-050000-200")*INDIRECT(ADDRESS(6,5))</f>
        <v>0</v>
      </c>
      <c r="U7">
        <f>sumifs(u:u,A:A,"总成",B:B,"927-050000-200")*INDIRECT(ADDRESS(6,5))</f>
        <v>0</v>
      </c>
      <c r="V7">
        <f>sumifs(v:v,A:A,"总成",B:B,"927-050000-200")*INDIRECT(ADDRESS(6,5))</f>
        <v>0</v>
      </c>
      <c r="W7">
        <f>sumifs(w:w,A:A,"总成",B:B,"927-050000-200")*INDIRECT(ADDRESS(6,5))</f>
        <v>0</v>
      </c>
      <c r="X7">
        <f>sumifs(x:x,A:A,"总成",B:B,"927-050000-200")*INDIRECT(ADDRESS(6,5))</f>
        <v>0</v>
      </c>
      <c r="Y7">
        <f>sumifs(y:y,A:A,"总成",B:B,"927-050000-200")*INDIRECT(ADDRESS(6,5))</f>
        <v>0</v>
      </c>
      <c r="Z7">
        <f>sumifs(z:z,A:A,"总成",B:B,"927-050000-200")*INDIRECT(ADDRESS(6,5))</f>
        <v>0</v>
      </c>
      <c r="AA7">
        <f>sumifs(aa:aa,A:A,"总成",B:B,"927-050000-200")*INDIRECT(ADDRESS(6,5))</f>
        <v>0</v>
      </c>
      <c r="AB7">
        <f>sumifs(ab:ab,A:A,"总成",B:B,"927-050000-200")*INDIRECT(ADDRESS(6,5))</f>
        <v>0</v>
      </c>
      <c r="AC7">
        <f>sumifs(ac:ac,A:A,"总成",B:B,"927-050000-200")*INDIRECT(ADDRESS(6,5))</f>
        <v>0</v>
      </c>
      <c r="AD7">
        <f>sumifs(ad:ad,A:A,"总成",B:B,"927-050000-200")*INDIRECT(ADDRESS(6,5))</f>
        <v>0</v>
      </c>
      <c r="AE7">
        <f>sumifs(ae:ae,A:A,"总成",B:B,"927-050000-200")*INDIRECT(ADDRESS(6,5))</f>
        <v>0</v>
      </c>
      <c r="AF7">
        <f>sumifs(af:af,A:A,"总成",B:B,"927-050000-200")*INDIRECT(ADDRESS(6,5))</f>
        <v>0</v>
      </c>
      <c r="AG7">
        <f>sumifs(ag:ag,A:A,"总成",B:B,"927-050000-200")*INDIRECT(ADDRESS(6,5))</f>
        <v>0</v>
      </c>
      <c r="AH7">
        <f>sumifs(ah:ah,A:A,"总成",B:B,"927-050000-200")*INDIRECT(ADDRESS(6,5))</f>
        <v>0</v>
      </c>
      <c r="AI7">
        <f>sumifs(ai:ai,A:A,"总成",B:B,"927-050000-200")*INDIRECT(ADDRESS(6,5))</f>
        <v>0</v>
      </c>
      <c r="AJ7">
        <f>sumifs(aj:aj,A:A,"总成",B:B,"927-050000-200")*INDIRECT(ADDRESS(6,5))</f>
        <v>0</v>
      </c>
      <c r="AK7">
        <f>sumifs(ak:ak,A:A,"总成",B:B,"927-050000-200")*INDIRECT(ADDRESS(6,5))</f>
        <v>0</v>
      </c>
      <c r="AL7">
        <f>sumifs(al:al,A:A,"总成",B:B,"927-050000-200")*INDIRECT(ADDRESS(6,5))</f>
        <v>0</v>
      </c>
      <c r="AM7">
        <f>sumifs(am:am,A:A,"总成",B:B,"927-050000-200")*INDIRECT(ADDRESS(6,5))</f>
        <v>0</v>
      </c>
      <c r="AN7">
        <f>sumifs(an:an,A:A,"总成",B:B,"927-050000-200")*INDIRECT(ADDRESS(6,5))</f>
        <v>0</v>
      </c>
      <c r="AO7">
        <f>sumifs(ao:ao,A:A,"总成",B:B,"927-050000-200")*INDIRECT(ADDRESS(6,5))</f>
        <v>0</v>
      </c>
      <c r="AP7">
        <f>sumifs(ap:ap,A:A,"总成",B:B,"927-050000-200")*INDIRECT(ADDRESS(6,5))</f>
        <v>0</v>
      </c>
      <c r="AQ7">
        <f>sumifs(aq:aq,A:A,"总成",B:B,"927-050000-200")*INDIRECT(ADDRESS(6,5))</f>
        <v>0</v>
      </c>
      <c r="AR7">
        <f>sumifs(ar:ar,A:A,"总成",B:B,"927-050000-200")*INDIRECT(ADDRESS(6,5))</f>
        <v>0</v>
      </c>
    </row>
    <row r="8" spans="1:44">
      <c r="A8" t="s">
        <v>19</v>
      </c>
      <c r="B8" t="s">
        <v>30</v>
      </c>
      <c r="C8" t="s">
        <v>31</v>
      </c>
      <c r="E8">
        <v>1</v>
      </c>
      <c r="F8" t="s">
        <v>16</v>
      </c>
      <c r="H8" t="s">
        <v>17</v>
      </c>
      <c r="I8">
        <v>6</v>
      </c>
      <c r="J8">
        <v>1</v>
      </c>
      <c r="K8">
        <v>1</v>
      </c>
      <c r="L8" t="s">
        <v>22</v>
      </c>
      <c r="M8">
        <f>sumifs(m:m,A:A,"总成",B:B,"927-050000-200")*INDIRECT(ADDRESS(7,5))</f>
        <v>0</v>
      </c>
      <c r="N8">
        <f>sumifs(n:n,A:A,"总成",B:B,"927-050000-200")*INDIRECT(ADDRESS(7,5))</f>
        <v>0</v>
      </c>
      <c r="O8">
        <f>sumifs(o:o,A:A,"总成",B:B,"927-050000-200")*INDIRECT(ADDRESS(7,5))</f>
        <v>0</v>
      </c>
      <c r="P8">
        <f>sumifs(p:p,A:A,"总成",B:B,"927-050000-200")*INDIRECT(ADDRESS(7,5))</f>
        <v>0</v>
      </c>
      <c r="Q8">
        <f>sumifs(q:q,A:A,"总成",B:B,"927-050000-200")*INDIRECT(ADDRESS(7,5))</f>
        <v>0</v>
      </c>
      <c r="R8">
        <f>sumifs(r:r,A:A,"总成",B:B,"927-050000-200")*INDIRECT(ADDRESS(7,5))</f>
        <v>0</v>
      </c>
      <c r="S8">
        <f>sumifs(s:s,A:A,"总成",B:B,"927-050000-200")*INDIRECT(ADDRESS(7,5))</f>
        <v>0</v>
      </c>
      <c r="T8">
        <f>sumifs(t:t,A:A,"总成",B:B,"927-050000-200")*INDIRECT(ADDRESS(7,5))</f>
        <v>0</v>
      </c>
      <c r="U8">
        <f>sumifs(u:u,A:A,"总成",B:B,"927-050000-200")*INDIRECT(ADDRESS(7,5))</f>
        <v>0</v>
      </c>
      <c r="V8">
        <f>sumifs(v:v,A:A,"总成",B:B,"927-050000-200")*INDIRECT(ADDRESS(7,5))</f>
        <v>0</v>
      </c>
      <c r="W8">
        <f>sumifs(w:w,A:A,"总成",B:B,"927-050000-200")*INDIRECT(ADDRESS(7,5))</f>
        <v>0</v>
      </c>
      <c r="X8">
        <f>sumifs(x:x,A:A,"总成",B:B,"927-050000-200")*INDIRECT(ADDRESS(7,5))</f>
        <v>0</v>
      </c>
      <c r="Y8">
        <f>sumifs(y:y,A:A,"总成",B:B,"927-050000-200")*INDIRECT(ADDRESS(7,5))</f>
        <v>0</v>
      </c>
      <c r="Z8">
        <f>sumifs(z:z,A:A,"总成",B:B,"927-050000-200")*INDIRECT(ADDRESS(7,5))</f>
        <v>0</v>
      </c>
      <c r="AA8">
        <f>sumifs(aa:aa,A:A,"总成",B:B,"927-050000-200")*INDIRECT(ADDRESS(7,5))</f>
        <v>0</v>
      </c>
      <c r="AB8">
        <f>sumifs(ab:ab,A:A,"总成",B:B,"927-050000-200")*INDIRECT(ADDRESS(7,5))</f>
        <v>0</v>
      </c>
      <c r="AC8">
        <f>sumifs(ac:ac,A:A,"总成",B:B,"927-050000-200")*INDIRECT(ADDRESS(7,5))</f>
        <v>0</v>
      </c>
      <c r="AD8">
        <f>sumifs(ad:ad,A:A,"总成",B:B,"927-050000-200")*INDIRECT(ADDRESS(7,5))</f>
        <v>0</v>
      </c>
      <c r="AE8">
        <f>sumifs(ae:ae,A:A,"总成",B:B,"927-050000-200")*INDIRECT(ADDRESS(7,5))</f>
        <v>0</v>
      </c>
      <c r="AF8">
        <f>sumifs(af:af,A:A,"总成",B:B,"927-050000-200")*INDIRECT(ADDRESS(7,5))</f>
        <v>0</v>
      </c>
      <c r="AG8">
        <f>sumifs(ag:ag,A:A,"总成",B:B,"927-050000-200")*INDIRECT(ADDRESS(7,5))</f>
        <v>0</v>
      </c>
      <c r="AH8">
        <f>sumifs(ah:ah,A:A,"总成",B:B,"927-050000-200")*INDIRECT(ADDRESS(7,5))</f>
        <v>0</v>
      </c>
      <c r="AI8">
        <f>sumifs(ai:ai,A:A,"总成",B:B,"927-050000-200")*INDIRECT(ADDRESS(7,5))</f>
        <v>0</v>
      </c>
      <c r="AJ8">
        <f>sumifs(aj:aj,A:A,"总成",B:B,"927-050000-200")*INDIRECT(ADDRESS(7,5))</f>
        <v>0</v>
      </c>
      <c r="AK8">
        <f>sumifs(ak:ak,A:A,"总成",B:B,"927-050000-200")*INDIRECT(ADDRESS(7,5))</f>
        <v>0</v>
      </c>
      <c r="AL8">
        <f>sumifs(al:al,A:A,"总成",B:B,"927-050000-200")*INDIRECT(ADDRESS(7,5))</f>
        <v>0</v>
      </c>
      <c r="AM8">
        <f>sumifs(am:am,A:A,"总成",B:B,"927-050000-200")*INDIRECT(ADDRESS(7,5))</f>
        <v>0</v>
      </c>
      <c r="AN8">
        <f>sumifs(an:an,A:A,"总成",B:B,"927-050000-200")*INDIRECT(ADDRESS(7,5))</f>
        <v>0</v>
      </c>
      <c r="AO8">
        <f>sumifs(ao:ao,A:A,"总成",B:B,"927-050000-200")*INDIRECT(ADDRESS(7,5))</f>
        <v>0</v>
      </c>
      <c r="AP8">
        <f>sumifs(ap:ap,A:A,"总成",B:B,"927-050000-200")*INDIRECT(ADDRESS(7,5))</f>
        <v>0</v>
      </c>
      <c r="AQ8">
        <f>sumifs(aq:aq,A:A,"总成",B:B,"927-050000-200")*INDIRECT(ADDRESS(7,5))</f>
        <v>0</v>
      </c>
      <c r="AR8">
        <f>sumifs(ar:ar,A:A,"总成",B:B,"927-050000-200")*INDIRECT(ADDRESS(7,5))</f>
        <v>0</v>
      </c>
    </row>
    <row r="9" spans="1:44">
      <c r="A9" t="s">
        <v>25</v>
      </c>
      <c r="B9" t="s">
        <v>32</v>
      </c>
      <c r="C9" t="s">
        <v>33</v>
      </c>
      <c r="E9">
        <v>1</v>
      </c>
      <c r="F9" t="s">
        <v>16</v>
      </c>
      <c r="H9" t="s">
        <v>17</v>
      </c>
      <c r="I9">
        <v>6</v>
      </c>
      <c r="J9">
        <v>1</v>
      </c>
      <c r="K9">
        <v>1</v>
      </c>
      <c r="L9" t="s">
        <v>22</v>
      </c>
      <c r="M9">
        <f>sumifs(m:m,A:A,"总成",B:B,"927-050000-200")*INDIRECT(ADDRESS(8,5))</f>
        <v>0</v>
      </c>
      <c r="N9">
        <f>sumifs(n:n,A:A,"总成",B:B,"927-050000-200")*INDIRECT(ADDRESS(8,5))</f>
        <v>0</v>
      </c>
      <c r="O9">
        <f>sumifs(o:o,A:A,"总成",B:B,"927-050000-200")*INDIRECT(ADDRESS(8,5))</f>
        <v>0</v>
      </c>
      <c r="P9">
        <f>sumifs(p:p,A:A,"总成",B:B,"927-050000-200")*INDIRECT(ADDRESS(8,5))</f>
        <v>0</v>
      </c>
      <c r="Q9">
        <f>sumifs(q:q,A:A,"总成",B:B,"927-050000-200")*INDIRECT(ADDRESS(8,5))</f>
        <v>0</v>
      </c>
      <c r="R9">
        <f>sumifs(r:r,A:A,"总成",B:B,"927-050000-200")*INDIRECT(ADDRESS(8,5))</f>
        <v>0</v>
      </c>
      <c r="S9">
        <f>sumifs(s:s,A:A,"总成",B:B,"927-050000-200")*INDIRECT(ADDRESS(8,5))</f>
        <v>0</v>
      </c>
      <c r="T9">
        <f>sumifs(t:t,A:A,"总成",B:B,"927-050000-200")*INDIRECT(ADDRESS(8,5))</f>
        <v>0</v>
      </c>
      <c r="U9">
        <f>sumifs(u:u,A:A,"总成",B:B,"927-050000-200")*INDIRECT(ADDRESS(8,5))</f>
        <v>0</v>
      </c>
      <c r="V9">
        <f>sumifs(v:v,A:A,"总成",B:B,"927-050000-200")*INDIRECT(ADDRESS(8,5))</f>
        <v>0</v>
      </c>
      <c r="W9">
        <f>sumifs(w:w,A:A,"总成",B:B,"927-050000-200")*INDIRECT(ADDRESS(8,5))</f>
        <v>0</v>
      </c>
      <c r="X9">
        <f>sumifs(x:x,A:A,"总成",B:B,"927-050000-200")*INDIRECT(ADDRESS(8,5))</f>
        <v>0</v>
      </c>
      <c r="Y9">
        <f>sumifs(y:y,A:A,"总成",B:B,"927-050000-200")*INDIRECT(ADDRESS(8,5))</f>
        <v>0</v>
      </c>
      <c r="Z9">
        <f>sumifs(z:z,A:A,"总成",B:B,"927-050000-200")*INDIRECT(ADDRESS(8,5))</f>
        <v>0</v>
      </c>
      <c r="AA9">
        <f>sumifs(aa:aa,A:A,"总成",B:B,"927-050000-200")*INDIRECT(ADDRESS(8,5))</f>
        <v>0</v>
      </c>
      <c r="AB9">
        <f>sumifs(ab:ab,A:A,"总成",B:B,"927-050000-200")*INDIRECT(ADDRESS(8,5))</f>
        <v>0</v>
      </c>
      <c r="AC9">
        <f>sumifs(ac:ac,A:A,"总成",B:B,"927-050000-200")*INDIRECT(ADDRESS(8,5))</f>
        <v>0</v>
      </c>
      <c r="AD9">
        <f>sumifs(ad:ad,A:A,"总成",B:B,"927-050000-200")*INDIRECT(ADDRESS(8,5))</f>
        <v>0</v>
      </c>
      <c r="AE9">
        <f>sumifs(ae:ae,A:A,"总成",B:B,"927-050000-200")*INDIRECT(ADDRESS(8,5))</f>
        <v>0</v>
      </c>
      <c r="AF9">
        <f>sumifs(af:af,A:A,"总成",B:B,"927-050000-200")*INDIRECT(ADDRESS(8,5))</f>
        <v>0</v>
      </c>
      <c r="AG9">
        <f>sumifs(ag:ag,A:A,"总成",B:B,"927-050000-200")*INDIRECT(ADDRESS(8,5))</f>
        <v>0</v>
      </c>
      <c r="AH9">
        <f>sumifs(ah:ah,A:A,"总成",B:B,"927-050000-200")*INDIRECT(ADDRESS(8,5))</f>
        <v>0</v>
      </c>
      <c r="AI9">
        <f>sumifs(ai:ai,A:A,"总成",B:B,"927-050000-200")*INDIRECT(ADDRESS(8,5))</f>
        <v>0</v>
      </c>
      <c r="AJ9">
        <f>sumifs(aj:aj,A:A,"总成",B:B,"927-050000-200")*INDIRECT(ADDRESS(8,5))</f>
        <v>0</v>
      </c>
      <c r="AK9">
        <f>sumifs(ak:ak,A:A,"总成",B:B,"927-050000-200")*INDIRECT(ADDRESS(8,5))</f>
        <v>0</v>
      </c>
      <c r="AL9">
        <f>sumifs(al:al,A:A,"总成",B:B,"927-050000-200")*INDIRECT(ADDRESS(8,5))</f>
        <v>0</v>
      </c>
      <c r="AM9">
        <f>sumifs(am:am,A:A,"总成",B:B,"927-050000-200")*INDIRECT(ADDRESS(8,5))</f>
        <v>0</v>
      </c>
      <c r="AN9">
        <f>sumifs(an:an,A:A,"总成",B:B,"927-050000-200")*INDIRECT(ADDRESS(8,5))</f>
        <v>0</v>
      </c>
      <c r="AO9">
        <f>sumifs(ao:ao,A:A,"总成",B:B,"927-050000-200")*INDIRECT(ADDRESS(8,5))</f>
        <v>0</v>
      </c>
      <c r="AP9">
        <f>sumifs(ap:ap,A:A,"总成",B:B,"927-050000-200")*INDIRECT(ADDRESS(8,5))</f>
        <v>0</v>
      </c>
      <c r="AQ9">
        <f>sumifs(aq:aq,A:A,"总成",B:B,"927-050000-200")*INDIRECT(ADDRESS(8,5))</f>
        <v>0</v>
      </c>
      <c r="AR9">
        <f>sumifs(ar:ar,A:A,"总成",B:B,"927-050000-200")*INDIRECT(ADDRESS(8,5))</f>
        <v>0</v>
      </c>
    </row>
    <row r="10" spans="1:44">
      <c r="A10" t="s">
        <v>19</v>
      </c>
      <c r="B10" t="s">
        <v>34</v>
      </c>
      <c r="C10" t="s">
        <v>35</v>
      </c>
      <c r="E10">
        <v>2</v>
      </c>
      <c r="F10" t="s">
        <v>16</v>
      </c>
      <c r="H10" t="s">
        <v>17</v>
      </c>
      <c r="I10">
        <v>6</v>
      </c>
      <c r="J10">
        <v>1</v>
      </c>
      <c r="K10">
        <v>1</v>
      </c>
      <c r="L10" t="s">
        <v>22</v>
      </c>
      <c r="M10">
        <f>sumifs(m:m,A:A,"总成",B:B,"927-050000-200")*INDIRECT(ADDRESS(9,5))</f>
        <v>0</v>
      </c>
      <c r="N10">
        <f>sumifs(n:n,A:A,"总成",B:B,"927-050000-200")*INDIRECT(ADDRESS(9,5))</f>
        <v>0</v>
      </c>
      <c r="O10">
        <f>sumifs(o:o,A:A,"总成",B:B,"927-050000-200")*INDIRECT(ADDRESS(9,5))</f>
        <v>0</v>
      </c>
      <c r="P10">
        <f>sumifs(p:p,A:A,"总成",B:B,"927-050000-200")*INDIRECT(ADDRESS(9,5))</f>
        <v>0</v>
      </c>
      <c r="Q10">
        <f>sumifs(q:q,A:A,"总成",B:B,"927-050000-200")*INDIRECT(ADDRESS(9,5))</f>
        <v>0</v>
      </c>
      <c r="R10">
        <f>sumifs(r:r,A:A,"总成",B:B,"927-050000-200")*INDIRECT(ADDRESS(9,5))</f>
        <v>0</v>
      </c>
      <c r="S10">
        <f>sumifs(s:s,A:A,"总成",B:B,"927-050000-200")*INDIRECT(ADDRESS(9,5))</f>
        <v>0</v>
      </c>
      <c r="T10">
        <f>sumifs(t:t,A:A,"总成",B:B,"927-050000-200")*INDIRECT(ADDRESS(9,5))</f>
        <v>0</v>
      </c>
      <c r="U10">
        <f>sumifs(u:u,A:A,"总成",B:B,"927-050000-200")*INDIRECT(ADDRESS(9,5))</f>
        <v>0</v>
      </c>
      <c r="V10">
        <f>sumifs(v:v,A:A,"总成",B:B,"927-050000-200")*INDIRECT(ADDRESS(9,5))</f>
        <v>0</v>
      </c>
      <c r="W10">
        <f>sumifs(w:w,A:A,"总成",B:B,"927-050000-200")*INDIRECT(ADDRESS(9,5))</f>
        <v>0</v>
      </c>
      <c r="X10">
        <f>sumifs(x:x,A:A,"总成",B:B,"927-050000-200")*INDIRECT(ADDRESS(9,5))</f>
        <v>0</v>
      </c>
      <c r="Y10">
        <f>sumifs(y:y,A:A,"总成",B:B,"927-050000-200")*INDIRECT(ADDRESS(9,5))</f>
        <v>0</v>
      </c>
      <c r="Z10">
        <f>sumifs(z:z,A:A,"总成",B:B,"927-050000-200")*INDIRECT(ADDRESS(9,5))</f>
        <v>0</v>
      </c>
      <c r="AA10">
        <f>sumifs(aa:aa,A:A,"总成",B:B,"927-050000-200")*INDIRECT(ADDRESS(9,5))</f>
        <v>0</v>
      </c>
      <c r="AB10">
        <f>sumifs(ab:ab,A:A,"总成",B:B,"927-050000-200")*INDIRECT(ADDRESS(9,5))</f>
        <v>0</v>
      </c>
      <c r="AC10">
        <f>sumifs(ac:ac,A:A,"总成",B:B,"927-050000-200")*INDIRECT(ADDRESS(9,5))</f>
        <v>0</v>
      </c>
      <c r="AD10">
        <f>sumifs(ad:ad,A:A,"总成",B:B,"927-050000-200")*INDIRECT(ADDRESS(9,5))</f>
        <v>0</v>
      </c>
      <c r="AE10">
        <f>sumifs(ae:ae,A:A,"总成",B:B,"927-050000-200")*INDIRECT(ADDRESS(9,5))</f>
        <v>0</v>
      </c>
      <c r="AF10">
        <f>sumifs(af:af,A:A,"总成",B:B,"927-050000-200")*INDIRECT(ADDRESS(9,5))</f>
        <v>0</v>
      </c>
      <c r="AG10">
        <f>sumifs(ag:ag,A:A,"总成",B:B,"927-050000-200")*INDIRECT(ADDRESS(9,5))</f>
        <v>0</v>
      </c>
      <c r="AH10">
        <f>sumifs(ah:ah,A:A,"总成",B:B,"927-050000-200")*INDIRECT(ADDRESS(9,5))</f>
        <v>0</v>
      </c>
      <c r="AI10">
        <f>sumifs(ai:ai,A:A,"总成",B:B,"927-050000-200")*INDIRECT(ADDRESS(9,5))</f>
        <v>0</v>
      </c>
      <c r="AJ10">
        <f>sumifs(aj:aj,A:A,"总成",B:B,"927-050000-200")*INDIRECT(ADDRESS(9,5))</f>
        <v>0</v>
      </c>
      <c r="AK10">
        <f>sumifs(ak:ak,A:A,"总成",B:B,"927-050000-200")*INDIRECT(ADDRESS(9,5))</f>
        <v>0</v>
      </c>
      <c r="AL10">
        <f>sumifs(al:al,A:A,"总成",B:B,"927-050000-200")*INDIRECT(ADDRESS(9,5))</f>
        <v>0</v>
      </c>
      <c r="AM10">
        <f>sumifs(am:am,A:A,"总成",B:B,"927-050000-200")*INDIRECT(ADDRESS(9,5))</f>
        <v>0</v>
      </c>
      <c r="AN10">
        <f>sumifs(an:an,A:A,"总成",B:B,"927-050000-200")*INDIRECT(ADDRESS(9,5))</f>
        <v>0</v>
      </c>
      <c r="AO10">
        <f>sumifs(ao:ao,A:A,"总成",B:B,"927-050000-200")*INDIRECT(ADDRESS(9,5))</f>
        <v>0</v>
      </c>
      <c r="AP10">
        <f>sumifs(ap:ap,A:A,"总成",B:B,"927-050000-200")*INDIRECT(ADDRESS(9,5))</f>
        <v>0</v>
      </c>
      <c r="AQ10">
        <f>sumifs(aq:aq,A:A,"总成",B:B,"927-050000-200")*INDIRECT(ADDRESS(9,5))</f>
        <v>0</v>
      </c>
      <c r="AR10">
        <f>sumifs(ar:ar,A:A,"总成",B:B,"927-050000-200")*INDIRECT(ADDRESS(9,5))</f>
        <v>0</v>
      </c>
    </row>
    <row r="11" spans="1:44">
      <c r="A11" t="s">
        <v>25</v>
      </c>
      <c r="B11" t="s">
        <v>36</v>
      </c>
      <c r="C11" t="s">
        <v>37</v>
      </c>
      <c r="E11">
        <v>2</v>
      </c>
      <c r="F11" t="s">
        <v>16</v>
      </c>
      <c r="H11" t="s">
        <v>17</v>
      </c>
      <c r="I11">
        <v>6</v>
      </c>
      <c r="J11">
        <v>1</v>
      </c>
      <c r="K11">
        <v>1</v>
      </c>
      <c r="L11" t="s">
        <v>22</v>
      </c>
      <c r="M11">
        <f>sumifs(m:m,A:A,"总成",B:B,"927-050000-200")*INDIRECT(ADDRESS(10,5))</f>
        <v>0</v>
      </c>
      <c r="N11">
        <f>sumifs(n:n,A:A,"总成",B:B,"927-050000-200")*INDIRECT(ADDRESS(10,5))</f>
        <v>0</v>
      </c>
      <c r="O11">
        <f>sumifs(o:o,A:A,"总成",B:B,"927-050000-200")*INDIRECT(ADDRESS(10,5))</f>
        <v>0</v>
      </c>
      <c r="P11">
        <f>sumifs(p:p,A:A,"总成",B:B,"927-050000-200")*INDIRECT(ADDRESS(10,5))</f>
        <v>0</v>
      </c>
      <c r="Q11">
        <f>sumifs(q:q,A:A,"总成",B:B,"927-050000-200")*INDIRECT(ADDRESS(10,5))</f>
        <v>0</v>
      </c>
      <c r="R11">
        <f>sumifs(r:r,A:A,"总成",B:B,"927-050000-200")*INDIRECT(ADDRESS(10,5))</f>
        <v>0</v>
      </c>
      <c r="S11">
        <f>sumifs(s:s,A:A,"总成",B:B,"927-050000-200")*INDIRECT(ADDRESS(10,5))</f>
        <v>0</v>
      </c>
      <c r="T11">
        <f>sumifs(t:t,A:A,"总成",B:B,"927-050000-200")*INDIRECT(ADDRESS(10,5))</f>
        <v>0</v>
      </c>
      <c r="U11">
        <f>sumifs(u:u,A:A,"总成",B:B,"927-050000-200")*INDIRECT(ADDRESS(10,5))</f>
        <v>0</v>
      </c>
      <c r="V11">
        <f>sumifs(v:v,A:A,"总成",B:B,"927-050000-200")*INDIRECT(ADDRESS(10,5))</f>
        <v>0</v>
      </c>
      <c r="W11">
        <f>sumifs(w:w,A:A,"总成",B:B,"927-050000-200")*INDIRECT(ADDRESS(10,5))</f>
        <v>0</v>
      </c>
      <c r="X11">
        <f>sumifs(x:x,A:A,"总成",B:B,"927-050000-200")*INDIRECT(ADDRESS(10,5))</f>
        <v>0</v>
      </c>
      <c r="Y11">
        <f>sumifs(y:y,A:A,"总成",B:B,"927-050000-200")*INDIRECT(ADDRESS(10,5))</f>
        <v>0</v>
      </c>
      <c r="Z11">
        <f>sumifs(z:z,A:A,"总成",B:B,"927-050000-200")*INDIRECT(ADDRESS(10,5))</f>
        <v>0</v>
      </c>
      <c r="AA11">
        <f>sumifs(aa:aa,A:A,"总成",B:B,"927-050000-200")*INDIRECT(ADDRESS(10,5))</f>
        <v>0</v>
      </c>
      <c r="AB11">
        <f>sumifs(ab:ab,A:A,"总成",B:B,"927-050000-200")*INDIRECT(ADDRESS(10,5))</f>
        <v>0</v>
      </c>
      <c r="AC11">
        <f>sumifs(ac:ac,A:A,"总成",B:B,"927-050000-200")*INDIRECT(ADDRESS(10,5))</f>
        <v>0</v>
      </c>
      <c r="AD11">
        <f>sumifs(ad:ad,A:A,"总成",B:B,"927-050000-200")*INDIRECT(ADDRESS(10,5))</f>
        <v>0</v>
      </c>
      <c r="AE11">
        <f>sumifs(ae:ae,A:A,"总成",B:B,"927-050000-200")*INDIRECT(ADDRESS(10,5))</f>
        <v>0</v>
      </c>
      <c r="AF11">
        <f>sumifs(af:af,A:A,"总成",B:B,"927-050000-200")*INDIRECT(ADDRESS(10,5))</f>
        <v>0</v>
      </c>
      <c r="AG11">
        <f>sumifs(ag:ag,A:A,"总成",B:B,"927-050000-200")*INDIRECT(ADDRESS(10,5))</f>
        <v>0</v>
      </c>
      <c r="AH11">
        <f>sumifs(ah:ah,A:A,"总成",B:B,"927-050000-200")*INDIRECT(ADDRESS(10,5))</f>
        <v>0</v>
      </c>
      <c r="AI11">
        <f>sumifs(ai:ai,A:A,"总成",B:B,"927-050000-200")*INDIRECT(ADDRESS(10,5))</f>
        <v>0</v>
      </c>
      <c r="AJ11">
        <f>sumifs(aj:aj,A:A,"总成",B:B,"927-050000-200")*INDIRECT(ADDRESS(10,5))</f>
        <v>0</v>
      </c>
      <c r="AK11">
        <f>sumifs(ak:ak,A:A,"总成",B:B,"927-050000-200")*INDIRECT(ADDRESS(10,5))</f>
        <v>0</v>
      </c>
      <c r="AL11">
        <f>sumifs(al:al,A:A,"总成",B:B,"927-050000-200")*INDIRECT(ADDRESS(10,5))</f>
        <v>0</v>
      </c>
      <c r="AM11">
        <f>sumifs(am:am,A:A,"总成",B:B,"927-050000-200")*INDIRECT(ADDRESS(10,5))</f>
        <v>0</v>
      </c>
      <c r="AN11">
        <f>sumifs(an:an,A:A,"总成",B:B,"927-050000-200")*INDIRECT(ADDRESS(10,5))</f>
        <v>0</v>
      </c>
      <c r="AO11">
        <f>sumifs(ao:ao,A:A,"总成",B:B,"927-050000-200")*INDIRECT(ADDRESS(10,5))</f>
        <v>0</v>
      </c>
      <c r="AP11">
        <f>sumifs(ap:ap,A:A,"总成",B:B,"927-050000-200")*INDIRECT(ADDRESS(10,5))</f>
        <v>0</v>
      </c>
      <c r="AQ11">
        <f>sumifs(aq:aq,A:A,"总成",B:B,"927-050000-200")*INDIRECT(ADDRESS(10,5))</f>
        <v>0</v>
      </c>
      <c r="AR11">
        <f>sumifs(ar:ar,A:A,"总成",B:B,"927-050000-200")*INDIRECT(ADDRESS(10,5))</f>
        <v>0</v>
      </c>
    </row>
    <row r="12" spans="1:44">
      <c r="A12" t="s">
        <v>25</v>
      </c>
      <c r="B12" t="s">
        <v>38</v>
      </c>
      <c r="C12" t="s">
        <v>39</v>
      </c>
      <c r="E12">
        <v>2</v>
      </c>
      <c r="F12" t="s">
        <v>16</v>
      </c>
      <c r="H12" t="s">
        <v>17</v>
      </c>
      <c r="I12">
        <v>6</v>
      </c>
      <c r="J12">
        <v>1</v>
      </c>
      <c r="K12">
        <v>1</v>
      </c>
      <c r="L12" t="s">
        <v>22</v>
      </c>
      <c r="M12">
        <f>sumifs(m:m,A:A,"总成",B:B,"927-050000-200")*INDIRECT(ADDRESS(11,5))</f>
        <v>0</v>
      </c>
      <c r="N12">
        <f>sumifs(n:n,A:A,"总成",B:B,"927-050000-200")*INDIRECT(ADDRESS(11,5))</f>
        <v>0</v>
      </c>
      <c r="O12">
        <f>sumifs(o:o,A:A,"总成",B:B,"927-050000-200")*INDIRECT(ADDRESS(11,5))</f>
        <v>0</v>
      </c>
      <c r="P12">
        <f>sumifs(p:p,A:A,"总成",B:B,"927-050000-200")*INDIRECT(ADDRESS(11,5))</f>
        <v>0</v>
      </c>
      <c r="Q12">
        <f>sumifs(q:q,A:A,"总成",B:B,"927-050000-200")*INDIRECT(ADDRESS(11,5))</f>
        <v>0</v>
      </c>
      <c r="R12">
        <f>sumifs(r:r,A:A,"总成",B:B,"927-050000-200")*INDIRECT(ADDRESS(11,5))</f>
        <v>0</v>
      </c>
      <c r="S12">
        <f>sumifs(s:s,A:A,"总成",B:B,"927-050000-200")*INDIRECT(ADDRESS(11,5))</f>
        <v>0</v>
      </c>
      <c r="T12">
        <f>sumifs(t:t,A:A,"总成",B:B,"927-050000-200")*INDIRECT(ADDRESS(11,5))</f>
        <v>0</v>
      </c>
      <c r="U12">
        <f>sumifs(u:u,A:A,"总成",B:B,"927-050000-200")*INDIRECT(ADDRESS(11,5))</f>
        <v>0</v>
      </c>
      <c r="V12">
        <f>sumifs(v:v,A:A,"总成",B:B,"927-050000-200")*INDIRECT(ADDRESS(11,5))</f>
        <v>0</v>
      </c>
      <c r="W12">
        <f>sumifs(w:w,A:A,"总成",B:B,"927-050000-200")*INDIRECT(ADDRESS(11,5))</f>
        <v>0</v>
      </c>
      <c r="X12">
        <f>sumifs(x:x,A:A,"总成",B:B,"927-050000-200")*INDIRECT(ADDRESS(11,5))</f>
        <v>0</v>
      </c>
      <c r="Y12">
        <f>sumifs(y:y,A:A,"总成",B:B,"927-050000-200")*INDIRECT(ADDRESS(11,5))</f>
        <v>0</v>
      </c>
      <c r="Z12">
        <f>sumifs(z:z,A:A,"总成",B:B,"927-050000-200")*INDIRECT(ADDRESS(11,5))</f>
        <v>0</v>
      </c>
      <c r="AA12">
        <f>sumifs(aa:aa,A:A,"总成",B:B,"927-050000-200")*INDIRECT(ADDRESS(11,5))</f>
        <v>0</v>
      </c>
      <c r="AB12">
        <f>sumifs(ab:ab,A:A,"总成",B:B,"927-050000-200")*INDIRECT(ADDRESS(11,5))</f>
        <v>0</v>
      </c>
      <c r="AC12">
        <f>sumifs(ac:ac,A:A,"总成",B:B,"927-050000-200")*INDIRECT(ADDRESS(11,5))</f>
        <v>0</v>
      </c>
      <c r="AD12">
        <f>sumifs(ad:ad,A:A,"总成",B:B,"927-050000-200")*INDIRECT(ADDRESS(11,5))</f>
        <v>0</v>
      </c>
      <c r="AE12">
        <f>sumifs(ae:ae,A:A,"总成",B:B,"927-050000-200")*INDIRECT(ADDRESS(11,5))</f>
        <v>0</v>
      </c>
      <c r="AF12">
        <f>sumifs(af:af,A:A,"总成",B:B,"927-050000-200")*INDIRECT(ADDRESS(11,5))</f>
        <v>0</v>
      </c>
      <c r="AG12">
        <f>sumifs(ag:ag,A:A,"总成",B:B,"927-050000-200")*INDIRECT(ADDRESS(11,5))</f>
        <v>0</v>
      </c>
      <c r="AH12">
        <f>sumifs(ah:ah,A:A,"总成",B:B,"927-050000-200")*INDIRECT(ADDRESS(11,5))</f>
        <v>0</v>
      </c>
      <c r="AI12">
        <f>sumifs(ai:ai,A:A,"总成",B:B,"927-050000-200")*INDIRECT(ADDRESS(11,5))</f>
        <v>0</v>
      </c>
      <c r="AJ12">
        <f>sumifs(aj:aj,A:A,"总成",B:B,"927-050000-200")*INDIRECT(ADDRESS(11,5))</f>
        <v>0</v>
      </c>
      <c r="AK12">
        <f>sumifs(ak:ak,A:A,"总成",B:B,"927-050000-200")*INDIRECT(ADDRESS(11,5))</f>
        <v>0</v>
      </c>
      <c r="AL12">
        <f>sumifs(al:al,A:A,"总成",B:B,"927-050000-200")*INDIRECT(ADDRESS(11,5))</f>
        <v>0</v>
      </c>
      <c r="AM12">
        <f>sumifs(am:am,A:A,"总成",B:B,"927-050000-200")*INDIRECT(ADDRESS(11,5))</f>
        <v>0</v>
      </c>
      <c r="AN12">
        <f>sumifs(an:an,A:A,"总成",B:B,"927-050000-200")*INDIRECT(ADDRESS(11,5))</f>
        <v>0</v>
      </c>
      <c r="AO12">
        <f>sumifs(ao:ao,A:A,"总成",B:B,"927-050000-200")*INDIRECT(ADDRESS(11,5))</f>
        <v>0</v>
      </c>
      <c r="AP12">
        <f>sumifs(ap:ap,A:A,"总成",B:B,"927-050000-200")*INDIRECT(ADDRESS(11,5))</f>
        <v>0</v>
      </c>
      <c r="AQ12">
        <f>sumifs(aq:aq,A:A,"总成",B:B,"927-050000-200")*INDIRECT(ADDRESS(11,5))</f>
        <v>0</v>
      </c>
      <c r="AR12">
        <f>sumifs(ar:ar,A:A,"总成",B:B,"927-050000-200")*INDIRECT(ADDRESS(11,5))</f>
        <v>0</v>
      </c>
    </row>
    <row r="13" spans="1:44">
      <c r="A13" t="s">
        <v>25</v>
      </c>
      <c r="B13" t="s">
        <v>40</v>
      </c>
      <c r="C13" t="s">
        <v>41</v>
      </c>
      <c r="E13">
        <v>1</v>
      </c>
      <c r="F13" t="s">
        <v>16</v>
      </c>
      <c r="H13" t="s">
        <v>17</v>
      </c>
      <c r="I13">
        <v>6</v>
      </c>
      <c r="J13">
        <v>1</v>
      </c>
      <c r="K13">
        <v>1</v>
      </c>
      <c r="L13" t="s">
        <v>22</v>
      </c>
      <c r="M13">
        <f>sumifs(m:m,A:A,"总成",B:B,"927-050000-200")*INDIRECT(ADDRESS(12,5))</f>
        <v>0</v>
      </c>
      <c r="N13">
        <f>sumifs(n:n,A:A,"总成",B:B,"927-050000-200")*INDIRECT(ADDRESS(12,5))</f>
        <v>0</v>
      </c>
      <c r="O13">
        <f>sumifs(o:o,A:A,"总成",B:B,"927-050000-200")*INDIRECT(ADDRESS(12,5))</f>
        <v>0</v>
      </c>
      <c r="P13">
        <f>sumifs(p:p,A:A,"总成",B:B,"927-050000-200")*INDIRECT(ADDRESS(12,5))</f>
        <v>0</v>
      </c>
      <c r="Q13">
        <f>sumifs(q:q,A:A,"总成",B:B,"927-050000-200")*INDIRECT(ADDRESS(12,5))</f>
        <v>0</v>
      </c>
      <c r="R13">
        <f>sumifs(r:r,A:A,"总成",B:B,"927-050000-200")*INDIRECT(ADDRESS(12,5))</f>
        <v>0</v>
      </c>
      <c r="S13">
        <f>sumifs(s:s,A:A,"总成",B:B,"927-050000-200")*INDIRECT(ADDRESS(12,5))</f>
        <v>0</v>
      </c>
      <c r="T13">
        <f>sumifs(t:t,A:A,"总成",B:B,"927-050000-200")*INDIRECT(ADDRESS(12,5))</f>
        <v>0</v>
      </c>
      <c r="U13">
        <f>sumifs(u:u,A:A,"总成",B:B,"927-050000-200")*INDIRECT(ADDRESS(12,5))</f>
        <v>0</v>
      </c>
      <c r="V13">
        <f>sumifs(v:v,A:A,"总成",B:B,"927-050000-200")*INDIRECT(ADDRESS(12,5))</f>
        <v>0</v>
      </c>
      <c r="W13">
        <f>sumifs(w:w,A:A,"总成",B:B,"927-050000-200")*INDIRECT(ADDRESS(12,5))</f>
        <v>0</v>
      </c>
      <c r="X13">
        <f>sumifs(x:x,A:A,"总成",B:B,"927-050000-200")*INDIRECT(ADDRESS(12,5))</f>
        <v>0</v>
      </c>
      <c r="Y13">
        <f>sumifs(y:y,A:A,"总成",B:B,"927-050000-200")*INDIRECT(ADDRESS(12,5))</f>
        <v>0</v>
      </c>
      <c r="Z13">
        <f>sumifs(z:z,A:A,"总成",B:B,"927-050000-200")*INDIRECT(ADDRESS(12,5))</f>
        <v>0</v>
      </c>
      <c r="AA13">
        <f>sumifs(aa:aa,A:A,"总成",B:B,"927-050000-200")*INDIRECT(ADDRESS(12,5))</f>
        <v>0</v>
      </c>
      <c r="AB13">
        <f>sumifs(ab:ab,A:A,"总成",B:B,"927-050000-200")*INDIRECT(ADDRESS(12,5))</f>
        <v>0</v>
      </c>
      <c r="AC13">
        <f>sumifs(ac:ac,A:A,"总成",B:B,"927-050000-200")*INDIRECT(ADDRESS(12,5))</f>
        <v>0</v>
      </c>
      <c r="AD13">
        <f>sumifs(ad:ad,A:A,"总成",B:B,"927-050000-200")*INDIRECT(ADDRESS(12,5))</f>
        <v>0</v>
      </c>
      <c r="AE13">
        <f>sumifs(ae:ae,A:A,"总成",B:B,"927-050000-200")*INDIRECT(ADDRESS(12,5))</f>
        <v>0</v>
      </c>
      <c r="AF13">
        <f>sumifs(af:af,A:A,"总成",B:B,"927-050000-200")*INDIRECT(ADDRESS(12,5))</f>
        <v>0</v>
      </c>
      <c r="AG13">
        <f>sumifs(ag:ag,A:A,"总成",B:B,"927-050000-200")*INDIRECT(ADDRESS(12,5))</f>
        <v>0</v>
      </c>
      <c r="AH13">
        <f>sumifs(ah:ah,A:A,"总成",B:B,"927-050000-200")*INDIRECT(ADDRESS(12,5))</f>
        <v>0</v>
      </c>
      <c r="AI13">
        <f>sumifs(ai:ai,A:A,"总成",B:B,"927-050000-200")*INDIRECT(ADDRESS(12,5))</f>
        <v>0</v>
      </c>
      <c r="AJ13">
        <f>sumifs(aj:aj,A:A,"总成",B:B,"927-050000-200")*INDIRECT(ADDRESS(12,5))</f>
        <v>0</v>
      </c>
      <c r="AK13">
        <f>sumifs(ak:ak,A:A,"总成",B:B,"927-050000-200")*INDIRECT(ADDRESS(12,5))</f>
        <v>0</v>
      </c>
      <c r="AL13">
        <f>sumifs(al:al,A:A,"总成",B:B,"927-050000-200")*INDIRECT(ADDRESS(12,5))</f>
        <v>0</v>
      </c>
      <c r="AM13">
        <f>sumifs(am:am,A:A,"总成",B:B,"927-050000-200")*INDIRECT(ADDRESS(12,5))</f>
        <v>0</v>
      </c>
      <c r="AN13">
        <f>sumifs(an:an,A:A,"总成",B:B,"927-050000-200")*INDIRECT(ADDRESS(12,5))</f>
        <v>0</v>
      </c>
      <c r="AO13">
        <f>sumifs(ao:ao,A:A,"总成",B:B,"927-050000-200")*INDIRECT(ADDRESS(12,5))</f>
        <v>0</v>
      </c>
      <c r="AP13">
        <f>sumifs(ap:ap,A:A,"总成",B:B,"927-050000-200")*INDIRECT(ADDRESS(12,5))</f>
        <v>0</v>
      </c>
      <c r="AQ13">
        <f>sumifs(aq:aq,A:A,"总成",B:B,"927-050000-200")*INDIRECT(ADDRESS(12,5))</f>
        <v>0</v>
      </c>
      <c r="AR13">
        <f>sumifs(ar:ar,A:A,"总成",B:B,"927-050000-200")*INDIRECT(ADDRESS(12,5))</f>
        <v>0</v>
      </c>
    </row>
    <row r="14" spans="1:44">
      <c r="A14" t="s">
        <v>25</v>
      </c>
      <c r="B14" t="s">
        <v>42</v>
      </c>
      <c r="C14" t="s">
        <v>43</v>
      </c>
      <c r="E14">
        <v>1</v>
      </c>
      <c r="F14" t="s">
        <v>16</v>
      </c>
      <c r="H14" t="s">
        <v>17</v>
      </c>
      <c r="I14">
        <v>6</v>
      </c>
      <c r="J14">
        <v>1</v>
      </c>
      <c r="K14">
        <v>1</v>
      </c>
      <c r="L14" t="s">
        <v>22</v>
      </c>
      <c r="M14">
        <f>sumifs(m:m,A:A,"总成",B:B,"927-050000-200")*INDIRECT(ADDRESS(13,5))</f>
        <v>0</v>
      </c>
      <c r="N14">
        <f>sumifs(n:n,A:A,"总成",B:B,"927-050000-200")*INDIRECT(ADDRESS(13,5))</f>
        <v>0</v>
      </c>
      <c r="O14">
        <f>sumifs(o:o,A:A,"总成",B:B,"927-050000-200")*INDIRECT(ADDRESS(13,5))</f>
        <v>0</v>
      </c>
      <c r="P14">
        <f>sumifs(p:p,A:A,"总成",B:B,"927-050000-200")*INDIRECT(ADDRESS(13,5))</f>
        <v>0</v>
      </c>
      <c r="Q14">
        <f>sumifs(q:q,A:A,"总成",B:B,"927-050000-200")*INDIRECT(ADDRESS(13,5))</f>
        <v>0</v>
      </c>
      <c r="R14">
        <f>sumifs(r:r,A:A,"总成",B:B,"927-050000-200")*INDIRECT(ADDRESS(13,5))</f>
        <v>0</v>
      </c>
      <c r="S14">
        <f>sumifs(s:s,A:A,"总成",B:B,"927-050000-200")*INDIRECT(ADDRESS(13,5))</f>
        <v>0</v>
      </c>
      <c r="T14">
        <f>sumifs(t:t,A:A,"总成",B:B,"927-050000-200")*INDIRECT(ADDRESS(13,5))</f>
        <v>0</v>
      </c>
      <c r="U14">
        <f>sumifs(u:u,A:A,"总成",B:B,"927-050000-200")*INDIRECT(ADDRESS(13,5))</f>
        <v>0</v>
      </c>
      <c r="V14">
        <f>sumifs(v:v,A:A,"总成",B:B,"927-050000-200")*INDIRECT(ADDRESS(13,5))</f>
        <v>0</v>
      </c>
      <c r="W14">
        <f>sumifs(w:w,A:A,"总成",B:B,"927-050000-200")*INDIRECT(ADDRESS(13,5))</f>
        <v>0</v>
      </c>
      <c r="X14">
        <f>sumifs(x:x,A:A,"总成",B:B,"927-050000-200")*INDIRECT(ADDRESS(13,5))</f>
        <v>0</v>
      </c>
      <c r="Y14">
        <f>sumifs(y:y,A:A,"总成",B:B,"927-050000-200")*INDIRECT(ADDRESS(13,5))</f>
        <v>0</v>
      </c>
      <c r="Z14">
        <f>sumifs(z:z,A:A,"总成",B:B,"927-050000-200")*INDIRECT(ADDRESS(13,5))</f>
        <v>0</v>
      </c>
      <c r="AA14">
        <f>sumifs(aa:aa,A:A,"总成",B:B,"927-050000-200")*INDIRECT(ADDRESS(13,5))</f>
        <v>0</v>
      </c>
      <c r="AB14">
        <f>sumifs(ab:ab,A:A,"总成",B:B,"927-050000-200")*INDIRECT(ADDRESS(13,5))</f>
        <v>0</v>
      </c>
      <c r="AC14">
        <f>sumifs(ac:ac,A:A,"总成",B:B,"927-050000-200")*INDIRECT(ADDRESS(13,5))</f>
        <v>0</v>
      </c>
      <c r="AD14">
        <f>sumifs(ad:ad,A:A,"总成",B:B,"927-050000-200")*INDIRECT(ADDRESS(13,5))</f>
        <v>0</v>
      </c>
      <c r="AE14">
        <f>sumifs(ae:ae,A:A,"总成",B:B,"927-050000-200")*INDIRECT(ADDRESS(13,5))</f>
        <v>0</v>
      </c>
      <c r="AF14">
        <f>sumifs(af:af,A:A,"总成",B:B,"927-050000-200")*INDIRECT(ADDRESS(13,5))</f>
        <v>0</v>
      </c>
      <c r="AG14">
        <f>sumifs(ag:ag,A:A,"总成",B:B,"927-050000-200")*INDIRECT(ADDRESS(13,5))</f>
        <v>0</v>
      </c>
      <c r="AH14">
        <f>sumifs(ah:ah,A:A,"总成",B:B,"927-050000-200")*INDIRECT(ADDRESS(13,5))</f>
        <v>0</v>
      </c>
      <c r="AI14">
        <f>sumifs(ai:ai,A:A,"总成",B:B,"927-050000-200")*INDIRECT(ADDRESS(13,5))</f>
        <v>0</v>
      </c>
      <c r="AJ14">
        <f>sumifs(aj:aj,A:A,"总成",B:B,"927-050000-200")*INDIRECT(ADDRESS(13,5))</f>
        <v>0</v>
      </c>
      <c r="AK14">
        <f>sumifs(ak:ak,A:A,"总成",B:B,"927-050000-200")*INDIRECT(ADDRESS(13,5))</f>
        <v>0</v>
      </c>
      <c r="AL14">
        <f>sumifs(al:al,A:A,"总成",B:B,"927-050000-200")*INDIRECT(ADDRESS(13,5))</f>
        <v>0</v>
      </c>
      <c r="AM14">
        <f>sumifs(am:am,A:A,"总成",B:B,"927-050000-200")*INDIRECT(ADDRESS(13,5))</f>
        <v>0</v>
      </c>
      <c r="AN14">
        <f>sumifs(an:an,A:A,"总成",B:B,"927-050000-200")*INDIRECT(ADDRESS(13,5))</f>
        <v>0</v>
      </c>
      <c r="AO14">
        <f>sumifs(ao:ao,A:A,"总成",B:B,"927-050000-200")*INDIRECT(ADDRESS(13,5))</f>
        <v>0</v>
      </c>
      <c r="AP14">
        <f>sumifs(ap:ap,A:A,"总成",B:B,"927-050000-200")*INDIRECT(ADDRESS(13,5))</f>
        <v>0</v>
      </c>
      <c r="AQ14">
        <f>sumifs(aq:aq,A:A,"总成",B:B,"927-050000-200")*INDIRECT(ADDRESS(13,5))</f>
        <v>0</v>
      </c>
      <c r="AR14">
        <f>sumifs(ar:ar,A:A,"总成",B:B,"927-050000-200")*INDIRECT(ADDRESS(13,5))</f>
        <v>0</v>
      </c>
    </row>
    <row r="15" spans="1:44">
      <c r="A15" t="s">
        <v>44</v>
      </c>
      <c r="B15" t="s">
        <v>42</v>
      </c>
      <c r="C15" t="s">
        <v>43</v>
      </c>
      <c r="E15">
        <v>0.17</v>
      </c>
      <c r="F15" t="s">
        <v>45</v>
      </c>
      <c r="H15" t="s">
        <v>17</v>
      </c>
      <c r="I15">
        <v>6</v>
      </c>
      <c r="J15">
        <v>1</v>
      </c>
      <c r="K15">
        <v>1</v>
      </c>
      <c r="L15" t="s">
        <v>22</v>
      </c>
      <c r="M15">
        <f>sumifs(m:m,A:A,"总成",B:B,"927-050000-200")*INDIRECT(ADDRESS(14,5))</f>
        <v>0</v>
      </c>
      <c r="N15">
        <f>sumifs(n:n,A:A,"总成",B:B,"927-050000-200")*INDIRECT(ADDRESS(14,5))</f>
        <v>0</v>
      </c>
      <c r="O15">
        <f>sumifs(o:o,A:A,"总成",B:B,"927-050000-200")*INDIRECT(ADDRESS(14,5))</f>
        <v>0</v>
      </c>
      <c r="P15">
        <f>sumifs(p:p,A:A,"总成",B:B,"927-050000-200")*INDIRECT(ADDRESS(14,5))</f>
        <v>0</v>
      </c>
      <c r="Q15">
        <f>sumifs(q:q,A:A,"总成",B:B,"927-050000-200")*INDIRECT(ADDRESS(14,5))</f>
        <v>0</v>
      </c>
      <c r="R15">
        <f>sumifs(r:r,A:A,"总成",B:B,"927-050000-200")*INDIRECT(ADDRESS(14,5))</f>
        <v>0</v>
      </c>
      <c r="S15">
        <f>sumifs(s:s,A:A,"总成",B:B,"927-050000-200")*INDIRECT(ADDRESS(14,5))</f>
        <v>0</v>
      </c>
      <c r="T15">
        <f>sumifs(t:t,A:A,"总成",B:B,"927-050000-200")*INDIRECT(ADDRESS(14,5))</f>
        <v>0</v>
      </c>
      <c r="U15">
        <f>sumifs(u:u,A:A,"总成",B:B,"927-050000-200")*INDIRECT(ADDRESS(14,5))</f>
        <v>0</v>
      </c>
      <c r="V15">
        <f>sumifs(v:v,A:A,"总成",B:B,"927-050000-200")*INDIRECT(ADDRESS(14,5))</f>
        <v>0</v>
      </c>
      <c r="W15">
        <f>sumifs(w:w,A:A,"总成",B:B,"927-050000-200")*INDIRECT(ADDRESS(14,5))</f>
        <v>0</v>
      </c>
      <c r="X15">
        <f>sumifs(x:x,A:A,"总成",B:B,"927-050000-200")*INDIRECT(ADDRESS(14,5))</f>
        <v>0</v>
      </c>
      <c r="Y15">
        <f>sumifs(y:y,A:A,"总成",B:B,"927-050000-200")*INDIRECT(ADDRESS(14,5))</f>
        <v>0</v>
      </c>
      <c r="Z15">
        <f>sumifs(z:z,A:A,"总成",B:B,"927-050000-200")*INDIRECT(ADDRESS(14,5))</f>
        <v>0</v>
      </c>
      <c r="AA15">
        <f>sumifs(aa:aa,A:A,"总成",B:B,"927-050000-200")*INDIRECT(ADDRESS(14,5))</f>
        <v>0</v>
      </c>
      <c r="AB15">
        <f>sumifs(ab:ab,A:A,"总成",B:B,"927-050000-200")*INDIRECT(ADDRESS(14,5))</f>
        <v>0</v>
      </c>
      <c r="AC15">
        <f>sumifs(ac:ac,A:A,"总成",B:B,"927-050000-200")*INDIRECT(ADDRESS(14,5))</f>
        <v>0</v>
      </c>
      <c r="AD15">
        <f>sumifs(ad:ad,A:A,"总成",B:B,"927-050000-200")*INDIRECT(ADDRESS(14,5))</f>
        <v>0</v>
      </c>
      <c r="AE15">
        <f>sumifs(ae:ae,A:A,"总成",B:B,"927-050000-200")*INDIRECT(ADDRESS(14,5))</f>
        <v>0</v>
      </c>
      <c r="AF15">
        <f>sumifs(af:af,A:A,"总成",B:B,"927-050000-200")*INDIRECT(ADDRESS(14,5))</f>
        <v>0</v>
      </c>
      <c r="AG15">
        <f>sumifs(ag:ag,A:A,"总成",B:B,"927-050000-200")*INDIRECT(ADDRESS(14,5))</f>
        <v>0</v>
      </c>
      <c r="AH15">
        <f>sumifs(ah:ah,A:A,"总成",B:B,"927-050000-200")*INDIRECT(ADDRESS(14,5))</f>
        <v>0</v>
      </c>
      <c r="AI15">
        <f>sumifs(ai:ai,A:A,"总成",B:B,"927-050000-200")*INDIRECT(ADDRESS(14,5))</f>
        <v>0</v>
      </c>
      <c r="AJ15">
        <f>sumifs(aj:aj,A:A,"总成",B:B,"927-050000-200")*INDIRECT(ADDRESS(14,5))</f>
        <v>0</v>
      </c>
      <c r="AK15">
        <f>sumifs(ak:ak,A:A,"总成",B:B,"927-050000-200")*INDIRECT(ADDRESS(14,5))</f>
        <v>0</v>
      </c>
      <c r="AL15">
        <f>sumifs(al:al,A:A,"总成",B:B,"927-050000-200")*INDIRECT(ADDRESS(14,5))</f>
        <v>0</v>
      </c>
      <c r="AM15">
        <f>sumifs(am:am,A:A,"总成",B:B,"927-050000-200")*INDIRECT(ADDRESS(14,5))</f>
        <v>0</v>
      </c>
      <c r="AN15">
        <f>sumifs(an:an,A:A,"总成",B:B,"927-050000-200")*INDIRECT(ADDRESS(14,5))</f>
        <v>0</v>
      </c>
      <c r="AO15">
        <f>sumifs(ao:ao,A:A,"总成",B:B,"927-050000-200")*INDIRECT(ADDRESS(14,5))</f>
        <v>0</v>
      </c>
      <c r="AP15">
        <f>sumifs(ap:ap,A:A,"总成",B:B,"927-050000-200")*INDIRECT(ADDRESS(14,5))</f>
        <v>0</v>
      </c>
      <c r="AQ15">
        <f>sumifs(aq:aq,A:A,"总成",B:B,"927-050000-200")*INDIRECT(ADDRESS(14,5))</f>
        <v>0</v>
      </c>
      <c r="AR15">
        <f>sumifs(ar:ar,A:A,"总成",B:B,"927-050000-200")*INDIRECT(ADDRESS(14,5))</f>
        <v>0</v>
      </c>
    </row>
    <row r="16" spans="1:44">
      <c r="A16" t="s">
        <v>46</v>
      </c>
      <c r="B16" t="s">
        <v>42</v>
      </c>
      <c r="C16" t="s">
        <v>43</v>
      </c>
      <c r="E16">
        <v>0.17</v>
      </c>
      <c r="F16" t="s">
        <v>16</v>
      </c>
      <c r="H16" t="s">
        <v>17</v>
      </c>
      <c r="I16">
        <v>6</v>
      </c>
      <c r="J16">
        <v>1</v>
      </c>
      <c r="K16">
        <v>1</v>
      </c>
      <c r="L16" t="s">
        <v>22</v>
      </c>
      <c r="M16">
        <f>sumifs(m:m,A:A,"总成",B:B,"927-050000-200")*INDIRECT(ADDRESS(15,5))</f>
        <v>0</v>
      </c>
      <c r="N16">
        <f>sumifs(n:n,A:A,"总成",B:B,"927-050000-200")*INDIRECT(ADDRESS(15,5))</f>
        <v>0</v>
      </c>
      <c r="O16">
        <f>sumifs(o:o,A:A,"总成",B:B,"927-050000-200")*INDIRECT(ADDRESS(15,5))</f>
        <v>0</v>
      </c>
      <c r="P16">
        <f>sumifs(p:p,A:A,"总成",B:B,"927-050000-200")*INDIRECT(ADDRESS(15,5))</f>
        <v>0</v>
      </c>
      <c r="Q16">
        <f>sumifs(q:q,A:A,"总成",B:B,"927-050000-200")*INDIRECT(ADDRESS(15,5))</f>
        <v>0</v>
      </c>
      <c r="R16">
        <f>sumifs(r:r,A:A,"总成",B:B,"927-050000-200")*INDIRECT(ADDRESS(15,5))</f>
        <v>0</v>
      </c>
      <c r="S16">
        <f>sumifs(s:s,A:A,"总成",B:B,"927-050000-200")*INDIRECT(ADDRESS(15,5))</f>
        <v>0</v>
      </c>
      <c r="T16">
        <f>sumifs(t:t,A:A,"总成",B:B,"927-050000-200")*INDIRECT(ADDRESS(15,5))</f>
        <v>0</v>
      </c>
      <c r="U16">
        <f>sumifs(u:u,A:A,"总成",B:B,"927-050000-200")*INDIRECT(ADDRESS(15,5))</f>
        <v>0</v>
      </c>
      <c r="V16">
        <f>sumifs(v:v,A:A,"总成",B:B,"927-050000-200")*INDIRECT(ADDRESS(15,5))</f>
        <v>0</v>
      </c>
      <c r="W16">
        <f>sumifs(w:w,A:A,"总成",B:B,"927-050000-200")*INDIRECT(ADDRESS(15,5))</f>
        <v>0</v>
      </c>
      <c r="X16">
        <f>sumifs(x:x,A:A,"总成",B:B,"927-050000-200")*INDIRECT(ADDRESS(15,5))</f>
        <v>0</v>
      </c>
      <c r="Y16">
        <f>sumifs(y:y,A:A,"总成",B:B,"927-050000-200")*INDIRECT(ADDRESS(15,5))</f>
        <v>0</v>
      </c>
      <c r="Z16">
        <f>sumifs(z:z,A:A,"总成",B:B,"927-050000-200")*INDIRECT(ADDRESS(15,5))</f>
        <v>0</v>
      </c>
      <c r="AA16">
        <f>sumifs(aa:aa,A:A,"总成",B:B,"927-050000-200")*INDIRECT(ADDRESS(15,5))</f>
        <v>0</v>
      </c>
      <c r="AB16">
        <f>sumifs(ab:ab,A:A,"总成",B:B,"927-050000-200")*INDIRECT(ADDRESS(15,5))</f>
        <v>0</v>
      </c>
      <c r="AC16">
        <f>sumifs(ac:ac,A:A,"总成",B:B,"927-050000-200")*INDIRECT(ADDRESS(15,5))</f>
        <v>0</v>
      </c>
      <c r="AD16">
        <f>sumifs(ad:ad,A:A,"总成",B:B,"927-050000-200")*INDIRECT(ADDRESS(15,5))</f>
        <v>0</v>
      </c>
      <c r="AE16">
        <f>sumifs(ae:ae,A:A,"总成",B:B,"927-050000-200")*INDIRECT(ADDRESS(15,5))</f>
        <v>0</v>
      </c>
      <c r="AF16">
        <f>sumifs(af:af,A:A,"总成",B:B,"927-050000-200")*INDIRECT(ADDRESS(15,5))</f>
        <v>0</v>
      </c>
      <c r="AG16">
        <f>sumifs(ag:ag,A:A,"总成",B:B,"927-050000-200")*INDIRECT(ADDRESS(15,5))</f>
        <v>0</v>
      </c>
      <c r="AH16">
        <f>sumifs(ah:ah,A:A,"总成",B:B,"927-050000-200")*INDIRECT(ADDRESS(15,5))</f>
        <v>0</v>
      </c>
      <c r="AI16">
        <f>sumifs(ai:ai,A:A,"总成",B:B,"927-050000-200")*INDIRECT(ADDRESS(15,5))</f>
        <v>0</v>
      </c>
      <c r="AJ16">
        <f>sumifs(aj:aj,A:A,"总成",B:B,"927-050000-200")*INDIRECT(ADDRESS(15,5))</f>
        <v>0</v>
      </c>
      <c r="AK16">
        <f>sumifs(ak:ak,A:A,"总成",B:B,"927-050000-200")*INDIRECT(ADDRESS(15,5))</f>
        <v>0</v>
      </c>
      <c r="AL16">
        <f>sumifs(al:al,A:A,"总成",B:B,"927-050000-200")*INDIRECT(ADDRESS(15,5))</f>
        <v>0</v>
      </c>
      <c r="AM16">
        <f>sumifs(am:am,A:A,"总成",B:B,"927-050000-200")*INDIRECT(ADDRESS(15,5))</f>
        <v>0</v>
      </c>
      <c r="AN16">
        <f>sumifs(an:an,A:A,"总成",B:B,"927-050000-200")*INDIRECT(ADDRESS(15,5))</f>
        <v>0</v>
      </c>
      <c r="AO16">
        <f>sumifs(ao:ao,A:A,"总成",B:B,"927-050000-200")*INDIRECT(ADDRESS(15,5))</f>
        <v>0</v>
      </c>
      <c r="AP16">
        <f>sumifs(ap:ap,A:A,"总成",B:B,"927-050000-200")*INDIRECT(ADDRESS(15,5))</f>
        <v>0</v>
      </c>
      <c r="AQ16">
        <f>sumifs(aq:aq,A:A,"总成",B:B,"927-050000-200")*INDIRECT(ADDRESS(15,5))</f>
        <v>0</v>
      </c>
      <c r="AR16">
        <f>sumifs(ar:ar,A:A,"总成",B:B,"927-050000-200")*INDIRECT(ADDRESS(15,5))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"/>
  <sheetViews>
    <sheetView workbookViewId="0"/>
  </sheetViews>
  <sheetFormatPr defaultRowHeight="15"/>
  <sheetData>
    <row r="1" spans="1:45">
      <c r="A1" t="s">
        <v>47</v>
      </c>
    </row>
    <row r="2" spans="1:45">
      <c r="A2" t="s">
        <v>48</v>
      </c>
    </row>
    <row r="3" spans="1: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  <c r="AR3" t="s">
        <v>12</v>
      </c>
    </row>
    <row r="4" spans="1:45">
      <c r="A4" t="s">
        <v>13</v>
      </c>
      <c r="B4" t="s">
        <v>14</v>
      </c>
      <c r="C4" t="s">
        <v>15</v>
      </c>
      <c r="E4">
        <v>1</v>
      </c>
      <c r="F4" t="s">
        <v>16</v>
      </c>
      <c r="H4" t="s">
        <v>17</v>
      </c>
      <c r="I4">
        <v>6</v>
      </c>
      <c r="J4">
        <v>1</v>
      </c>
      <c r="K4">
        <v>1</v>
      </c>
      <c r="L4" t="s">
        <v>22</v>
      </c>
      <c r="M4">
        <f>sumifs(生产物料推移表!m:m,生产物料推移表!L:L,"计划生产",B:B,927-050000-200)</f>
        <v>0</v>
      </c>
      <c r="N4">
        <f>sumifs(生产物料推移表!n:n,生产物料推移表!L:L,"计划生产",B:B,927-050000-200)</f>
        <v>0</v>
      </c>
      <c r="O4">
        <f>sumifs(生产物料推移表!o:o,生产物料推移表!L:L,"计划生产",B:B,927-050000-200)</f>
        <v>0</v>
      </c>
      <c r="P4">
        <f>sumifs(生产物料推移表!p:p,生产物料推移表!L:L,"计划生产",B:B,927-050000-200)</f>
        <v>0</v>
      </c>
      <c r="Q4">
        <f>sumifs(生产物料推移表!q:q,生产物料推移表!L:L,"计划生产",B:B,927-050000-200)</f>
        <v>0</v>
      </c>
      <c r="R4">
        <f>sumifs(生产物料推移表!r:r,生产物料推移表!L:L,"计划生产",B:B,927-050000-200)</f>
        <v>0</v>
      </c>
      <c r="S4">
        <f>sumifs(生产物料推移表!s:s,生产物料推移表!L:L,"计划生产",B:B,927-050000-200)</f>
        <v>0</v>
      </c>
      <c r="T4">
        <f>sumifs(生产物料推移表!t:t,生产物料推移表!L:L,"计划生产",B:B,927-050000-200)</f>
        <v>0</v>
      </c>
      <c r="U4">
        <f>sumifs(生产物料推移表!u:u,生产物料推移表!L:L,"计划生产",B:B,927-050000-200)</f>
        <v>0</v>
      </c>
      <c r="V4">
        <f>sumifs(生产物料推移表!v:v,生产物料推移表!L:L,"计划生产",B:B,927-050000-200)</f>
        <v>0</v>
      </c>
      <c r="W4">
        <f>sumifs(生产物料推移表!w:w,生产物料推移表!L:L,"计划生产",B:B,927-050000-200)</f>
        <v>0</v>
      </c>
      <c r="X4">
        <f>sumifs(生产物料推移表!x:x,生产物料推移表!L:L,"计划生产",B:B,927-050000-200)</f>
        <v>0</v>
      </c>
      <c r="Y4">
        <f>sumifs(生产物料推移表!y:y,生产物料推移表!L:L,"计划生产",B:B,927-050000-200)</f>
        <v>0</v>
      </c>
      <c r="Z4">
        <f>sumifs(生产物料推移表!z:z,生产物料推移表!L:L,"计划生产",B:B,927-050000-200)</f>
        <v>0</v>
      </c>
      <c r="AA4">
        <f>sumifs(生产物料推移表!aa:aa,生产物料推移表!L:L,"计划生产",B:B,927-050000-200)</f>
        <v>0</v>
      </c>
      <c r="AB4">
        <f>sumifs(生产物料推移表!ab:ab,生产物料推移表!L:L,"计划生产",B:B,927-050000-200)</f>
        <v>0</v>
      </c>
      <c r="AC4">
        <f>sumifs(生产物料推移表!ac:ac,生产物料推移表!L:L,"计划生产",B:B,927-050000-200)</f>
        <v>0</v>
      </c>
      <c r="AD4">
        <f>sumifs(生产物料推移表!ad:ad,生产物料推移表!L:L,"计划生产",B:B,927-050000-200)</f>
        <v>0</v>
      </c>
      <c r="AE4">
        <f>sumifs(生产物料推移表!ae:ae,生产物料推移表!L:L,"计划生产",B:B,927-050000-200)</f>
        <v>0</v>
      </c>
      <c r="AF4">
        <f>sumifs(生产物料推移表!af:af,生产物料推移表!L:L,"计划生产",B:B,927-050000-200)</f>
        <v>0</v>
      </c>
      <c r="AG4">
        <f>sumifs(生产物料推移表!ag:ag,生产物料推移表!L:L,"计划生产",B:B,927-050000-200)</f>
        <v>0</v>
      </c>
      <c r="AH4">
        <f>sumifs(生产物料推移表!ah:ah,生产物料推移表!L:L,"计划生产",B:B,927-050000-200)</f>
        <v>0</v>
      </c>
      <c r="AI4">
        <f>sumifs(生产物料推移表!ai:ai,生产物料推移表!L:L,"计划生产",B:B,927-050000-200)</f>
        <v>0</v>
      </c>
      <c r="AJ4">
        <f>sumifs(生产物料推移表!aj:aj,生产物料推移表!L:L,"计划生产",B:B,927-050000-200)</f>
        <v>0</v>
      </c>
      <c r="AK4">
        <f>sumifs(生产物料推移表!ak:ak,生产物料推移表!L:L,"计划生产",B:B,927-050000-200)</f>
        <v>0</v>
      </c>
      <c r="AL4">
        <f>sumifs(生产物料推移表!al:al,生产物料推移表!L:L,"计划生产",B:B,927-050000-200)</f>
        <v>0</v>
      </c>
      <c r="AM4">
        <f>sumifs(生产物料推移表!am:am,生产物料推移表!L:L,"计划生产",B:B,927-050000-200)</f>
        <v>0</v>
      </c>
      <c r="AN4">
        <f>sumifs(生产物料推移表!an:an,生产物料推移表!L:L,"计划生产",B:B,927-050000-200)</f>
        <v>0</v>
      </c>
      <c r="AO4">
        <f>sumifs(生产物料推移表!ao:ao,生产物料推移表!L:L,"计划生产",B:B,927-050000-200)</f>
        <v>0</v>
      </c>
      <c r="AP4">
        <f>sumifs(生产物料推移表!ap:ap,生产物料推移表!L:L,"计划生产",B:B,927-050000-200)</f>
        <v>0</v>
      </c>
      <c r="AQ4">
        <f>sumifs(生产物料推移表!aq:aq,生产物料推移表!L:L,"计划生产",B:B,927-050000-200)</f>
        <v>0</v>
      </c>
      <c r="AR4">
        <f>sumifs(生产物料推移表!ar:ar,生产物料推移表!L:L,"计划生产",B:B,927-050000-200)</f>
        <v>0</v>
      </c>
      <c r="AS4">
        <f>sum(j4:an4)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7"/>
  <sheetViews>
    <sheetView workbookViewId="0"/>
  </sheetViews>
  <sheetFormatPr defaultRowHeight="15"/>
  <sheetData>
    <row r="1" spans="1:44">
      <c r="A1" t="s">
        <v>49</v>
      </c>
    </row>
    <row r="2" spans="1:44">
      <c r="A2" t="s">
        <v>50</v>
      </c>
    </row>
    <row r="3" spans="1:4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  <c r="AR3" t="s">
        <v>12</v>
      </c>
    </row>
    <row r="4" spans="1:44">
      <c r="A4" t="s">
        <v>13</v>
      </c>
      <c r="B4" t="s">
        <v>14</v>
      </c>
      <c r="C4" t="s">
        <v>15</v>
      </c>
      <c r="E4">
        <v>1</v>
      </c>
      <c r="F4" t="s">
        <v>16</v>
      </c>
      <c r="H4" t="s">
        <v>17</v>
      </c>
      <c r="I4">
        <v>6</v>
      </c>
      <c r="J4">
        <v>1</v>
      </c>
      <c r="K4">
        <v>1</v>
      </c>
      <c r="L4" t="s">
        <v>18</v>
      </c>
      <c r="M4">
        <f>IF(NOW()&lt;ar$3,INDIRECT(ADDRESS(9,12-1))-INDIRECT(ADDRESS(9-5,12))+INDIRECT(ADDRESS(9-4,12))-INDIRECT(ADDRESS(9-1,12)),INDIRECT(ADDRESS(9,12-1))-INDIRECT(ADDRESS(9-5,12))+INDIRECT(ADDRESS(9-2,12))-INDIRECT(ADDRESS(9-1,12))</f>
        <v>0</v>
      </c>
      <c r="AR4">
        <f>sum(j4:an4)</f>
        <v>0</v>
      </c>
    </row>
    <row r="5" spans="1:44">
      <c r="L5" t="s">
        <v>22</v>
      </c>
    </row>
    <row r="6" spans="1:44">
      <c r="L6" t="s">
        <v>51</v>
      </c>
    </row>
    <row r="7" spans="1:44">
      <c r="L7" t="s">
        <v>52</v>
      </c>
    </row>
    <row r="8" spans="1:44">
      <c r="L8" t="s">
        <v>53</v>
      </c>
    </row>
    <row r="9" spans="1:44">
      <c r="L9" t="s">
        <v>54</v>
      </c>
    </row>
    <row r="10" spans="1:44">
      <c r="A10" t="s">
        <v>19</v>
      </c>
      <c r="B10" t="s">
        <v>20</v>
      </c>
      <c r="C10" t="s">
        <v>21</v>
      </c>
      <c r="E10">
        <v>1</v>
      </c>
      <c r="F10" t="s">
        <v>16</v>
      </c>
      <c r="H10" t="s">
        <v>17</v>
      </c>
      <c r="I10">
        <v>6</v>
      </c>
      <c r="J10">
        <v>1</v>
      </c>
      <c r="K10">
        <v>1</v>
      </c>
      <c r="L10" t="s">
        <v>18</v>
      </c>
      <c r="M10">
        <f>IF(NOW()&lt;ar$3,INDIRECT(ADDRESS(15,12-1))-INDIRECT(ADDRESS(15-5,12))+INDIRECT(ADDRESS(15-4,12))-INDIRECT(ADDRESS(15-1,12)),INDIRECT(ADDRESS(15,12-1))-INDIRECT(ADDRESS(15-5,12))+INDIRECT(ADDRESS(15-2,12))-INDIRECT(ADDRESS(15-1,12))</f>
        <v>0</v>
      </c>
      <c r="AR10">
        <f>sum(j10:an10)</f>
        <v>0</v>
      </c>
    </row>
    <row r="11" spans="1:44">
      <c r="L11" t="s">
        <v>22</v>
      </c>
    </row>
    <row r="12" spans="1:44">
      <c r="L12" t="s">
        <v>51</v>
      </c>
    </row>
    <row r="13" spans="1:44">
      <c r="L13" t="s">
        <v>52</v>
      </c>
    </row>
    <row r="14" spans="1:44">
      <c r="L14" t="s">
        <v>53</v>
      </c>
    </row>
    <row r="15" spans="1:44">
      <c r="L15" t="s">
        <v>54</v>
      </c>
    </row>
    <row r="16" spans="1:44">
      <c r="A16" t="s">
        <v>19</v>
      </c>
      <c r="B16" t="s">
        <v>23</v>
      </c>
      <c r="C16" t="s">
        <v>24</v>
      </c>
      <c r="E16">
        <v>1</v>
      </c>
      <c r="F16" t="s">
        <v>16</v>
      </c>
      <c r="H16" t="s">
        <v>17</v>
      </c>
      <c r="I16">
        <v>6</v>
      </c>
      <c r="J16">
        <v>1</v>
      </c>
      <c r="K16">
        <v>1</v>
      </c>
      <c r="L16" t="s">
        <v>18</v>
      </c>
      <c r="M16">
        <f>IF(NOW()&lt;ar$3,INDIRECT(ADDRESS(21,12-1))-INDIRECT(ADDRESS(21-5,12))+INDIRECT(ADDRESS(21-4,12))-INDIRECT(ADDRESS(21-1,12)),INDIRECT(ADDRESS(21,12-1))-INDIRECT(ADDRESS(21-5,12))+INDIRECT(ADDRESS(21-2,12))-INDIRECT(ADDRESS(21-1,12))</f>
        <v>0</v>
      </c>
      <c r="AR16">
        <f>sum(j16:an16)</f>
        <v>0</v>
      </c>
    </row>
    <row r="17" spans="1:44">
      <c r="L17" t="s">
        <v>22</v>
      </c>
    </row>
    <row r="18" spans="1:44">
      <c r="L18" t="s">
        <v>51</v>
      </c>
    </row>
    <row r="19" spans="1:44">
      <c r="L19" t="s">
        <v>52</v>
      </c>
    </row>
    <row r="20" spans="1:44">
      <c r="L20" t="s">
        <v>53</v>
      </c>
    </row>
    <row r="21" spans="1:44">
      <c r="L21" t="s">
        <v>54</v>
      </c>
    </row>
    <row r="22" spans="1:44">
      <c r="A22" t="s">
        <v>25</v>
      </c>
      <c r="B22" t="s">
        <v>26</v>
      </c>
      <c r="C22" t="s">
        <v>27</v>
      </c>
      <c r="E22">
        <v>1</v>
      </c>
      <c r="F22" t="s">
        <v>16</v>
      </c>
      <c r="H22" t="s">
        <v>17</v>
      </c>
      <c r="I22">
        <v>6</v>
      </c>
      <c r="J22">
        <v>1</v>
      </c>
      <c r="K22">
        <v>1</v>
      </c>
      <c r="L22" t="s">
        <v>18</v>
      </c>
      <c r="M22">
        <f>IF(NOW()&lt;ar$3,INDIRECT(ADDRESS(27,12-1))-INDIRECT(ADDRESS(27-5,12))+INDIRECT(ADDRESS(27-4,12))-INDIRECT(ADDRESS(27-1,12)),INDIRECT(ADDRESS(27,12-1))-INDIRECT(ADDRESS(27-5,12))+INDIRECT(ADDRESS(27-2,12))-INDIRECT(ADDRESS(27-1,12))</f>
        <v>0</v>
      </c>
      <c r="AR22">
        <f>sum(j22:an22)</f>
        <v>0</v>
      </c>
    </row>
    <row r="23" spans="1:44">
      <c r="L23" t="s">
        <v>22</v>
      </c>
    </row>
    <row r="24" spans="1:44">
      <c r="L24" t="s">
        <v>51</v>
      </c>
    </row>
    <row r="25" spans="1:44">
      <c r="L25" t="s">
        <v>52</v>
      </c>
    </row>
    <row r="26" spans="1:44">
      <c r="L26" t="s">
        <v>53</v>
      </c>
    </row>
    <row r="27" spans="1:44">
      <c r="L27" t="s">
        <v>54</v>
      </c>
    </row>
    <row r="28" spans="1:44">
      <c r="A28" t="s">
        <v>19</v>
      </c>
      <c r="B28" t="s">
        <v>28</v>
      </c>
      <c r="C28" t="s">
        <v>29</v>
      </c>
      <c r="E28">
        <v>1</v>
      </c>
      <c r="F28" t="s">
        <v>16</v>
      </c>
      <c r="H28" t="s">
        <v>17</v>
      </c>
      <c r="I28">
        <v>6</v>
      </c>
      <c r="J28">
        <v>1</v>
      </c>
      <c r="K28">
        <v>1</v>
      </c>
      <c r="L28" t="s">
        <v>18</v>
      </c>
      <c r="M28">
        <f>IF(NOW()&lt;ar$3,INDIRECT(ADDRESS(33,12-1))-INDIRECT(ADDRESS(33-5,12))+INDIRECT(ADDRESS(33-4,12))-INDIRECT(ADDRESS(33-1,12)),INDIRECT(ADDRESS(33,12-1))-INDIRECT(ADDRESS(33-5,12))+INDIRECT(ADDRESS(33-2,12))-INDIRECT(ADDRESS(33-1,12))</f>
        <v>0</v>
      </c>
      <c r="AR28">
        <f>sum(j28:an28)</f>
        <v>0</v>
      </c>
    </row>
    <row r="29" spans="1:44">
      <c r="L29" t="s">
        <v>22</v>
      </c>
    </row>
    <row r="30" spans="1:44">
      <c r="L30" t="s">
        <v>51</v>
      </c>
    </row>
    <row r="31" spans="1:44">
      <c r="L31" t="s">
        <v>52</v>
      </c>
    </row>
    <row r="32" spans="1:44">
      <c r="L32" t="s">
        <v>53</v>
      </c>
    </row>
    <row r="33" spans="1:44">
      <c r="L33" t="s">
        <v>54</v>
      </c>
    </row>
    <row r="34" spans="1:44">
      <c r="A34" t="s">
        <v>19</v>
      </c>
      <c r="B34" t="s">
        <v>30</v>
      </c>
      <c r="C34" t="s">
        <v>31</v>
      </c>
      <c r="E34">
        <v>1</v>
      </c>
      <c r="F34" t="s">
        <v>16</v>
      </c>
      <c r="H34" t="s">
        <v>17</v>
      </c>
      <c r="I34">
        <v>6</v>
      </c>
      <c r="J34">
        <v>1</v>
      </c>
      <c r="K34">
        <v>1</v>
      </c>
      <c r="L34" t="s">
        <v>18</v>
      </c>
      <c r="M34">
        <f>IF(NOW()&lt;ar$3,INDIRECT(ADDRESS(39,12-1))-INDIRECT(ADDRESS(39-5,12))+INDIRECT(ADDRESS(39-4,12))-INDIRECT(ADDRESS(39-1,12)),INDIRECT(ADDRESS(39,12-1))-INDIRECT(ADDRESS(39-5,12))+INDIRECT(ADDRESS(39-2,12))-INDIRECT(ADDRESS(39-1,12))</f>
        <v>0</v>
      </c>
      <c r="AR34">
        <f>sum(j34:an34)</f>
        <v>0</v>
      </c>
    </row>
    <row r="35" spans="1:44">
      <c r="L35" t="s">
        <v>22</v>
      </c>
    </row>
    <row r="36" spans="1:44">
      <c r="L36" t="s">
        <v>51</v>
      </c>
    </row>
    <row r="37" spans="1:44">
      <c r="L37" t="s">
        <v>52</v>
      </c>
    </row>
    <row r="38" spans="1:44">
      <c r="L38" t="s">
        <v>53</v>
      </c>
    </row>
    <row r="39" spans="1:44">
      <c r="L39" t="s">
        <v>54</v>
      </c>
    </row>
    <row r="40" spans="1:44">
      <c r="A40" t="s">
        <v>25</v>
      </c>
      <c r="B40" t="s">
        <v>32</v>
      </c>
      <c r="C40" t="s">
        <v>33</v>
      </c>
      <c r="E40">
        <v>1</v>
      </c>
      <c r="F40" t="s">
        <v>16</v>
      </c>
      <c r="H40" t="s">
        <v>17</v>
      </c>
      <c r="I40">
        <v>6</v>
      </c>
      <c r="J40">
        <v>1</v>
      </c>
      <c r="K40">
        <v>1</v>
      </c>
      <c r="L40" t="s">
        <v>18</v>
      </c>
      <c r="M40">
        <f>IF(NOW()&lt;ar$3,INDIRECT(ADDRESS(45,12-1))-INDIRECT(ADDRESS(45-5,12))+INDIRECT(ADDRESS(45-4,12))-INDIRECT(ADDRESS(45-1,12)),INDIRECT(ADDRESS(45,12-1))-INDIRECT(ADDRESS(45-5,12))+INDIRECT(ADDRESS(45-2,12))-INDIRECT(ADDRESS(45-1,12))</f>
        <v>0</v>
      </c>
      <c r="AR40">
        <f>sum(j40:an40)</f>
        <v>0</v>
      </c>
    </row>
    <row r="41" spans="1:44">
      <c r="L41" t="s">
        <v>22</v>
      </c>
    </row>
    <row r="42" spans="1:44">
      <c r="L42" t="s">
        <v>51</v>
      </c>
    </row>
    <row r="43" spans="1:44">
      <c r="L43" t="s">
        <v>52</v>
      </c>
    </row>
    <row r="44" spans="1:44">
      <c r="L44" t="s">
        <v>53</v>
      </c>
    </row>
    <row r="45" spans="1:44">
      <c r="L45" t="s">
        <v>54</v>
      </c>
    </row>
    <row r="46" spans="1:44">
      <c r="A46" t="s">
        <v>19</v>
      </c>
      <c r="B46" t="s">
        <v>34</v>
      </c>
      <c r="C46" t="s">
        <v>35</v>
      </c>
      <c r="E46">
        <v>2</v>
      </c>
      <c r="F46" t="s">
        <v>16</v>
      </c>
      <c r="H46" t="s">
        <v>17</v>
      </c>
      <c r="I46">
        <v>6</v>
      </c>
      <c r="J46">
        <v>1</v>
      </c>
      <c r="K46">
        <v>1</v>
      </c>
      <c r="L46" t="s">
        <v>18</v>
      </c>
      <c r="M46">
        <f>IF(NOW()&lt;ar$3,INDIRECT(ADDRESS(51,12-1))-INDIRECT(ADDRESS(51-5,12))+INDIRECT(ADDRESS(51-4,12))-INDIRECT(ADDRESS(51-1,12)),INDIRECT(ADDRESS(51,12-1))-INDIRECT(ADDRESS(51-5,12))+INDIRECT(ADDRESS(51-2,12))-INDIRECT(ADDRESS(51-1,12))</f>
        <v>0</v>
      </c>
      <c r="AR46">
        <f>sum(j46:an46)</f>
        <v>0</v>
      </c>
    </row>
    <row r="47" spans="1:44">
      <c r="L47" t="s">
        <v>22</v>
      </c>
    </row>
    <row r="48" spans="1:44">
      <c r="L48" t="s">
        <v>51</v>
      </c>
    </row>
    <row r="49" spans="1:44">
      <c r="L49" t="s">
        <v>52</v>
      </c>
    </row>
    <row r="50" spans="1:44">
      <c r="L50" t="s">
        <v>53</v>
      </c>
    </row>
    <row r="51" spans="1:44">
      <c r="L51" t="s">
        <v>54</v>
      </c>
    </row>
    <row r="52" spans="1:44">
      <c r="A52" t="s">
        <v>25</v>
      </c>
      <c r="B52" t="s">
        <v>36</v>
      </c>
      <c r="C52" t="s">
        <v>37</v>
      </c>
      <c r="E52">
        <v>2</v>
      </c>
      <c r="F52" t="s">
        <v>16</v>
      </c>
      <c r="H52" t="s">
        <v>17</v>
      </c>
      <c r="I52">
        <v>6</v>
      </c>
      <c r="J52">
        <v>1</v>
      </c>
      <c r="K52">
        <v>1</v>
      </c>
      <c r="L52" t="s">
        <v>18</v>
      </c>
      <c r="M52">
        <f>IF(NOW()&lt;ar$3,INDIRECT(ADDRESS(57,12-1))-INDIRECT(ADDRESS(57-5,12))+INDIRECT(ADDRESS(57-4,12))-INDIRECT(ADDRESS(57-1,12)),INDIRECT(ADDRESS(57,12-1))-INDIRECT(ADDRESS(57-5,12))+INDIRECT(ADDRESS(57-2,12))-INDIRECT(ADDRESS(57-1,12))</f>
        <v>0</v>
      </c>
      <c r="AR52">
        <f>sum(j52:an52)</f>
        <v>0</v>
      </c>
    </row>
    <row r="53" spans="1:44">
      <c r="L53" t="s">
        <v>22</v>
      </c>
    </row>
    <row r="54" spans="1:44">
      <c r="L54" t="s">
        <v>51</v>
      </c>
    </row>
    <row r="55" spans="1:44">
      <c r="L55" t="s">
        <v>52</v>
      </c>
    </row>
    <row r="56" spans="1:44">
      <c r="L56" t="s">
        <v>53</v>
      </c>
    </row>
    <row r="57" spans="1:44">
      <c r="L57" t="s">
        <v>54</v>
      </c>
    </row>
    <row r="58" spans="1:44">
      <c r="A58" t="s">
        <v>25</v>
      </c>
      <c r="B58" t="s">
        <v>38</v>
      </c>
      <c r="C58" t="s">
        <v>39</v>
      </c>
      <c r="E58">
        <v>2</v>
      </c>
      <c r="F58" t="s">
        <v>16</v>
      </c>
      <c r="H58" t="s">
        <v>17</v>
      </c>
      <c r="I58">
        <v>6</v>
      </c>
      <c r="J58">
        <v>1</v>
      </c>
      <c r="K58">
        <v>1</v>
      </c>
      <c r="L58" t="s">
        <v>18</v>
      </c>
      <c r="M58">
        <f>IF(NOW()&lt;ar$3,INDIRECT(ADDRESS(63,12-1))-INDIRECT(ADDRESS(63-5,12))+INDIRECT(ADDRESS(63-4,12))-INDIRECT(ADDRESS(63-1,12)),INDIRECT(ADDRESS(63,12-1))-INDIRECT(ADDRESS(63-5,12))+INDIRECT(ADDRESS(63-2,12))-INDIRECT(ADDRESS(63-1,12))</f>
        <v>0</v>
      </c>
      <c r="AR58">
        <f>sum(j58:an58)</f>
        <v>0</v>
      </c>
    </row>
    <row r="59" spans="1:44">
      <c r="L59" t="s">
        <v>22</v>
      </c>
    </row>
    <row r="60" spans="1:44">
      <c r="L60" t="s">
        <v>51</v>
      </c>
    </row>
    <row r="61" spans="1:44">
      <c r="L61" t="s">
        <v>52</v>
      </c>
    </row>
    <row r="62" spans="1:44">
      <c r="L62" t="s">
        <v>53</v>
      </c>
    </row>
    <row r="63" spans="1:44">
      <c r="L63" t="s">
        <v>54</v>
      </c>
    </row>
    <row r="64" spans="1:44">
      <c r="A64" t="s">
        <v>25</v>
      </c>
      <c r="B64" t="s">
        <v>40</v>
      </c>
      <c r="C64" t="s">
        <v>41</v>
      </c>
      <c r="E64">
        <v>1</v>
      </c>
      <c r="F64" t="s">
        <v>16</v>
      </c>
      <c r="H64" t="s">
        <v>17</v>
      </c>
      <c r="I64">
        <v>6</v>
      </c>
      <c r="J64">
        <v>1</v>
      </c>
      <c r="K64">
        <v>1</v>
      </c>
      <c r="L64" t="s">
        <v>18</v>
      </c>
      <c r="M64">
        <f>IF(NOW()&lt;ar$3,INDIRECT(ADDRESS(69,12-1))-INDIRECT(ADDRESS(69-5,12))+INDIRECT(ADDRESS(69-4,12))-INDIRECT(ADDRESS(69-1,12)),INDIRECT(ADDRESS(69,12-1))-INDIRECT(ADDRESS(69-5,12))+INDIRECT(ADDRESS(69-2,12))-INDIRECT(ADDRESS(69-1,12))</f>
        <v>0</v>
      </c>
      <c r="AR64">
        <f>sum(j64:an64)</f>
        <v>0</v>
      </c>
    </row>
    <row r="65" spans="1:44">
      <c r="L65" t="s">
        <v>22</v>
      </c>
    </row>
    <row r="66" spans="1:44">
      <c r="L66" t="s">
        <v>51</v>
      </c>
    </row>
    <row r="67" spans="1:44">
      <c r="L67" t="s">
        <v>52</v>
      </c>
    </row>
    <row r="68" spans="1:44">
      <c r="L68" t="s">
        <v>53</v>
      </c>
    </row>
    <row r="69" spans="1:44">
      <c r="L69" t="s">
        <v>54</v>
      </c>
    </row>
    <row r="70" spans="1:44">
      <c r="A70" t="s">
        <v>25</v>
      </c>
      <c r="B70" t="s">
        <v>42</v>
      </c>
      <c r="C70" t="s">
        <v>43</v>
      </c>
      <c r="E70">
        <v>1</v>
      </c>
      <c r="F70" t="s">
        <v>16</v>
      </c>
      <c r="H70" t="s">
        <v>17</v>
      </c>
      <c r="I70">
        <v>6</v>
      </c>
      <c r="J70">
        <v>1</v>
      </c>
      <c r="K70">
        <v>1</v>
      </c>
      <c r="L70" t="s">
        <v>18</v>
      </c>
      <c r="M70">
        <f>IF(NOW()&lt;ar$3,INDIRECT(ADDRESS(75,12-1))-INDIRECT(ADDRESS(75-5,12))+INDIRECT(ADDRESS(75-4,12))-INDIRECT(ADDRESS(75-1,12)),INDIRECT(ADDRESS(75,12-1))-INDIRECT(ADDRESS(75-5,12))+INDIRECT(ADDRESS(75-2,12))-INDIRECT(ADDRESS(75-1,12))</f>
        <v>0</v>
      </c>
      <c r="AR70">
        <f>sum(j70:an70)</f>
        <v>0</v>
      </c>
    </row>
    <row r="71" spans="1:44">
      <c r="L71" t="s">
        <v>22</v>
      </c>
    </row>
    <row r="72" spans="1:44">
      <c r="L72" t="s">
        <v>51</v>
      </c>
    </row>
    <row r="73" spans="1:44">
      <c r="L73" t="s">
        <v>52</v>
      </c>
    </row>
    <row r="74" spans="1:44">
      <c r="L74" t="s">
        <v>53</v>
      </c>
    </row>
    <row r="75" spans="1:44">
      <c r="L75" t="s">
        <v>54</v>
      </c>
    </row>
    <row r="76" spans="1:44">
      <c r="A76" t="s">
        <v>44</v>
      </c>
      <c r="B76" t="s">
        <v>42</v>
      </c>
      <c r="C76" t="s">
        <v>43</v>
      </c>
      <c r="E76">
        <v>0.17</v>
      </c>
      <c r="F76" t="s">
        <v>45</v>
      </c>
      <c r="H76" t="s">
        <v>17</v>
      </c>
      <c r="I76">
        <v>6</v>
      </c>
      <c r="J76">
        <v>1</v>
      </c>
      <c r="K76">
        <v>1</v>
      </c>
      <c r="L76" t="s">
        <v>18</v>
      </c>
      <c r="M76">
        <f>IF(NOW()&lt;ar$3,INDIRECT(ADDRESS(81,12-1))-INDIRECT(ADDRESS(81-5,12))+INDIRECT(ADDRESS(81-4,12))-INDIRECT(ADDRESS(81-1,12)),INDIRECT(ADDRESS(81,12-1))-INDIRECT(ADDRESS(81-5,12))+INDIRECT(ADDRESS(81-2,12))-INDIRECT(ADDRESS(81-1,12))</f>
        <v>0</v>
      </c>
      <c r="AR76">
        <f>sum(j76:an76)</f>
        <v>0</v>
      </c>
    </row>
    <row r="77" spans="1:44">
      <c r="L77" t="s">
        <v>22</v>
      </c>
    </row>
    <row r="78" spans="1:44">
      <c r="L78" t="s">
        <v>51</v>
      </c>
    </row>
    <row r="79" spans="1:44">
      <c r="L79" t="s">
        <v>52</v>
      </c>
    </row>
    <row r="80" spans="1:44">
      <c r="L80" t="s">
        <v>53</v>
      </c>
    </row>
    <row r="81" spans="1:44">
      <c r="L81" t="s">
        <v>54</v>
      </c>
    </row>
    <row r="82" spans="1:44">
      <c r="A82" t="s">
        <v>46</v>
      </c>
      <c r="B82" t="s">
        <v>42</v>
      </c>
      <c r="C82" t="s">
        <v>43</v>
      </c>
      <c r="E82">
        <v>0.17</v>
      </c>
      <c r="F82" t="s">
        <v>16</v>
      </c>
      <c r="H82" t="s">
        <v>17</v>
      </c>
      <c r="I82">
        <v>6</v>
      </c>
      <c r="J82">
        <v>1</v>
      </c>
      <c r="K82">
        <v>1</v>
      </c>
      <c r="L82" t="s">
        <v>18</v>
      </c>
      <c r="M82">
        <f>IF(NOW()&lt;ar$3,INDIRECT(ADDRESS(87,12-1))-INDIRECT(ADDRESS(87-5,12))+INDIRECT(ADDRESS(87-4,12))-INDIRECT(ADDRESS(87-1,12)),INDIRECT(ADDRESS(87,12-1))-INDIRECT(ADDRESS(87-5,12))+INDIRECT(ADDRESS(87-2,12))-INDIRECT(ADDRESS(87-1,12))</f>
        <v>0</v>
      </c>
      <c r="AR82">
        <f>sum(j82:an82)</f>
        <v>0</v>
      </c>
    </row>
    <row r="83" spans="1:44">
      <c r="L83" t="s">
        <v>22</v>
      </c>
    </row>
    <row r="84" spans="1:44">
      <c r="L84" t="s">
        <v>51</v>
      </c>
    </row>
    <row r="85" spans="1:44">
      <c r="L85" t="s">
        <v>52</v>
      </c>
    </row>
    <row r="86" spans="1:44">
      <c r="L86" t="s">
        <v>53</v>
      </c>
    </row>
    <row r="87" spans="1:44">
      <c r="L8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生产发行表</vt:lpstr>
      <vt:lpstr>生产物料推移表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2020-05-03T16:01:48Z</dcterms:created>
  <dcterms:modified xsi:type="dcterms:W3CDTF">2020-05-03T16:01:48Z</dcterms:modified>
</cp:coreProperties>
</file>